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3" activeTab="4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结果汇总" sheetId="73" r:id="rId21"/>
    <sheet name="比较法-工业" sheetId="40"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案例" sheetId="68" r:id="rId42"/>
    <sheet name="停产停业损失及搬迁" sheetId="71" r:id="rId43"/>
    <sheet name="建筑物价格" sheetId="72" r:id="rId44"/>
    <sheet name="附属物" sheetId="74" r:id="rId45"/>
    <sheet name="树木" sheetId="75" r:id="rId46"/>
  </sheets>
  <externalReferences>
    <externalReference r:id="rId47"/>
    <externalReference r:id="rId48"/>
    <externalReference r:id="rId49"/>
    <externalReference r:id="rId50"/>
  </externalReferences>
  <definedNames>
    <definedName name="_xlnm._FilterDatabase" localSheetId="21"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a" localSheetId="43">'[1]不动产比较法-办公'!$B$115:$M$115</definedName>
    <definedName name="a">'[2]不动产比较法-办公'!$B$115:$M$115</definedName>
    <definedName name="八级">区片价!$P$1:$P$40</definedName>
    <definedName name="办公层高" localSheetId="43">'[3]不动产比较法-办公'!$B$119:$M$119</definedName>
    <definedName name="办公层高">'不动产比较法-办公'!$B$119:$M$119</definedName>
    <definedName name="办公朝向" localSheetId="43">'[3]不动产比较法-办公'!$B$91:$M$91</definedName>
    <definedName name="办公朝向">'不动产比较法-办公'!$B$91:$M$91</definedName>
    <definedName name="办公道路级别" localSheetId="43">'[3]不动产比较法-办公'!$B$87:$M$87</definedName>
    <definedName name="办公道路级别">'不动产比较法-办公'!$B$87:$M$87</definedName>
    <definedName name="办公公共部分装修" localSheetId="43">'[3]不动产比较法-办公'!$B$108:$M$108</definedName>
    <definedName name="办公公共部分装修">'不动产比较法-办公'!$B$108:$M$108</definedName>
    <definedName name="办公基础设施水平" localSheetId="43">'[3]不动产比较法-办公'!$B$117:$M$117</definedName>
    <definedName name="办公基础设施水平">'不动产比较法-办公'!$B$117:$M$117</definedName>
    <definedName name="办公集聚程度" localSheetId="43">[3]定义!$M$1:$M$6</definedName>
    <definedName name="办公集聚程度">定义!$M$1:$M$6</definedName>
    <definedName name="办公建筑结构" localSheetId="43">'[3]不动产比较法-办公'!$B$106:$M$106</definedName>
    <definedName name="办公建筑结构">'不动产比较法-办公'!$B$106:$M$106</definedName>
    <definedName name="办公建筑类型" localSheetId="43">'[3]不动产比较法-办公'!$B$101:$M$101</definedName>
    <definedName name="办公建筑类型">'不动产比较法-办公'!$B$101:$M$101</definedName>
    <definedName name="办公交易情况" localSheetId="43">'[3]不动产比较法-办公'!$A$62:$M$62</definedName>
    <definedName name="办公交易情况">'不动产比较法-办公'!$A$62:$M$62</definedName>
    <definedName name="办公楼层" localSheetId="43">'[3]不动产比较法-办公'!$B$89:$M$89</definedName>
    <definedName name="办公楼层">'不动产比较法-办公'!$B$89:$M$89</definedName>
    <definedName name="办公内部装修" localSheetId="43">'[3]不动产比较法-办公'!$B$123:$M$123</definedName>
    <definedName name="办公内部装修">'不动产比较法-办公'!$B$123:$M$123</definedName>
    <definedName name="办公物业管理" localSheetId="43">'[3]不动产比较法-办公'!$B$115:$M$115</definedName>
    <definedName name="办公物业管理">'不动产比较法-办公'!$B$115:$M$115</definedName>
    <definedName name="办公用途" localSheetId="43">'[3]不动产比较法-办公'!$B$64:$M$64</definedName>
    <definedName name="办公用途">'不动产比较法-办公'!$B$64:$M$64</definedName>
    <definedName name="仓储公共部分装修" localSheetId="43">'[3]不动产比较法-仓储'!$B$77:$M$77</definedName>
    <definedName name="仓储公共部分装修">'不动产比较法-仓储'!$B$77:$M$77</definedName>
    <definedName name="仓储交易情况" localSheetId="43">'[3]不动产比较法-仓储'!$A$49:$M$49</definedName>
    <definedName name="仓储交易情况">'不动产比较法-仓储'!$A$49:$M$49</definedName>
    <definedName name="仓储楼层" localSheetId="43">'[3]不动产比较法-仓储'!$B$69:$M$69</definedName>
    <definedName name="仓储楼层">'不动产比较法-仓储'!$B$69:$M$69</definedName>
    <definedName name="仓储物业等级" localSheetId="43">'[3]不动产比较法-仓储'!$B$82:$M$82</definedName>
    <definedName name="仓储物业等级">'不动产比较法-仓储'!$B$82:$M$82</definedName>
    <definedName name="仓储用途" localSheetId="43">'[3]不动产比较法-仓储'!$B$51:$M$51</definedName>
    <definedName name="仓储用途">'不动产比较法-仓储'!$B$51:$M$51</definedName>
    <definedName name="产业集聚程度" localSheetId="43">[3]定义!$N$1:$N$6</definedName>
    <definedName name="产业集聚程度">定义!$N$1:$N$6</definedName>
    <definedName name="车位公共部分装修" localSheetId="43">'[3]不动产比较法-车位'!$B$83:$M$83</definedName>
    <definedName name="车位公共部分装修">'不动产比较法-车位'!$B$83:$M$83</definedName>
    <definedName name="车位交易情况" localSheetId="43">'[3]不动产比较法-车位'!$A$51:$M$51</definedName>
    <definedName name="车位交易情况">'不动产比较法-车位'!$A$51:$M$51</definedName>
    <definedName name="车位类型" localSheetId="43">'[3]不动产比较法-车位'!$B$93:$M$93</definedName>
    <definedName name="车位类型">'不动产比较法-车位'!$B$93:$M$93</definedName>
    <definedName name="车位楼层" localSheetId="43">'[3]不动产比较法-车位'!$B$71:$M$71</definedName>
    <definedName name="车位楼层">'不动产比较法-车位'!$B$71:$M$71</definedName>
    <definedName name="车位配套类型" localSheetId="43">'[3]不动产比较法-车位'!$B$79:$M$79</definedName>
    <definedName name="车位配套类型">'不动产比较法-车位'!$B$79:$M$79</definedName>
    <definedName name="车位物业等级" localSheetId="43">'[3]不动产比较法-车位'!$B$88:$M$88</definedName>
    <definedName name="车位物业等级">'不动产比较法-车位'!$B$88:$M$88</definedName>
    <definedName name="车位用途" localSheetId="43">'[3]不动产比较法-车位'!$B$53:$M$53</definedName>
    <definedName name="车位用途">'不动产比较法-车位'!$B$53:$M$53</definedName>
    <definedName name="城镇土地纳税等级分级范围" localSheetId="43">'[3]数据-取费表'!$A$53:$A$63</definedName>
    <definedName name="城镇土地纳税等级分级范围">'数据-取费表'!$A$53:$A$63</definedName>
    <definedName name="单价内涵" localSheetId="43">[3]定义!$V$1:$V$3</definedName>
    <definedName name="单价内涵">定义!$V$1:$V$3</definedName>
    <definedName name="地类判定" localSheetId="43">[3]定义!$H$1:$H$9</definedName>
    <definedName name="地类判定">定义!$H$1:$H$9</definedName>
    <definedName name="二级">区片价!$J$1:$J$20</definedName>
    <definedName name="二级分类" localSheetId="43">[3]修正!$C$17:$C$39</definedName>
    <definedName name="二级分类">修正!$C$17:$C$39</definedName>
    <definedName name="法定最高年限" localSheetId="43">[3]定义!$G$2:$G$4</definedName>
    <definedName name="法定最高年限">定义!$G$2:$G$4</definedName>
    <definedName name="工业公共部分装修" localSheetId="43">'[3]不动产比较法-工业'!$B$95:$M$95</definedName>
    <definedName name="工业公共部分装修">'不动产比较法-工业'!$B$95:$M$95</definedName>
    <definedName name="工业基础设施水平" localSheetId="43">'[3]不动产比较法-工业'!$B$102:$M$102</definedName>
    <definedName name="工业基础设施水平">'不动产比较法-工业'!$B$102:$M$102</definedName>
    <definedName name="工业建筑结构" localSheetId="43">'[3]不动产比较法-工业'!$B$93:$M$93</definedName>
    <definedName name="工业建筑结构">'不动产比较法-工业'!$B$93:$M$93</definedName>
    <definedName name="工业建筑类型" localSheetId="43">'[3]不动产比较法-工业'!$B$88:$M$88</definedName>
    <definedName name="工业建筑类型">'不动产比较法-工业'!$B$88:$M$88</definedName>
    <definedName name="工业交易情况" localSheetId="43">'[3]不动产比较法-工业'!$A$55:$M$55</definedName>
    <definedName name="工业交易情况">'不动产比较法-工业'!$A$55:$M$55</definedName>
    <definedName name="工业内部装修" localSheetId="43">'[3]不动产比较法-工业'!$B$104:$M$104</definedName>
    <definedName name="工业内部装修">'不动产比较法-工业'!$B$104:$M$104</definedName>
    <definedName name="工业物业管理" localSheetId="43">'[3]不动产比较法-工业'!$B$100:$M$100</definedName>
    <definedName name="工业物业管理">'不动产比较法-工业'!$B$100:$M$100</definedName>
    <definedName name="工业用途" localSheetId="43">'[3]不动产比较法-工业'!$B$57:$M$57</definedName>
    <definedName name="工业用途">'不动产比较法-工业'!$B$57:$M$57</definedName>
    <definedName name="公共配套设施" localSheetId="43">[3]定义!$Q$1:$Q$6</definedName>
    <definedName name="公共配套设施">定义!$Q$1:$Q$6</definedName>
    <definedName name="公用设施及基础设施水平" localSheetId="43">[1]定义!$Q$1:$Q$6</definedName>
    <definedName name="公用设施及基础设施水平">[2]定义!$Q$1:$Q$6</definedName>
    <definedName name="估价方法" localSheetId="43">[3]定义!$B$1:$B$50</definedName>
    <definedName name="估价方法">定义!$B$1:$B$50</definedName>
    <definedName name="环境" localSheetId="43">[3]定义!$S$1:$S$6</definedName>
    <definedName name="环境">定义!$S$1:$S$6</definedName>
    <definedName name="基础设施水平" localSheetId="43">[3]定义!$R$1:$R$6</definedName>
    <definedName name="基础设施水平">定义!$R$1:$R$6</definedName>
    <definedName name="季度">基准地价!$N$19:$AG$19</definedName>
    <definedName name="季度2014">地价!$A$2:$A$23</definedName>
    <definedName name="价值类型2" localSheetId="43">[3]定义!$B$54:$B$56</definedName>
    <definedName name="价值类型2">定义!$B$54:$B$56</definedName>
    <definedName name="交通便捷度" localSheetId="43">[3]定义!$O$1:$O$6</definedName>
    <definedName name="交通便捷度">定义!$O$1:$O$6</definedName>
    <definedName name="九级">区片价!$Q$1:$Q$46</definedName>
    <definedName name="居住社区成熟度" localSheetId="43">[3]定义!$K$1:$K$6</definedName>
    <definedName name="居住社区成熟度">定义!$K$1:$K$6</definedName>
    <definedName name="类别" localSheetId="43">[3]定义!$J$1:$J$3</definedName>
    <definedName name="类别">定义!$J$1:$J$3</definedName>
    <definedName name="临街状况" localSheetId="43">[3]定义!$T$1:$T$5</definedName>
    <definedName name="临街状况">定义!$T$1:$T$5</definedName>
    <definedName name="六级">区片价!$N$1:$N$49</definedName>
    <definedName name="内部装修维护情况" localSheetId="43">[3]定义!$U$1:$U$6</definedName>
    <definedName name="内部装修维护情况">定义!$U$1:$U$6</definedName>
    <definedName name="判定" localSheetId="43">[3]定义!$D$1:$D$4</definedName>
    <definedName name="判定">定义!$D$1:$D$4</definedName>
    <definedName name="七级">区片价!$O$1:$O$49</definedName>
    <definedName name="七通一平" localSheetId="43">[3]修正!$A$6:$A$14</definedName>
    <definedName name="七通一平">修正!$A$6:$A$14</definedName>
    <definedName name="区域土地利用方向" localSheetId="43">[3]定义!$P$1:$P$6</definedName>
    <definedName name="区域土地利用方向">定义!$P$1:$P$6</definedName>
    <definedName name="三级">区片价!$K$1:$K$21</definedName>
    <definedName name="商业层高" localSheetId="43">'[3]不动产比较法-商业'!$B$116:$M$116</definedName>
    <definedName name="商业层高">'不动产比较法-商业'!$B$116:$M$116</definedName>
    <definedName name="商业成新度">'不动产比较法-商业'!$B$109:$M$109</definedName>
    <definedName name="商业繁华度" localSheetId="43">[3]定义!$L$1:$L$6</definedName>
    <definedName name="商业繁华度">定义!$L$1:$L$6</definedName>
    <definedName name="商业公共部分装修" localSheetId="43">'[3]不动产比较法-商业'!$B$107:$M$107</definedName>
    <definedName name="商业公共部分装修">'不动产比较法-商业'!$B$107:$M$107</definedName>
    <definedName name="商业基础设施水平" localSheetId="43">'[3]不动产比较法-商业'!$B$112:$M$112</definedName>
    <definedName name="商业基础设施水平">'不动产比较法-商业'!$B$112:$M$112</definedName>
    <definedName name="商业建筑结构" localSheetId="43">'[3]不动产比较法-商业'!$B$105:$M$105</definedName>
    <definedName name="商业建筑结构">'不动产比较法-商业'!$B$105:$M$105</definedName>
    <definedName name="商业交易情况" localSheetId="43">'[3]不动产比较法-商业'!$A$61:$M$61</definedName>
    <definedName name="商业交易情况">'不动产比较法-商业'!$A$61:$M$61</definedName>
    <definedName name="商业街名称" localSheetId="43">[3]修正!$C$59:$C$119</definedName>
    <definedName name="商业街名称">修正!$C$59:$C$119</definedName>
    <definedName name="商业进深比" localSheetId="43">'[3]不动产比较法-商业'!$B$120:$M$120</definedName>
    <definedName name="商业进深比">'不动产比较法-商业'!$B$120:$M$120</definedName>
    <definedName name="商业类型" localSheetId="43">'[3]不动产比较法-商业'!$B$100:$M$100</definedName>
    <definedName name="商业类型">'不动产比较法-商业'!$B$100:$M$100</definedName>
    <definedName name="商业临街状况" localSheetId="43">'[3]不动产比较法-商业'!$B$86:$M$86</definedName>
    <definedName name="商业临街状况">'不动产比较法-商业'!$B$86:$M$86</definedName>
    <definedName name="商业楼层" localSheetId="43">'[3]不动产比较法-商业'!$B$92:$M$92</definedName>
    <definedName name="商业楼层">'不动产比较法-商业'!$B$92:$M$92</definedName>
    <definedName name="商业内部装修" localSheetId="43">'[3]不动产比较法-商业'!$B$122:$M$122</definedName>
    <definedName name="商业内部装修">'不动产比较法-商业'!$B$122:$M$122</definedName>
    <definedName name="商业人流量" localSheetId="43">'[3]不动产比较法-商业'!$B$90:$M$90</definedName>
    <definedName name="商业人流量">'不动产比较法-商业'!$B$90:$M$90</definedName>
    <definedName name="商业业态" localSheetId="43">'[3]不动产比较法-商业'!$B$114:$M$114</definedName>
    <definedName name="商业业态">'不动产比较法-商业'!$B$114:$M$114</definedName>
    <definedName name="商业用途" localSheetId="43">'[3]不动产比较法-商业'!$B$63:$M$63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3">'[3]不动产比较法-仓储'!$B$89:$M$89</definedName>
    <definedName name="是否封闭">'不动产比较法-仓储'!$B$89:$M$89</definedName>
    <definedName name="是否直接入户" localSheetId="43">'[3]不动产比较法-车位'!$B$95:$M$95</definedName>
    <definedName name="是否直接入户">'不动产比较法-车位'!$B$95:$M$95</definedName>
    <definedName name="四级">区片价!$L$1:$L$28</definedName>
    <definedName name="套工工程地质条件" localSheetId="43">'[3]比较法-工业'!$B$116:$M$116</definedName>
    <definedName name="套工工程地质条件">'比较法-工业'!$B$116:$M$116</definedName>
    <definedName name="套工交易情况" localSheetId="43">'[3]比较法-住宅、综合'!$A$75:$M$75</definedName>
    <definedName name="套工交易情况">'比较法-住宅、综合'!$A$75:$M$75</definedName>
    <definedName name="套工开发程度" localSheetId="43">'[3]比较法-工业'!$B$114:$M$114</definedName>
    <definedName name="套工开发程度">'比较法-工业'!$B$114:$M$114</definedName>
    <definedName name="套工临街等级" localSheetId="43">'[3]比较法-工业'!$B$99:$M$99</definedName>
    <definedName name="套工临街等级">'比较法-工业'!$B$99:$M$99</definedName>
    <definedName name="套工土地级别" localSheetId="43">'[3]比较法-工业'!$B$101:$M$101</definedName>
    <definedName name="套工土地级别">'比较法-工业'!$B$101:$M$101</definedName>
    <definedName name="套工用途" localSheetId="43">'[3]比较法-工业'!$B$72:$M$72</definedName>
    <definedName name="套工用途">'比较法-工业'!$B$72:$M$72</definedName>
    <definedName name="套工宗地形状" localSheetId="43">'[3]比较法-工业'!$B$112:$M$112</definedName>
    <definedName name="套工宗地形状">'比较法-工业'!$B$112:$M$112</definedName>
    <definedName name="套综道路等级" localSheetId="43">'[3]比较法-住宅、综合'!$B$108:$M$108</definedName>
    <definedName name="套综道路等级">'比较法-住宅、综合'!$B$108:$M$108</definedName>
    <definedName name="套综工程地质条件" localSheetId="43">'[3]比较法-住宅、综合'!$B$127:$M$127</definedName>
    <definedName name="套综工程地质条件">'比较法-住宅、综合'!$B$127:$M$127</definedName>
    <definedName name="套综交易情况" localSheetId="43">'[3]比较法-住宅、综合'!$A$75:$M$75</definedName>
    <definedName name="套综交易情况">'比较法-住宅、综合'!$A$75:$M$75</definedName>
    <definedName name="套综临街宽度及深度" localSheetId="43">'[3]比较法-住宅、综合'!$B$123:$M$123</definedName>
    <definedName name="套综临街宽度及深度">'比较法-住宅、综合'!$B$123:$M$123</definedName>
    <definedName name="套综土地级别" localSheetId="43">'[3]比较法-住宅、综合'!$B$110:$M$110</definedName>
    <definedName name="套综土地级别">'比较法-住宅、综合'!$B$110:$M$110</definedName>
    <definedName name="套综用途" localSheetId="43">'[3]比较法-住宅、综合'!$B$77:$M$77</definedName>
    <definedName name="套综用途">'比较法-住宅、综合'!$B$77:$M$77</definedName>
    <definedName name="套综宗地内开发程度" localSheetId="43">'[3]比较法-住宅、综合'!$B$125:$M$125</definedName>
    <definedName name="套综宗地内开发程度">'比较法-住宅、综合'!$B$125:$M$125</definedName>
    <definedName name="套综宗地形状" localSheetId="43">'[3]比较法-住宅、综合'!$B$121:$M$121</definedName>
    <definedName name="套综宗地形状">'比较法-住宅、综合'!$B$121:$M$121</definedName>
    <definedName name="土地估价师" localSheetId="43">[3]估价师及机构信息!$D$3:$D$24</definedName>
    <definedName name="土地估价师">估价师及机构信息!$D$3:$D$24</definedName>
    <definedName name="土地级别" localSheetId="43">[3]定义!$C$1:$C$14</definedName>
    <definedName name="土地级别">定义!$C$1:$C$14</definedName>
    <definedName name="土地利用方向">定义!$P$1:$P$6</definedName>
    <definedName name="土地年限区间" localSheetId="43">[3]定义!$I$1:$I$8</definedName>
    <definedName name="土地年限区间">定义!$I$1:$I$8</definedName>
    <definedName name="位置" localSheetId="43">[3]定义!$E$2:$E$4</definedName>
    <definedName name="位置">定义!$E$2:$E$4</definedName>
    <definedName name="五等判定" localSheetId="43">[3]定义!$W$1:$W$6</definedName>
    <definedName name="五等判定">定义!$W$1:$W$6</definedName>
    <definedName name="五级">区片价!$M$1:$M$35</definedName>
    <definedName name="项目类型" localSheetId="43">'[3]数据-汇总表'!$C$17:$C$26</definedName>
    <definedName name="项目类型">'数据-汇总表'!$C$17:$C$26</definedName>
    <definedName name="写字楼等级" localSheetId="43">'[3]不动产比较法-办公'!$B$113:$M$113</definedName>
    <definedName name="写字楼等级">'不动产比较法-办公'!$B$113:$M$113</definedName>
    <definedName name="一级">区片价!$I$1:$I$6</definedName>
    <definedName name="一修多修正项2" localSheetId="43">[3]典型户型修正!$5:$5</definedName>
    <definedName name="一修多修正项2">典型户型修正!$5:$5</definedName>
    <definedName name="一修多修正项3" localSheetId="43">[3]典型户型修正!$7:$7</definedName>
    <definedName name="一修多修正项3">典型户型修正!$7:$7</definedName>
    <definedName name="一修多修正项4" localSheetId="43">[3]典型户型修正!$9:$9</definedName>
    <definedName name="一修多修正项4">典型户型修正!$9:$9</definedName>
    <definedName name="一修多修正项5" localSheetId="43">[3]典型户型修正!$11:$11</definedName>
    <definedName name="一修多修正项5">典型户型修正!$11:$11</definedName>
    <definedName name="一修多修正项6" localSheetId="43">[3]典型户型修正!$13:$13</definedName>
    <definedName name="一修多修正项6">典型户型修正!$13:$13</definedName>
    <definedName name="一修多修正项7" localSheetId="43">[3]典型户型修正!$15:$15</definedName>
    <definedName name="一修多修正项7">典型户型修正!$15:$15</definedName>
    <definedName name="一修多修正项8" localSheetId="43">[3]典型户型修正!$17:$17</definedName>
    <definedName name="一修多修正项8">典型户型修正!$17:$17</definedName>
    <definedName name="用途类型" localSheetId="43">[3]定义!$A$1:$A$50</definedName>
    <definedName name="用途类型">定义!$A$1:$A$50</definedName>
    <definedName name="有无电梯" localSheetId="43">'[3]不动产比较法-仓储'!$B$84:$M$84</definedName>
    <definedName name="有无电梯">'不动产比较法-仓储'!$B$84:$M$84</definedName>
    <definedName name="主用途" localSheetId="43">[3]定义!$F$1:$F$10</definedName>
    <definedName name="主用途">定义!$F$1:$F$10</definedName>
    <definedName name="住宅朝向" localSheetId="43">'[3]不动产比较法-住宅'!$B$88:$M$88</definedName>
    <definedName name="住宅朝向">'不动产比较法-住宅'!$B$88:$M$88</definedName>
    <definedName name="住宅房型" localSheetId="43">'[3]不动产比较法-住宅'!$B$118:$M$118</definedName>
    <definedName name="住宅房型">'不动产比较法-住宅'!$B$118:$M$118</definedName>
    <definedName name="住宅公共部分装修" localSheetId="43">'[3]不动产比较法-住宅'!$B$109:$M$109</definedName>
    <definedName name="住宅公共部分装修">'不动产比较法-住宅'!$B$109:$M$109</definedName>
    <definedName name="住宅基础设施水平" localSheetId="43">'[3]不动产比较法-住宅'!$B$116:$M$116</definedName>
    <definedName name="住宅基础设施水平">'不动产比较法-住宅'!$B$116:$M$116</definedName>
    <definedName name="住宅建筑结构" localSheetId="43">'[3]不动产比较法-住宅'!$B$105:$M$105</definedName>
    <definedName name="住宅建筑结构">'不动产比较法-住宅'!$B$105:$M$105</definedName>
    <definedName name="住宅建筑类型" localSheetId="43">'[3]不动产比较法-住宅'!$B$100:$M$100</definedName>
    <definedName name="住宅建筑类型">'不动产比较法-住宅'!$B$100:$M$100</definedName>
    <definedName name="住宅建筑品质" localSheetId="43">'[3]不动产比较法-住宅'!$B$107:$M$107</definedName>
    <definedName name="住宅建筑品质">'不动产比较法-住宅'!$B$107:$M$107</definedName>
    <definedName name="住宅交易情况" localSheetId="43">'[3]不动产比较法-住宅'!$A$61:$M$61</definedName>
    <definedName name="住宅交易情况">'不动产比较法-住宅'!$A$61:$M$61</definedName>
    <definedName name="住宅楼层" localSheetId="43">'[3]不动产比较法-住宅'!$B$86:$M$86</definedName>
    <definedName name="住宅楼层">'不动产比较法-住宅'!$B$86:$M$86</definedName>
    <definedName name="住宅内部装修" localSheetId="43">'[3]不动产比较法-住宅'!$B$122:$M$122</definedName>
    <definedName name="住宅内部装修">'不动产比较法-住宅'!$B$122:$M$122</definedName>
    <definedName name="住宅物业管理" localSheetId="43">'[3]不动产比较法-住宅'!$B$114:$M$114</definedName>
    <definedName name="住宅物业管理">'不动产比较法-住宅'!$B$114:$M$114</definedName>
    <definedName name="住宅用途" localSheetId="43">'[3]不动产比较法-住宅'!$B$63:$M$63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46" i="75" l="1"/>
  <c r="E45" i="75"/>
  <c r="E44" i="75"/>
  <c r="E43" i="75"/>
  <c r="E42" i="75"/>
  <c r="E41" i="75"/>
  <c r="E40" i="75"/>
  <c r="E39" i="75"/>
  <c r="E38" i="75"/>
  <c r="E37" i="75"/>
  <c r="E36" i="75"/>
  <c r="E35" i="75"/>
  <c r="E34" i="75"/>
  <c r="E33" i="75"/>
  <c r="E32" i="75"/>
  <c r="E31" i="75"/>
  <c r="E30" i="75"/>
  <c r="E29" i="75"/>
  <c r="E28" i="75"/>
  <c r="E27" i="75"/>
  <c r="E26" i="75"/>
  <c r="E25" i="75"/>
  <c r="E24" i="75"/>
  <c r="E23" i="75"/>
  <c r="E22" i="75"/>
  <c r="E21" i="75"/>
  <c r="E20" i="75"/>
  <c r="E19" i="75"/>
  <c r="E18" i="75"/>
  <c r="E17" i="75"/>
  <c r="E16" i="75"/>
  <c r="E15" i="75"/>
  <c r="E14" i="75"/>
  <c r="E13" i="75"/>
  <c r="E12" i="75"/>
  <c r="E11" i="75"/>
  <c r="E10" i="75"/>
  <c r="E9" i="75"/>
  <c r="E8" i="75"/>
  <c r="E7" i="75"/>
  <c r="E6" i="75"/>
  <c r="E5" i="75"/>
  <c r="E4" i="75"/>
  <c r="E3" i="75"/>
  <c r="E2" i="75"/>
  <c r="E46" i="75" s="1"/>
  <c r="H6" i="74" s="1"/>
  <c r="C18" i="74"/>
  <c r="H8" i="74" s="1"/>
  <c r="H14" i="74"/>
  <c r="H13" i="74"/>
  <c r="E12" i="74"/>
  <c r="H12" i="74" s="1"/>
  <c r="E11" i="74"/>
  <c r="H11" i="74" s="1"/>
  <c r="E10" i="74"/>
  <c r="H10" i="74" s="1"/>
  <c r="E7" i="74"/>
  <c r="H7" i="74" s="1"/>
  <c r="E6" i="74"/>
  <c r="D8" i="73"/>
  <c r="D4" i="73"/>
  <c r="D3" i="73"/>
  <c r="D9" i="73" s="1"/>
  <c r="H9" i="74" l="1"/>
  <c r="H15" i="74" s="1"/>
  <c r="E5" i="73" s="1"/>
  <c r="M68" i="40"/>
  <c r="L68" i="40"/>
  <c r="K68" i="40"/>
  <c r="I68" i="40"/>
  <c r="H68" i="40"/>
  <c r="G68" i="40"/>
  <c r="N3" i="72"/>
  <c r="G4" i="72" l="1"/>
  <c r="H4" i="72" s="1"/>
  <c r="G5" i="72"/>
  <c r="H5" i="72" s="1"/>
  <c r="G9" i="72"/>
  <c r="H9" i="72" s="1"/>
  <c r="F10" i="72"/>
  <c r="G10" i="72" s="1"/>
  <c r="H10" i="72" s="1"/>
  <c r="G11" i="72"/>
  <c r="H11" i="72" s="1"/>
  <c r="G12" i="72"/>
  <c r="H12" i="72"/>
  <c r="G3" i="72"/>
  <c r="C8" i="72"/>
  <c r="C7" i="72"/>
  <c r="C6" i="72"/>
  <c r="C5" i="72"/>
  <c r="N9" i="72"/>
  <c r="N10" i="72"/>
  <c r="F8" i="72"/>
  <c r="G8" i="72" s="1"/>
  <c r="F7" i="72"/>
  <c r="G7" i="72" s="1"/>
  <c r="F6" i="72"/>
  <c r="G6" i="72" s="1"/>
  <c r="N12" i="72"/>
  <c r="N11" i="72"/>
  <c r="N8" i="72"/>
  <c r="N7" i="72"/>
  <c r="N6" i="72"/>
  <c r="N5" i="72"/>
  <c r="N4" i="72"/>
  <c r="E14" i="72"/>
  <c r="A12" i="72"/>
  <c r="A11" i="72"/>
  <c r="A10" i="72"/>
  <c r="A9" i="72"/>
  <c r="A8" i="72"/>
  <c r="A7" i="72"/>
  <c r="A6" i="72"/>
  <c r="A5" i="72"/>
  <c r="A4" i="72"/>
  <c r="A3" i="72"/>
  <c r="G13" i="72"/>
  <c r="H13" i="72" s="1"/>
  <c r="H3" i="72"/>
  <c r="A3" i="3"/>
  <c r="BB13" i="3"/>
  <c r="BC13" i="3"/>
  <c r="BD13" i="3"/>
  <c r="BE13" i="3"/>
  <c r="BF13" i="3"/>
  <c r="BG13" i="3"/>
  <c r="BH13" i="3"/>
  <c r="BI13" i="3"/>
  <c r="BJ13" i="3"/>
  <c r="BK13" i="3"/>
  <c r="BA13" i="3"/>
  <c r="BM13" i="3"/>
  <c r="BN13" i="3"/>
  <c r="BL13" i="3" s="1"/>
  <c r="AZ13" i="3" s="1"/>
  <c r="BO13" i="3"/>
  <c r="BP13" i="3"/>
  <c r="BQ13" i="3"/>
  <c r="BR13" i="3"/>
  <c r="BS13" i="3"/>
  <c r="BT13" i="3"/>
  <c r="BB14" i="3"/>
  <c r="BC14" i="3"/>
  <c r="BD14" i="3"/>
  <c r="BE14" i="3"/>
  <c r="BA14" i="3" s="1"/>
  <c r="AZ14" i="3" s="1"/>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L15" i="3" s="1"/>
  <c r="AZ15" i="3" s="1"/>
  <c r="BO15" i="3"/>
  <c r="BP15" i="3"/>
  <c r="BQ15" i="3"/>
  <c r="BR15" i="3"/>
  <c r="BS15" i="3"/>
  <c r="BT15" i="3"/>
  <c r="BB16" i="3"/>
  <c r="BC16" i="3"/>
  <c r="BD16" i="3"/>
  <c r="BE16" i="3"/>
  <c r="BA16" i="3" s="1"/>
  <c r="AZ16" i="3" s="1"/>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L17" i="3" s="1"/>
  <c r="AZ17" i="3" s="1"/>
  <c r="BO17" i="3"/>
  <c r="BP17" i="3"/>
  <c r="BQ17" i="3"/>
  <c r="BR17" i="3"/>
  <c r="BS17" i="3"/>
  <c r="BT17" i="3"/>
  <c r="BB18" i="3"/>
  <c r="BC18" i="3"/>
  <c r="BA18" i="3" s="1"/>
  <c r="AZ18" i="3" s="1"/>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L19" i="3" s="1"/>
  <c r="AZ19" i="3" s="1"/>
  <c r="BO19" i="3"/>
  <c r="BP19" i="3"/>
  <c r="BQ19" i="3"/>
  <c r="BR19" i="3"/>
  <c r="BS19" i="3"/>
  <c r="BT19" i="3"/>
  <c r="BB20" i="3"/>
  <c r="BC20" i="3"/>
  <c r="BA20" i="3" s="1"/>
  <c r="AZ20" i="3" s="1"/>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L21" i="3" s="1"/>
  <c r="AZ21" i="3" s="1"/>
  <c r="BO21" i="3"/>
  <c r="BP21" i="3"/>
  <c r="BQ21" i="3"/>
  <c r="BR21" i="3"/>
  <c r="BS21" i="3"/>
  <c r="BT21" i="3"/>
  <c r="BB22" i="3"/>
  <c r="BC22" i="3"/>
  <c r="BA22" i="3" s="1"/>
  <c r="AZ22" i="3" s="1"/>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L23" i="3" s="1"/>
  <c r="AZ23" i="3" s="1"/>
  <c r="BO23" i="3"/>
  <c r="BP23" i="3"/>
  <c r="BQ23" i="3"/>
  <c r="BR23" i="3"/>
  <c r="BS23" i="3"/>
  <c r="BT23" i="3"/>
  <c r="BB24" i="3"/>
  <c r="BC24" i="3"/>
  <c r="BA24" i="3" s="1"/>
  <c r="AZ24" i="3" s="1"/>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L25" i="3" s="1"/>
  <c r="AZ25" i="3" s="1"/>
  <c r="BO25" i="3"/>
  <c r="BP25" i="3"/>
  <c r="BQ25" i="3"/>
  <c r="BR25" i="3"/>
  <c r="BS25" i="3"/>
  <c r="BT25" i="3"/>
  <c r="BB26" i="3"/>
  <c r="BC26" i="3"/>
  <c r="BA26" i="3" s="1"/>
  <c r="AZ26" i="3" s="1"/>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L27" i="3" s="1"/>
  <c r="AZ27" i="3" s="1"/>
  <c r="BO27" i="3"/>
  <c r="BP27" i="3"/>
  <c r="BQ27" i="3"/>
  <c r="BR27" i="3"/>
  <c r="BS27" i="3"/>
  <c r="BT27" i="3"/>
  <c r="BB28" i="3"/>
  <c r="BC28" i="3"/>
  <c r="BA28" i="3" s="1"/>
  <c r="AZ28" i="3" s="1"/>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L29" i="3" s="1"/>
  <c r="AZ29" i="3" s="1"/>
  <c r="BO29" i="3"/>
  <c r="BP29" i="3"/>
  <c r="BQ29" i="3"/>
  <c r="BR29" i="3"/>
  <c r="BS29" i="3"/>
  <c r="BT29" i="3"/>
  <c r="BB30" i="3"/>
  <c r="BC30" i="3"/>
  <c r="BA30" i="3" s="1"/>
  <c r="AZ30" i="3" s="1"/>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L31" i="3" s="1"/>
  <c r="AZ31" i="3" s="1"/>
  <c r="BO31" i="3"/>
  <c r="BP31" i="3"/>
  <c r="BQ31" i="3"/>
  <c r="BR31" i="3"/>
  <c r="BS31" i="3"/>
  <c r="BT31" i="3"/>
  <c r="BB32" i="3"/>
  <c r="BC32" i="3"/>
  <c r="BA32" i="3" s="1"/>
  <c r="AZ32" i="3" s="1"/>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s="1"/>
  <c r="AZ33" i="3" s="1"/>
  <c r="BO33" i="3"/>
  <c r="BP33" i="3"/>
  <c r="BQ33" i="3"/>
  <c r="BR33" i="3"/>
  <c r="BS33" i="3"/>
  <c r="BT33" i="3"/>
  <c r="BB34" i="3"/>
  <c r="BC34" i="3"/>
  <c r="BA34" i="3" s="1"/>
  <c r="AZ34" i="3" s="1"/>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s="1"/>
  <c r="AZ35" i="3" s="1"/>
  <c r="BO35" i="3"/>
  <c r="BP35" i="3"/>
  <c r="BQ35" i="3"/>
  <c r="BR35" i="3"/>
  <c r="BS35" i="3"/>
  <c r="BT35" i="3"/>
  <c r="BB36" i="3"/>
  <c r="BC36" i="3"/>
  <c r="BD36" i="3"/>
  <c r="BE36" i="3"/>
  <c r="BA36" i="3" s="1"/>
  <c r="AZ36" i="3" s="1"/>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L37" i="3" s="1"/>
  <c r="AZ37" i="3" s="1"/>
  <c r="BO37" i="3"/>
  <c r="BP37" i="3"/>
  <c r="BQ37" i="3"/>
  <c r="BR37" i="3"/>
  <c r="BS37" i="3"/>
  <c r="BT37" i="3"/>
  <c r="BB38" i="3"/>
  <c r="BC38" i="3"/>
  <c r="BA38" i="3" s="1"/>
  <c r="AZ38" i="3" s="1"/>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L39" i="3" s="1"/>
  <c r="AZ39" i="3" s="1"/>
  <c r="BO39" i="3"/>
  <c r="BP39" i="3"/>
  <c r="BQ39" i="3"/>
  <c r="BR39" i="3"/>
  <c r="BS39" i="3"/>
  <c r="BT39" i="3"/>
  <c r="BB40" i="3"/>
  <c r="BC40" i="3"/>
  <c r="BA40" i="3" s="1"/>
  <c r="AZ40" i="3" s="1"/>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L41" i="3" s="1"/>
  <c r="AZ41" i="3" s="1"/>
  <c r="BO41" i="3"/>
  <c r="BP41" i="3"/>
  <c r="BQ41" i="3"/>
  <c r="BR41" i="3"/>
  <c r="BS41" i="3"/>
  <c r="BT41" i="3"/>
  <c r="BB42" i="3"/>
  <c r="BC42" i="3"/>
  <c r="BA42" i="3" s="1"/>
  <c r="AZ42" i="3" s="1"/>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L43" i="3" s="1"/>
  <c r="AZ43" i="3" s="1"/>
  <c r="BO43" i="3"/>
  <c r="BP43" i="3"/>
  <c r="BQ43" i="3"/>
  <c r="BR43" i="3"/>
  <c r="BS43" i="3"/>
  <c r="BT43" i="3"/>
  <c r="BB44" i="3"/>
  <c r="BC44" i="3"/>
  <c r="BA44" i="3" s="1"/>
  <c r="AZ44" i="3" s="1"/>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L45" i="3" s="1"/>
  <c r="AZ45" i="3" s="1"/>
  <c r="BS45" i="3"/>
  <c r="BT45" i="3"/>
  <c r="BB46" i="3"/>
  <c r="BC46" i="3"/>
  <c r="BD46" i="3"/>
  <c r="BE46" i="3"/>
  <c r="BF46" i="3"/>
  <c r="BG46" i="3"/>
  <c r="BH46" i="3"/>
  <c r="BI46" i="3"/>
  <c r="BJ46" i="3"/>
  <c r="BK46" i="3"/>
  <c r="BA46" i="3" s="1"/>
  <c r="AZ46" i="3" s="1"/>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L47" i="3" s="1"/>
  <c r="AZ47" i="3" s="1"/>
  <c r="BS47" i="3"/>
  <c r="BT47" i="3"/>
  <c r="BB48" i="3"/>
  <c r="BC48" i="3"/>
  <c r="BD48" i="3"/>
  <c r="BE48" i="3"/>
  <c r="BF48" i="3"/>
  <c r="BG48" i="3"/>
  <c r="BH48" i="3"/>
  <c r="BI48" i="3"/>
  <c r="BJ48" i="3"/>
  <c r="BK48" i="3"/>
  <c r="BA48" i="3"/>
  <c r="BM48" i="3"/>
  <c r="BN48" i="3"/>
  <c r="BO48" i="3"/>
  <c r="BP48" i="3"/>
  <c r="BQ48" i="3"/>
  <c r="BR48" i="3"/>
  <c r="BS48" i="3"/>
  <c r="BT48" i="3"/>
  <c r="BL48" i="3"/>
  <c r="AZ48" i="3" s="1"/>
  <c r="BB49" i="3"/>
  <c r="BC49" i="3"/>
  <c r="BD49" i="3"/>
  <c r="BE49" i="3"/>
  <c r="BF49" i="3"/>
  <c r="BG49" i="3"/>
  <c r="BH49" i="3"/>
  <c r="BI49" i="3"/>
  <c r="BJ49" i="3"/>
  <c r="BK49" i="3"/>
  <c r="BA49" i="3"/>
  <c r="BM49" i="3"/>
  <c r="BN49" i="3"/>
  <c r="BO49" i="3"/>
  <c r="BP49" i="3"/>
  <c r="BL49" i="3" s="1"/>
  <c r="AZ49" i="3" s="1"/>
  <c r="BQ49" i="3"/>
  <c r="BR49" i="3"/>
  <c r="BS49" i="3"/>
  <c r="BT49" i="3"/>
  <c r="BB50" i="3"/>
  <c r="BC50" i="3"/>
  <c r="BD50" i="3"/>
  <c r="BE50" i="3"/>
  <c r="BF50" i="3"/>
  <c r="BG50" i="3"/>
  <c r="BH50" i="3"/>
  <c r="BI50" i="3"/>
  <c r="BA50" i="3" s="1"/>
  <c r="AZ50" i="3" s="1"/>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L51" i="3" s="1"/>
  <c r="AZ51" i="3" s="1"/>
  <c r="BQ51" i="3"/>
  <c r="BR51" i="3"/>
  <c r="BS51" i="3"/>
  <c r="BT51" i="3"/>
  <c r="BB52" i="3"/>
  <c r="BC52" i="3"/>
  <c r="BD52" i="3"/>
  <c r="BE52" i="3"/>
  <c r="BF52" i="3"/>
  <c r="BG52" i="3"/>
  <c r="BH52" i="3"/>
  <c r="BI52" i="3"/>
  <c r="BA52" i="3" s="1"/>
  <c r="AZ52" i="3" s="1"/>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L53" i="3" s="1"/>
  <c r="AZ53" i="3" s="1"/>
  <c r="BQ53" i="3"/>
  <c r="BR53" i="3"/>
  <c r="BS53" i="3"/>
  <c r="BT53" i="3"/>
  <c r="BB54" i="3"/>
  <c r="BC54" i="3"/>
  <c r="BD54" i="3"/>
  <c r="BE54" i="3"/>
  <c r="BF54" i="3"/>
  <c r="BG54" i="3"/>
  <c r="BA54" i="3" s="1"/>
  <c r="AZ54" i="3" s="1"/>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D56" i="3"/>
  <c r="BE56" i="3"/>
  <c r="BA56" i="3" s="1"/>
  <c r="AZ56" i="3" s="1"/>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A59" i="3" s="1"/>
  <c r="AZ59" i="3" s="1"/>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L60" i="3" s="1"/>
  <c r="AZ60" i="3" s="1"/>
  <c r="BO60" i="3"/>
  <c r="BP60" i="3"/>
  <c r="BQ60" i="3"/>
  <c r="BR60" i="3"/>
  <c r="BS60" i="3"/>
  <c r="BT60" i="3"/>
  <c r="BB61" i="3"/>
  <c r="BC61" i="3"/>
  <c r="BA61" i="3" s="1"/>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L62" i="3" s="1"/>
  <c r="AZ62" i="3" s="1"/>
  <c r="BO62" i="3"/>
  <c r="BP62" i="3"/>
  <c r="BQ62" i="3"/>
  <c r="BR62" i="3"/>
  <c r="BS62" i="3"/>
  <c r="BT62" i="3"/>
  <c r="BB63" i="3"/>
  <c r="BC63" i="3"/>
  <c r="BA63" i="3" s="1"/>
  <c r="AZ63" i="3" s="1"/>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L64" i="3" s="1"/>
  <c r="AZ64" i="3" s="1"/>
  <c r="BO64" i="3"/>
  <c r="BP64" i="3"/>
  <c r="BQ64" i="3"/>
  <c r="BR64" i="3"/>
  <c r="BS64" i="3"/>
  <c r="BT64" i="3"/>
  <c r="BB65" i="3"/>
  <c r="BC65" i="3"/>
  <c r="BA65" i="3" s="1"/>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L66" i="3" s="1"/>
  <c r="AZ66" i="3" s="1"/>
  <c r="BO66" i="3"/>
  <c r="BP66" i="3"/>
  <c r="BQ66" i="3"/>
  <c r="BR66" i="3"/>
  <c r="BS66" i="3"/>
  <c r="BT66" i="3"/>
  <c r="BB67" i="3"/>
  <c r="BC67" i="3"/>
  <c r="BA67" i="3" s="1"/>
  <c r="AZ67" i="3" s="1"/>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L68" i="3" s="1"/>
  <c r="AZ68" i="3" s="1"/>
  <c r="BO68" i="3"/>
  <c r="BP68" i="3"/>
  <c r="BQ68" i="3"/>
  <c r="BR68" i="3"/>
  <c r="BS68" i="3"/>
  <c r="BT68" i="3"/>
  <c r="BB69" i="3"/>
  <c r="BC69" i="3"/>
  <c r="BA69" i="3" s="1"/>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L70" i="3" s="1"/>
  <c r="AZ70" i="3" s="1"/>
  <c r="BO70" i="3"/>
  <c r="BP70" i="3"/>
  <c r="BQ70" i="3"/>
  <c r="BR70" i="3"/>
  <c r="BS70" i="3"/>
  <c r="BT70" i="3"/>
  <c r="BB71" i="3"/>
  <c r="BC71" i="3"/>
  <c r="BA71" i="3" s="1"/>
  <c r="AZ71" i="3" s="1"/>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L72" i="3" s="1"/>
  <c r="AZ72" i="3" s="1"/>
  <c r="BO72" i="3"/>
  <c r="BP72" i="3"/>
  <c r="BQ72" i="3"/>
  <c r="BR72" i="3"/>
  <c r="BS72" i="3"/>
  <c r="BT72" i="3"/>
  <c r="BB73" i="3"/>
  <c r="BC73" i="3"/>
  <c r="BA73" i="3" s="1"/>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L74" i="3" s="1"/>
  <c r="AZ74" i="3" s="1"/>
  <c r="BO74" i="3"/>
  <c r="BP74" i="3"/>
  <c r="BQ74" i="3"/>
  <c r="BR74" i="3"/>
  <c r="BS74" i="3"/>
  <c r="BT74" i="3"/>
  <c r="BB75" i="3"/>
  <c r="BC75" i="3"/>
  <c r="BA75" i="3" s="1"/>
  <c r="AZ75" i="3" s="1"/>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L76" i="3" s="1"/>
  <c r="AZ76" i="3" s="1"/>
  <c r="BO76" i="3"/>
  <c r="BP76" i="3"/>
  <c r="BQ76" i="3"/>
  <c r="BR76" i="3"/>
  <c r="BS76" i="3"/>
  <c r="BT76" i="3"/>
  <c r="BB77" i="3"/>
  <c r="BC77" i="3"/>
  <c r="BA77" i="3" s="1"/>
  <c r="AZ77" i="3" s="1"/>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L78" i="3" s="1"/>
  <c r="AZ78" i="3" s="1"/>
  <c r="BO78" i="3"/>
  <c r="BP78" i="3"/>
  <c r="BQ78" i="3"/>
  <c r="BR78" i="3"/>
  <c r="BS78" i="3"/>
  <c r="BT78" i="3"/>
  <c r="BB79" i="3"/>
  <c r="BC79" i="3"/>
  <c r="BA79" i="3" s="1"/>
  <c r="AZ79" i="3" s="1"/>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L80" i="3" s="1"/>
  <c r="AZ80" i="3" s="1"/>
  <c r="BO80" i="3"/>
  <c r="BP80" i="3"/>
  <c r="BQ80" i="3"/>
  <c r="BR80" i="3"/>
  <c r="BS80" i="3"/>
  <c r="BT80" i="3"/>
  <c r="BB81" i="3"/>
  <c r="BC81" i="3"/>
  <c r="BA81" i="3" s="1"/>
  <c r="AZ81" i="3" s="1"/>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L82" i="3" s="1"/>
  <c r="AZ82" i="3" s="1"/>
  <c r="BO82" i="3"/>
  <c r="BP82" i="3"/>
  <c r="BQ82" i="3"/>
  <c r="BR82" i="3"/>
  <c r="BS82" i="3"/>
  <c r="BT82" i="3"/>
  <c r="BB83" i="3"/>
  <c r="BC83" i="3"/>
  <c r="BA83" i="3" s="1"/>
  <c r="AZ83" i="3" s="1"/>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L84" i="3" s="1"/>
  <c r="AZ84" i="3" s="1"/>
  <c r="BO84" i="3"/>
  <c r="BP84" i="3"/>
  <c r="BQ84" i="3"/>
  <c r="BR84" i="3"/>
  <c r="BS84" i="3"/>
  <c r="BT84" i="3"/>
  <c r="BB85" i="3"/>
  <c r="BC85" i="3"/>
  <c r="BA85" i="3" s="1"/>
  <c r="AZ85" i="3" s="1"/>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A133" i="3" s="1"/>
  <c r="AZ133" i="3" s="1"/>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s="1"/>
  <c r="AZ138" i="3" s="1"/>
  <c r="BO138" i="3"/>
  <c r="BP138" i="3"/>
  <c r="BQ138" i="3"/>
  <c r="BR138" i="3"/>
  <c r="BS138" i="3"/>
  <c r="BT138" i="3"/>
  <c r="BB139" i="3"/>
  <c r="BC139" i="3"/>
  <c r="BA139" i="3" s="1"/>
  <c r="AZ139" i="3" s="1"/>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s="1"/>
  <c r="AZ140" i="3" s="1"/>
  <c r="BO140" i="3"/>
  <c r="BP140" i="3"/>
  <c r="BQ140" i="3"/>
  <c r="BR140" i="3"/>
  <c r="BS140" i="3"/>
  <c r="BT140" i="3"/>
  <c r="BB141" i="3"/>
  <c r="BC141" i="3"/>
  <c r="BA141" i="3" s="1"/>
  <c r="AZ141" i="3" s="1"/>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s="1"/>
  <c r="AZ142" i="3" s="1"/>
  <c r="BO142" i="3"/>
  <c r="BP142" i="3"/>
  <c r="BQ142" i="3"/>
  <c r="BR142" i="3"/>
  <c r="BS142" i="3"/>
  <c r="BT142" i="3"/>
  <c r="BB143" i="3"/>
  <c r="BC143" i="3"/>
  <c r="BA143" i="3" s="1"/>
  <c r="AZ143" i="3" s="1"/>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L144" i="3" s="1"/>
  <c r="AZ144" i="3" s="1"/>
  <c r="BO144" i="3"/>
  <c r="BP144" i="3"/>
  <c r="BQ144" i="3"/>
  <c r="BR144" i="3"/>
  <c r="BS144" i="3"/>
  <c r="BT144" i="3"/>
  <c r="BB145" i="3"/>
  <c r="BC145" i="3"/>
  <c r="BA145" i="3" s="1"/>
  <c r="AZ145" i="3" s="1"/>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L146" i="3" s="1"/>
  <c r="AZ146" i="3" s="1"/>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s="1"/>
  <c r="AZ148" i="3" s="1"/>
  <c r="BO148" i="3"/>
  <c r="BP148" i="3"/>
  <c r="BQ148" i="3"/>
  <c r="BR148" i="3"/>
  <c r="BS148" i="3"/>
  <c r="BT148" i="3"/>
  <c r="BB149" i="3"/>
  <c r="BC149" i="3"/>
  <c r="BA149" i="3" s="1"/>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A151" i="3" s="1"/>
  <c r="AZ151" i="3" s="1"/>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A185" i="3" s="1"/>
  <c r="AZ185" i="3" s="1"/>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AZ187" i="3" s="1"/>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A199" i="3" s="1"/>
  <c r="AZ199" i="3" s="1"/>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A201" i="3" s="1"/>
  <c r="AZ201" i="3" s="1"/>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s="1"/>
  <c r="AZ202" i="3" s="1"/>
  <c r="BO202" i="3"/>
  <c r="BP202" i="3"/>
  <c r="BQ202" i="3"/>
  <c r="BR202" i="3"/>
  <c r="BS202" i="3"/>
  <c r="BT202" i="3"/>
  <c r="BB203" i="3"/>
  <c r="BC203" i="3"/>
  <c r="BA203" i="3" s="1"/>
  <c r="AZ203" i="3" s="1"/>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s="1"/>
  <c r="AZ204" i="3" s="1"/>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D24" i="71"/>
  <c r="D19" i="71"/>
  <c r="E11" i="71"/>
  <c r="E10" i="71"/>
  <c r="I36" i="40"/>
  <c r="I43" i="40" s="1"/>
  <c r="I9" i="40"/>
  <c r="I7" i="40"/>
  <c r="G36" i="40"/>
  <c r="G43" i="40" s="1"/>
  <c r="E36" i="40"/>
  <c r="E43" i="40" s="1"/>
  <c r="C36" i="40"/>
  <c r="G13" i="40"/>
  <c r="E13" i="40"/>
  <c r="I19" i="4"/>
  <c r="F6" i="1"/>
  <c r="C12" i="40" s="1"/>
  <c r="G9" i="40"/>
  <c r="E9" i="40"/>
  <c r="G7" i="40"/>
  <c r="E7" i="40"/>
  <c r="C7" i="40"/>
  <c r="K5" i="3"/>
  <c r="F20" i="6" s="1"/>
  <c r="I5" i="3"/>
  <c r="F19" i="6" s="1"/>
  <c r="AH5" i="59"/>
  <c r="AG5" i="59"/>
  <c r="AE5" i="59"/>
  <c r="AF5" i="59" s="1"/>
  <c r="AD5" i="59"/>
  <c r="Q6" i="59"/>
  <c r="Q5" i="59"/>
  <c r="AB5" i="59" s="1"/>
  <c r="Q7" i="59"/>
  <c r="Q8" i="59"/>
  <c r="AB6" i="59" s="1"/>
  <c r="Q9" i="59"/>
  <c r="Q10" i="59"/>
  <c r="Q11" i="59"/>
  <c r="Q12" i="59"/>
  <c r="Q13" i="59"/>
  <c r="Q14" i="59"/>
  <c r="Q15" i="59"/>
  <c r="Q16" i="59"/>
  <c r="Q17" i="59"/>
  <c r="Q18" i="59"/>
  <c r="Q19" i="59"/>
  <c r="Q20" i="59"/>
  <c r="Q21" i="59"/>
  <c r="Q22" i="59"/>
  <c r="P6" i="59"/>
  <c r="P5" i="59"/>
  <c r="P7" i="59"/>
  <c r="E7" i="59" s="1"/>
  <c r="P8" i="59"/>
  <c r="P9" i="59"/>
  <c r="P10" i="59"/>
  <c r="P11" i="59"/>
  <c r="P12" i="59"/>
  <c r="P13" i="59"/>
  <c r="P14" i="59"/>
  <c r="P15" i="59"/>
  <c r="P16" i="59"/>
  <c r="P17" i="59"/>
  <c r="P18" i="59"/>
  <c r="P19" i="59"/>
  <c r="P20" i="59"/>
  <c r="P21" i="59"/>
  <c r="P22" i="59"/>
  <c r="AA5" i="59"/>
  <c r="O6" i="59"/>
  <c r="O5" i="59"/>
  <c r="Y5" i="59" s="1"/>
  <c r="Z5" i="59" s="1"/>
  <c r="O7" i="59"/>
  <c r="O8" i="59"/>
  <c r="Y6" i="59" s="1"/>
  <c r="Z6" i="59" s="1"/>
  <c r="O9" i="59"/>
  <c r="O10" i="59"/>
  <c r="O11" i="59"/>
  <c r="O12" i="59"/>
  <c r="O13" i="59"/>
  <c r="O14" i="59"/>
  <c r="O15" i="59"/>
  <c r="O16" i="59"/>
  <c r="O17" i="59"/>
  <c r="O18" i="59"/>
  <c r="O19" i="59"/>
  <c r="O20" i="59"/>
  <c r="O21" i="59"/>
  <c r="O22" i="59"/>
  <c r="N6" i="59"/>
  <c r="N5" i="59"/>
  <c r="X5" i="59" s="1"/>
  <c r="N7" i="59"/>
  <c r="N8" i="59"/>
  <c r="X6" i="59" s="1"/>
  <c r="N9" i="59"/>
  <c r="N10" i="59"/>
  <c r="N11" i="59"/>
  <c r="N12" i="59"/>
  <c r="N13" i="59"/>
  <c r="N14" i="59"/>
  <c r="N15" i="59"/>
  <c r="N16" i="59"/>
  <c r="N17" i="59"/>
  <c r="N18" i="59"/>
  <c r="N19" i="59"/>
  <c r="N20" i="59"/>
  <c r="N21" i="59"/>
  <c r="N22" i="59"/>
  <c r="F7" i="59"/>
  <c r="F6" i="59" s="1"/>
  <c r="F5" i="59" s="1"/>
  <c r="C7" i="59"/>
  <c r="C6" i="59" s="1"/>
  <c r="B7" i="59"/>
  <c r="B6" i="59" s="1"/>
  <c r="B5" i="59" s="1"/>
  <c r="F21" i="59"/>
  <c r="F22" i="59" s="1"/>
  <c r="F23" i="59" s="1"/>
  <c r="M19" i="46" s="1"/>
  <c r="J50" i="15"/>
  <c r="J51" i="15" s="1"/>
  <c r="D8" i="59"/>
  <c r="AH6" i="59"/>
  <c r="AG6" i="59"/>
  <c r="AE6" i="59"/>
  <c r="AF6" i="59"/>
  <c r="AD6" i="59"/>
  <c r="I3" i="59"/>
  <c r="L3" i="59"/>
  <c r="K3" i="59"/>
  <c r="J3" i="59"/>
  <c r="AE7" i="59"/>
  <c r="AF7" i="59" s="1"/>
  <c r="AG7" i="59"/>
  <c r="AH7" i="59"/>
  <c r="AD7" i="59"/>
  <c r="AA6" i="59"/>
  <c r="K59" i="15"/>
  <c r="P62" i="15" s="1"/>
  <c r="P75" i="15"/>
  <c r="Q74" i="44"/>
  <c r="Q61" i="44"/>
  <c r="Q60" i="44"/>
  <c r="Q53" i="44"/>
  <c r="J51" i="44"/>
  <c r="J52" i="44"/>
  <c r="M48" i="44"/>
  <c r="A16" i="55"/>
  <c r="A15" i="55"/>
  <c r="A14" i="55"/>
  <c r="A11" i="55"/>
  <c r="A10" i="55"/>
  <c r="A9" i="55"/>
  <c r="A8" i="55"/>
  <c r="A6" i="54"/>
  <c r="A8" i="54"/>
  <c r="A7" i="54"/>
  <c r="A28" i="51"/>
  <c r="A27" i="51"/>
  <c r="AB7" i="59"/>
  <c r="Y7" i="59"/>
  <c r="Z7" i="59"/>
  <c r="X7" i="59"/>
  <c r="AA7" i="59"/>
  <c r="B11" i="59"/>
  <c r="C11" i="59"/>
  <c r="D11" i="59" s="1"/>
  <c r="E11" i="59"/>
  <c r="U11" i="59" s="1"/>
  <c r="F11" i="59"/>
  <c r="K75" i="9"/>
  <c r="K77" i="9" s="1"/>
  <c r="K79" i="9" s="1"/>
  <c r="K81" i="9" s="1"/>
  <c r="K6" i="4"/>
  <c r="O76" i="9"/>
  <c r="L76" i="9"/>
  <c r="K76" i="9"/>
  <c r="B22" i="31"/>
  <c r="E15" i="66"/>
  <c r="F15" i="66"/>
  <c r="E16" i="66"/>
  <c r="F16" i="66"/>
  <c r="E17" i="66"/>
  <c r="F17" i="66"/>
  <c r="E18" i="66"/>
  <c r="F18" i="66"/>
  <c r="E19" i="66"/>
  <c r="F19" i="66"/>
  <c r="E20" i="66"/>
  <c r="F20" i="66"/>
  <c r="E21" i="66"/>
  <c r="F21" i="66"/>
  <c r="E22" i="66"/>
  <c r="F22" i="66"/>
  <c r="E23" i="66"/>
  <c r="F23" i="66"/>
  <c r="B3" i="66"/>
  <c r="V11" i="59"/>
  <c r="T11" i="59"/>
  <c r="S11" i="59"/>
  <c r="B10" i="59"/>
  <c r="B9" i="59" s="1"/>
  <c r="E10" i="59"/>
  <c r="E9" i="59" s="1"/>
  <c r="C10" i="59"/>
  <c r="C9" i="59" s="1"/>
  <c r="D9" i="59" s="1"/>
  <c r="F10" i="59"/>
  <c r="F9" i="59"/>
  <c r="V7" i="59"/>
  <c r="S7" i="59"/>
  <c r="D10" i="59"/>
  <c r="AD3" i="59"/>
  <c r="AE3" i="59"/>
  <c r="AF3" i="59"/>
  <c r="AG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F22" i="59"/>
  <c r="AD22" i="59"/>
  <c r="AD23" i="59"/>
  <c r="AE23" i="59"/>
  <c r="AF23" i="59"/>
  <c r="AG23" i="59"/>
  <c r="AH23"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AB21" i="59"/>
  <c r="AA21" i="59"/>
  <c r="Y21" i="59"/>
  <c r="X21" i="59"/>
  <c r="S2" i="31"/>
  <c r="M2" i="31"/>
  <c r="N2" i="31"/>
  <c r="O2" i="31"/>
  <c r="P2" i="31"/>
  <c r="Q2" i="31"/>
  <c r="R2" i="31"/>
  <c r="C3" i="65"/>
  <c r="C1" i="65"/>
  <c r="N1" i="65"/>
  <c r="T7" i="59"/>
  <c r="D7" i="59"/>
  <c r="H1" i="65"/>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A21" i="64"/>
  <c r="B75" i="63" s="1"/>
  <c r="B73" i="63"/>
  <c r="C57" i="10"/>
  <c r="A28" i="64"/>
  <c r="A27" i="64"/>
  <c r="A15" i="64"/>
  <c r="A14" i="64"/>
  <c r="A11" i="64"/>
  <c r="A3" i="64"/>
  <c r="A45" i="9"/>
  <c r="A44" i="9"/>
  <c r="K39" i="9" s="1"/>
  <c r="C56" i="10"/>
  <c r="C55" i="10"/>
  <c r="C54" i="10"/>
  <c r="B49" i="63"/>
  <c r="B44" i="63"/>
  <c r="B40" i="63"/>
  <c r="B30" i="63"/>
  <c r="B27" i="63"/>
  <c r="B25" i="63"/>
  <c r="A11" i="51"/>
  <c r="A26" i="64"/>
  <c r="A26" i="51"/>
  <c r="B19" i="63" s="1"/>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c r="B41" i="63"/>
  <c r="G5" i="54"/>
  <c r="B34" i="63" s="1"/>
  <c r="E5" i="54"/>
  <c r="B32" i="63" s="1"/>
  <c r="R2" i="54"/>
  <c r="B24" i="63" s="1"/>
  <c r="B49" i="50"/>
  <c r="B5" i="63"/>
  <c r="B40" i="50"/>
  <c r="B3" i="63"/>
  <c r="N4" i="63"/>
  <c r="B21" i="63"/>
  <c r="B67" i="63"/>
  <c r="I19" i="46"/>
  <c r="D72" i="59"/>
  <c r="F71" i="59"/>
  <c r="F70" i="59" s="1"/>
  <c r="E71" i="59"/>
  <c r="E70" i="59"/>
  <c r="E69" i="59" s="1"/>
  <c r="C71" i="59"/>
  <c r="B71" i="59"/>
  <c r="B70" i="59" s="1"/>
  <c r="F69" i="59"/>
  <c r="B69" i="59"/>
  <c r="D68" i="59"/>
  <c r="F67" i="59"/>
  <c r="F66" i="59" s="1"/>
  <c r="E67" i="59"/>
  <c r="E66" i="59"/>
  <c r="E65" i="59" s="1"/>
  <c r="C67" i="59"/>
  <c r="D67" i="59" s="1"/>
  <c r="B67" i="59"/>
  <c r="B66" i="59" s="1"/>
  <c r="F65" i="59"/>
  <c r="B65" i="59"/>
  <c r="D64" i="59"/>
  <c r="Q63" i="59"/>
  <c r="P63" i="59"/>
  <c r="O63" i="59"/>
  <c r="N63" i="59"/>
  <c r="F63" i="59"/>
  <c r="V63" i="59" s="1"/>
  <c r="E63" i="59"/>
  <c r="C63" i="59"/>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C55" i="59"/>
  <c r="B55" i="59"/>
  <c r="S55" i="59" s="1"/>
  <c r="Q54" i="59"/>
  <c r="P54" i="59"/>
  <c r="O54" i="59"/>
  <c r="N54" i="59"/>
  <c r="F54" i="59"/>
  <c r="F53" i="59" s="1"/>
  <c r="B54" i="59"/>
  <c r="B53" i="59" s="1"/>
  <c r="Q53" i="59"/>
  <c r="P53" i="59"/>
  <c r="O53" i="59"/>
  <c r="N53" i="59"/>
  <c r="Q52" i="59"/>
  <c r="P52" i="59"/>
  <c r="O52" i="59"/>
  <c r="N52" i="59"/>
  <c r="D52" i="59"/>
  <c r="F51" i="59"/>
  <c r="V51" i="59"/>
  <c r="E51" i="59"/>
  <c r="E50" i="59"/>
  <c r="C51" i="59"/>
  <c r="B51" i="59"/>
  <c r="N51" i="59"/>
  <c r="F50" i="59"/>
  <c r="F49" i="59"/>
  <c r="B50" i="59"/>
  <c r="B49" i="59" s="1"/>
  <c r="N49" i="59" s="1"/>
  <c r="D48" i="59"/>
  <c r="Q47" i="59"/>
  <c r="P47" i="59"/>
  <c r="O47" i="59"/>
  <c r="N47" i="59"/>
  <c r="Q46" i="59"/>
  <c r="P46" i="59"/>
  <c r="O46" i="59"/>
  <c r="N46" i="59"/>
  <c r="Q45" i="59"/>
  <c r="P45" i="59"/>
  <c r="O45" i="59"/>
  <c r="N45" i="59"/>
  <c r="Q44" i="59"/>
  <c r="F45" i="59"/>
  <c r="F46" i="59" s="1"/>
  <c r="P44" i="59"/>
  <c r="E45" i="59"/>
  <c r="E46" i="59" s="1"/>
  <c r="E47" i="59" s="1"/>
  <c r="U47" i="59" s="1"/>
  <c r="O44" i="59"/>
  <c r="C45" i="59" s="1"/>
  <c r="C46" i="59" s="1"/>
  <c r="D46" i="59" s="1"/>
  <c r="N44" i="59"/>
  <c r="B45" i="59" s="1"/>
  <c r="B46" i="59"/>
  <c r="B47" i="59" s="1"/>
  <c r="S47" i="59" s="1"/>
  <c r="D44" i="59"/>
  <c r="Q43" i="59"/>
  <c r="P43" i="59"/>
  <c r="O43" i="59"/>
  <c r="N43" i="59"/>
  <c r="Q42" i="59"/>
  <c r="P42" i="59"/>
  <c r="O42" i="59"/>
  <c r="N42" i="59"/>
  <c r="Q41" i="59"/>
  <c r="P41" i="59"/>
  <c r="O41" i="59"/>
  <c r="N41" i="59"/>
  <c r="Q40" i="59"/>
  <c r="F41" i="59" s="1"/>
  <c r="P40" i="59"/>
  <c r="E41" i="59" s="1"/>
  <c r="E42" i="59" s="1"/>
  <c r="E43" i="59" s="1"/>
  <c r="U43" i="59" s="1"/>
  <c r="O40" i="59"/>
  <c r="C41" i="59"/>
  <c r="C42" i="59" s="1"/>
  <c r="C43" i="59" s="1"/>
  <c r="T43" i="59" s="1"/>
  <c r="N40" i="59"/>
  <c r="B41" i="59"/>
  <c r="B42" i="59" s="1"/>
  <c r="B43" i="59" s="1"/>
  <c r="S43" i="59" s="1"/>
  <c r="D40" i="59"/>
  <c r="Q39" i="59"/>
  <c r="P39" i="59"/>
  <c r="O39" i="59"/>
  <c r="N39" i="59"/>
  <c r="Q38" i="59"/>
  <c r="P38" i="59"/>
  <c r="O38" i="59"/>
  <c r="N38" i="59"/>
  <c r="Q37" i="59"/>
  <c r="P37" i="59"/>
  <c r="O37" i="59"/>
  <c r="N37" i="59"/>
  <c r="Q36" i="59"/>
  <c r="F37" i="59"/>
  <c r="F38" i="59" s="1"/>
  <c r="F39" i="59" s="1"/>
  <c r="V39" i="59" s="1"/>
  <c r="P36" i="59"/>
  <c r="E37" i="59"/>
  <c r="E38" i="59" s="1"/>
  <c r="E39" i="59" s="1"/>
  <c r="U39" i="59" s="1"/>
  <c r="O36" i="59"/>
  <c r="C37" i="59" s="1"/>
  <c r="C38" i="59" s="1"/>
  <c r="C39" i="59" s="1"/>
  <c r="N36" i="59"/>
  <c r="B37" i="59" s="1"/>
  <c r="B38" i="59"/>
  <c r="B39" i="59" s="1"/>
  <c r="S39" i="59" s="1"/>
  <c r="D36" i="59"/>
  <c r="Q35" i="59"/>
  <c r="P35" i="59"/>
  <c r="O35" i="59"/>
  <c r="N35" i="59"/>
  <c r="Q34" i="59"/>
  <c r="P34" i="59"/>
  <c r="O34" i="59"/>
  <c r="N34" i="59"/>
  <c r="Q33" i="59"/>
  <c r="P33" i="59"/>
  <c r="O33" i="59"/>
  <c r="N33" i="59"/>
  <c r="Q32" i="59"/>
  <c r="F33" i="59" s="1"/>
  <c r="F34" i="59"/>
  <c r="F35" i="59" s="1"/>
  <c r="V35" i="59" s="1"/>
  <c r="P32" i="59"/>
  <c r="E33" i="59"/>
  <c r="O32" i="59"/>
  <c r="C33" i="59"/>
  <c r="C34" i="59" s="1"/>
  <c r="N32" i="59"/>
  <c r="B33" i="59"/>
  <c r="B34" i="59" s="1"/>
  <c r="D32" i="59"/>
  <c r="T31" i="59"/>
  <c r="Q31" i="59"/>
  <c r="P31" i="59"/>
  <c r="O31" i="59"/>
  <c r="N31" i="59"/>
  <c r="D31" i="59"/>
  <c r="Q30" i="59"/>
  <c r="P30" i="59"/>
  <c r="O30" i="59"/>
  <c r="N30" i="59"/>
  <c r="Q29" i="59"/>
  <c r="P29" i="59"/>
  <c r="O29" i="59"/>
  <c r="N29" i="59"/>
  <c r="Q28" i="59"/>
  <c r="F29" i="59" s="1"/>
  <c r="P28" i="59"/>
  <c r="E29" i="59" s="1"/>
  <c r="E30" i="59" s="1"/>
  <c r="E31" i="59" s="1"/>
  <c r="U31" i="59" s="1"/>
  <c r="O28" i="59"/>
  <c r="C29" i="59"/>
  <c r="D29" i="59" s="1"/>
  <c r="N28" i="59"/>
  <c r="B29" i="59"/>
  <c r="B30" i="59" s="1"/>
  <c r="B31" i="59" s="1"/>
  <c r="S31" i="59" s="1"/>
  <c r="D28" i="59"/>
  <c r="Q27" i="59"/>
  <c r="P27" i="59"/>
  <c r="O27" i="59"/>
  <c r="N27" i="59"/>
  <c r="Q26" i="59"/>
  <c r="P26" i="59"/>
  <c r="O26" i="59"/>
  <c r="N26" i="59"/>
  <c r="Q25" i="59"/>
  <c r="P25" i="59"/>
  <c r="O25" i="59"/>
  <c r="N25" i="59"/>
  <c r="Q24" i="59"/>
  <c r="F25" i="59"/>
  <c r="F26" i="59" s="1"/>
  <c r="P24" i="59"/>
  <c r="E25" i="59"/>
  <c r="E26" i="59" s="1"/>
  <c r="E27" i="59" s="1"/>
  <c r="U27" i="59" s="1"/>
  <c r="O24" i="59"/>
  <c r="C25" i="59" s="1"/>
  <c r="D25" i="59" s="1"/>
  <c r="N24" i="59"/>
  <c r="B25" i="59" s="1"/>
  <c r="B26" i="59"/>
  <c r="B27" i="59" s="1"/>
  <c r="S27" i="59" s="1"/>
  <c r="D24" i="59"/>
  <c r="Q23" i="59"/>
  <c r="P23" i="59"/>
  <c r="O23" i="59"/>
  <c r="N23" i="59"/>
  <c r="AB22" i="59"/>
  <c r="Y22" i="59"/>
  <c r="Z22" i="59"/>
  <c r="X22" i="59"/>
  <c r="E21" i="59"/>
  <c r="E22" i="59" s="1"/>
  <c r="E23" i="59"/>
  <c r="U23" i="59" s="1"/>
  <c r="C21" i="59"/>
  <c r="D21" i="59" s="1"/>
  <c r="B21" i="59"/>
  <c r="B22" i="59"/>
  <c r="B23" i="59" s="1"/>
  <c r="S23" i="59"/>
  <c r="D20" i="59"/>
  <c r="F17" i="59"/>
  <c r="F18" i="59" s="1"/>
  <c r="E17" i="59"/>
  <c r="E18" i="59"/>
  <c r="E19" i="59" s="1"/>
  <c r="U19" i="59" s="1"/>
  <c r="C17" i="59"/>
  <c r="B17" i="59"/>
  <c r="B18" i="59" s="1"/>
  <c r="B19" i="59"/>
  <c r="S19" i="59" s="1"/>
  <c r="D16" i="59"/>
  <c r="F13" i="59"/>
  <c r="C13" i="59"/>
  <c r="D13" i="59" s="1"/>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s="1"/>
  <c r="S15" i="59"/>
  <c r="E13" i="59"/>
  <c r="E14" i="59"/>
  <c r="E15" i="59" s="1"/>
  <c r="U15" i="59" s="1"/>
  <c r="B35" i="59"/>
  <c r="S35" i="59" s="1"/>
  <c r="E34" i="59"/>
  <c r="E35" i="59" s="1"/>
  <c r="U35" i="59"/>
  <c r="S51" i="59"/>
  <c r="Z21" i="59"/>
  <c r="AA22" i="59"/>
  <c r="F14" i="59"/>
  <c r="F15" i="59" s="1"/>
  <c r="V15" i="59" s="1"/>
  <c r="F19" i="59"/>
  <c r="V19" i="59" s="1"/>
  <c r="V23" i="59"/>
  <c r="F27" i="59"/>
  <c r="V27" i="59" s="1"/>
  <c r="F30" i="59"/>
  <c r="F31" i="59" s="1"/>
  <c r="V31" i="59"/>
  <c r="F42" i="59"/>
  <c r="F43" i="59" s="1"/>
  <c r="V43" i="59" s="1"/>
  <c r="F47" i="59"/>
  <c r="V47" i="59" s="1"/>
  <c r="C14" i="59"/>
  <c r="C22" i="59"/>
  <c r="C23" i="59" s="1"/>
  <c r="C30" i="59"/>
  <c r="D30" i="59" s="1"/>
  <c r="D33" i="59"/>
  <c r="D41" i="59"/>
  <c r="C18" i="59"/>
  <c r="D17" i="59"/>
  <c r="N50" i="59"/>
  <c r="Q50" i="59"/>
  <c r="O51" i="59"/>
  <c r="P51" i="59"/>
  <c r="U51" i="59"/>
  <c r="Q51" i="59"/>
  <c r="C54" i="59"/>
  <c r="C53" i="59" s="1"/>
  <c r="C58" i="59"/>
  <c r="D58" i="59" s="1"/>
  <c r="E58" i="59"/>
  <c r="E57" i="59"/>
  <c r="D59" i="59"/>
  <c r="C62" i="59"/>
  <c r="D62" i="59" s="1"/>
  <c r="U16" i="4"/>
  <c r="S16" i="4"/>
  <c r="Q16" i="4"/>
  <c r="O16" i="4"/>
  <c r="M16" i="4"/>
  <c r="N16" i="4" s="1"/>
  <c r="K16" i="4"/>
  <c r="C61" i="59"/>
  <c r="D61" i="59" s="1"/>
  <c r="D54" i="59"/>
  <c r="D53" i="59"/>
  <c r="C57" i="59"/>
  <c r="D57" i="59" s="1"/>
  <c r="N48" i="59"/>
  <c r="C19" i="59"/>
  <c r="D18" i="59"/>
  <c r="D42" i="59"/>
  <c r="D38" i="59"/>
  <c r="C35" i="59"/>
  <c r="D34" i="59"/>
  <c r="D22" i="59"/>
  <c r="C15" i="59"/>
  <c r="D14" i="59"/>
  <c r="L16" i="4"/>
  <c r="D43" i="59"/>
  <c r="T15" i="59"/>
  <c r="D15" i="59"/>
  <c r="T35" i="59"/>
  <c r="D35" i="59"/>
  <c r="T19" i="59"/>
  <c r="D19" i="59"/>
  <c r="O27" i="6"/>
  <c r="N27" i="6"/>
  <c r="P26" i="6"/>
  <c r="L26" i="6"/>
  <c r="P25" i="6"/>
  <c r="L25" i="6"/>
  <c r="P24" i="6"/>
  <c r="L24" i="6"/>
  <c r="P23" i="6"/>
  <c r="L23" i="6"/>
  <c r="P22" i="6"/>
  <c r="L22" i="6"/>
  <c r="P21" i="6"/>
  <c r="L21" i="6"/>
  <c r="P20" i="6"/>
  <c r="P19" i="6"/>
  <c r="P27" i="6"/>
  <c r="Q18" i="36"/>
  <c r="Z18" i="36"/>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c r="F21" i="21"/>
  <c r="AA21" i="21"/>
  <c r="C21" i="21"/>
  <c r="Q27" i="40"/>
  <c r="Z27" i="40" s="1"/>
  <c r="D96" i="40"/>
  <c r="E96" i="40" s="1"/>
  <c r="Q31" i="39"/>
  <c r="Z31" i="39" s="1"/>
  <c r="D105" i="39"/>
  <c r="E105" i="39" s="1"/>
  <c r="F105" i="39" s="1"/>
  <c r="F31" i="39"/>
  <c r="AA31" i="39" s="1"/>
  <c r="G20" i="20"/>
  <c r="B85" i="46" s="1"/>
  <c r="C22" i="20"/>
  <c r="B65" i="46" s="1"/>
  <c r="S18" i="36"/>
  <c r="S18" i="35"/>
  <c r="S21" i="37"/>
  <c r="S21" i="21"/>
  <c r="C27" i="40"/>
  <c r="B54" i="46"/>
  <c r="E66" i="36"/>
  <c r="H18" i="35"/>
  <c r="J18" i="35"/>
  <c r="H21" i="37"/>
  <c r="J21" i="37"/>
  <c r="E84" i="34"/>
  <c r="F84" i="34"/>
  <c r="G84" i="34" s="1"/>
  <c r="J21" i="34"/>
  <c r="H21" i="34"/>
  <c r="F21" i="33"/>
  <c r="H21" i="33"/>
  <c r="J21" i="33"/>
  <c r="F83" i="21"/>
  <c r="H21" i="21"/>
  <c r="G83" i="21"/>
  <c r="J21" i="21"/>
  <c r="H31" i="39"/>
  <c r="F23" i="15"/>
  <c r="D22" i="15"/>
  <c r="G17" i="11"/>
  <c r="F15" i="15"/>
  <c r="F17" i="15"/>
  <c r="F18" i="15"/>
  <c r="F20" i="15"/>
  <c r="F21" i="15"/>
  <c r="F33" i="15"/>
  <c r="F60" i="15"/>
  <c r="K2" i="4"/>
  <c r="K1" i="4"/>
  <c r="B1" i="4"/>
  <c r="B37" i="50"/>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K86" i="46"/>
  <c r="D86" i="46" s="1"/>
  <c r="J86" i="46"/>
  <c r="M85" i="46"/>
  <c r="N85" i="46"/>
  <c r="K85" i="46"/>
  <c r="D85" i="46"/>
  <c r="J85" i="46"/>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K139" i="21" s="1"/>
  <c r="K145" i="21" s="1"/>
  <c r="J142" i="21"/>
  <c r="J140" i="21"/>
  <c r="M87" i="21"/>
  <c r="L87" i="21"/>
  <c r="K87" i="21"/>
  <c r="J87" i="21"/>
  <c r="I87" i="21"/>
  <c r="H87" i="21"/>
  <c r="G87" i="21"/>
  <c r="F87" i="21"/>
  <c r="E87" i="21"/>
  <c r="D87" i="21"/>
  <c r="G2" i="46"/>
  <c r="X7"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H19" i="4"/>
  <c r="G19" i="4"/>
  <c r="F9" i="1"/>
  <c r="F19" i="4"/>
  <c r="F8" i="1"/>
  <c r="E19" i="4"/>
  <c r="F7" i="1"/>
  <c r="B2" i="52"/>
  <c r="E22" i="52" s="1"/>
  <c r="I2" i="46"/>
  <c r="N12" i="46" s="1"/>
  <c r="A7" i="46"/>
  <c r="F41" i="4"/>
  <c r="J52" i="40"/>
  <c r="H61" i="49"/>
  <c r="H39" i="46"/>
  <c r="H38" i="46"/>
  <c r="H37" i="46"/>
  <c r="H36" i="46"/>
  <c r="H35" i="46"/>
  <c r="H34" i="46"/>
  <c r="H33" i="46"/>
  <c r="J20" i="46"/>
  <c r="C18" i="46"/>
  <c r="F15" i="46"/>
  <c r="E15" i="46"/>
  <c r="D15" i="46"/>
  <c r="C15" i="46"/>
  <c r="C10" i="46"/>
  <c r="C11" i="46"/>
  <c r="C9" i="46"/>
  <c r="E19" i="6"/>
  <c r="E32" i="6"/>
  <c r="E20" i="6"/>
  <c r="E21" i="6"/>
  <c r="K8" i="1"/>
  <c r="M8" i="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s="1"/>
  <c r="J11" i="39"/>
  <c r="AC11" i="39" s="1"/>
  <c r="J36" i="39"/>
  <c r="AC36" i="39" s="1"/>
  <c r="J40" i="39"/>
  <c r="AC40" i="39" s="1"/>
  <c r="J42" i="39"/>
  <c r="AC42" i="39" s="1"/>
  <c r="F35" i="44"/>
  <c r="M21" i="44"/>
  <c r="F20" i="44"/>
  <c r="C6" i="43"/>
  <c r="K9" i="43"/>
  <c r="J9" i="43"/>
  <c r="I9" i="43"/>
  <c r="H9" i="43"/>
  <c r="G9" i="43"/>
  <c r="F9" i="43"/>
  <c r="E9" i="43"/>
  <c r="D9" i="43"/>
  <c r="C9" i="43"/>
  <c r="C6" i="12"/>
  <c r="B24" i="1"/>
  <c r="E77" i="9"/>
  <c r="O75" i="9"/>
  <c r="L75" i="9"/>
  <c r="F77" i="9"/>
  <c r="P75" i="9" s="1"/>
  <c r="O74" i="9"/>
  <c r="O73" i="9"/>
  <c r="E66" i="9"/>
  <c r="O72" i="9" s="1"/>
  <c r="F74" i="9"/>
  <c r="P74" i="9" s="1"/>
  <c r="N67" i="9"/>
  <c r="K44" i="9"/>
  <c r="K43" i="9"/>
  <c r="B31" i="1"/>
  <c r="E10" i="11"/>
  <c r="B22" i="1"/>
  <c r="C2" i="65"/>
  <c r="B23" i="1"/>
  <c r="BC11" i="3"/>
  <c r="BD11" i="3"/>
  <c r="C11" i="11"/>
  <c r="C10" i="11" s="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9" i="12"/>
  <c r="I9" i="12"/>
  <c r="J9" i="12"/>
  <c r="K9" i="12"/>
  <c r="G111" i="21"/>
  <c r="H111" i="21"/>
  <c r="B112" i="39"/>
  <c r="B114" i="39"/>
  <c r="F38" i="39"/>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E101" i="37" s="1"/>
  <c r="F34" i="37"/>
  <c r="D99" i="37"/>
  <c r="E99" i="37" s="1"/>
  <c r="H42" i="34"/>
  <c r="AB42" i="34" s="1"/>
  <c r="J42" i="34"/>
  <c r="F42" i="34"/>
  <c r="S42" i="34" s="1"/>
  <c r="J38" i="34"/>
  <c r="D114" i="34"/>
  <c r="E114" i="34" s="1"/>
  <c r="F38" i="34"/>
  <c r="D112" i="34"/>
  <c r="E112" i="34" s="1"/>
  <c r="F112" i="34" s="1"/>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J38" i="40" s="1"/>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s="1"/>
  <c r="AB21" i="40"/>
  <c r="D88" i="40"/>
  <c r="E88" i="40"/>
  <c r="D86" i="40"/>
  <c r="E86" i="40"/>
  <c r="F86" i="40" s="1"/>
  <c r="J17" i="40"/>
  <c r="W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c r="F99" i="39" s="1"/>
  <c r="G99" i="39" s="1"/>
  <c r="D97" i="39"/>
  <c r="D95" i="39"/>
  <c r="E95" i="39" s="1"/>
  <c r="F95" i="39"/>
  <c r="G95" i="39" s="1"/>
  <c r="D93" i="39"/>
  <c r="E93" i="39" s="1"/>
  <c r="F93" i="39"/>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B90" i="21"/>
  <c r="B74" i="21"/>
  <c r="B72" i="21"/>
  <c r="B70" i="21"/>
  <c r="F10" i="21"/>
  <c r="AA10" i="21" s="1"/>
  <c r="C7" i="21"/>
  <c r="C58" i="21" s="1"/>
  <c r="D58" i="2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J5" i="3"/>
  <c r="BE10" i="3"/>
  <c r="BD5" i="3"/>
  <c r="BF5" i="3"/>
  <c r="BG5" i="3"/>
  <c r="BH5" i="3"/>
  <c r="BI5" i="3"/>
  <c r="BK5" i="3"/>
  <c r="BP5" i="3"/>
  <c r="BT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s="1"/>
  <c r="F36" i="21"/>
  <c r="S36" i="21" s="1"/>
  <c r="F39" i="21"/>
  <c r="AA39" i="21" s="1"/>
  <c r="J40" i="21"/>
  <c r="H35" i="21"/>
  <c r="AB35" i="21" s="1"/>
  <c r="J8" i="21"/>
  <c r="J9" i="21"/>
  <c r="AC9" i="21" s="1"/>
  <c r="H8" i="21"/>
  <c r="H9" i="21"/>
  <c r="AB9"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H12" i="21"/>
  <c r="U12" i="21" s="1"/>
  <c r="J26" i="21"/>
  <c r="W26" i="21" s="1"/>
  <c r="F26" i="21"/>
  <c r="AA26" i="21" s="1"/>
  <c r="AB41" i="21"/>
  <c r="S41" i="21"/>
  <c r="AA41" i="21"/>
  <c r="S10" i="39"/>
  <c r="E103" i="37"/>
  <c r="F103" i="37" s="1"/>
  <c r="F39" i="37"/>
  <c r="S39" i="37" s="1"/>
  <c r="W39" i="37"/>
  <c r="F29" i="36"/>
  <c r="AA29" i="36"/>
  <c r="F16" i="36"/>
  <c r="AA16" i="36"/>
  <c r="U22" i="36"/>
  <c r="W23" i="36"/>
  <c r="W22" i="36"/>
  <c r="U26" i="36"/>
  <c r="J33" i="36"/>
  <c r="W33" i="36" s="1"/>
  <c r="AC27" i="35"/>
  <c r="S34" i="35"/>
  <c r="W24" i="35"/>
  <c r="S31" i="35"/>
  <c r="W31" i="35"/>
  <c r="F36" i="34"/>
  <c r="S36" i="34" s="1"/>
  <c r="W9" i="34"/>
  <c r="S34" i="34"/>
  <c r="W39" i="34"/>
  <c r="H39" i="33"/>
  <c r="AB39" i="33"/>
  <c r="U33" i="33"/>
  <c r="W38" i="33"/>
  <c r="S40" i="33"/>
  <c r="S33" i="33"/>
  <c r="W33" i="33"/>
  <c r="U38" i="33"/>
  <c r="S8" i="21"/>
  <c r="H39" i="37"/>
  <c r="AB39" i="37" s="1"/>
  <c r="AB27" i="35"/>
  <c r="S10" i="40"/>
  <c r="W10" i="40"/>
  <c r="S11" i="40"/>
  <c r="U11" i="40"/>
  <c r="S36" i="40"/>
  <c r="U36" i="40"/>
  <c r="S40" i="39"/>
  <c r="S36" i="39"/>
  <c r="F11" i="21"/>
  <c r="S11" i="21"/>
  <c r="AB36" i="21"/>
  <c r="AC35" i="21"/>
  <c r="C29" i="39"/>
  <c r="C23" i="39"/>
  <c r="U36" i="39"/>
  <c r="S42" i="39"/>
  <c r="H32" i="33"/>
  <c r="AB32" i="33"/>
  <c r="H11" i="21"/>
  <c r="U11" i="21"/>
  <c r="J11" i="21"/>
  <c r="W11" i="21"/>
  <c r="AA12" i="33"/>
  <c r="U9" i="21"/>
  <c r="J27" i="36"/>
  <c r="W27" i="36" s="1"/>
  <c r="J34" i="36"/>
  <c r="W34" i="36" s="1"/>
  <c r="J30" i="35"/>
  <c r="W30" i="35" s="1"/>
  <c r="F22" i="35"/>
  <c r="H10" i="35"/>
  <c r="U10" i="35" s="1"/>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F101" i="37"/>
  <c r="G101" i="37" s="1"/>
  <c r="H101" i="37"/>
  <c r="I101" i="37" s="1"/>
  <c r="J101" i="37" s="1"/>
  <c r="K101" i="37" s="1"/>
  <c r="L101" i="37" s="1"/>
  <c r="M101" i="37" s="1"/>
  <c r="J34" i="37"/>
  <c r="W34" i="37" s="1"/>
  <c r="AA39" i="37"/>
  <c r="H43" i="34"/>
  <c r="U42" i="34"/>
  <c r="H36" i="34"/>
  <c r="U36" i="34" s="1"/>
  <c r="F37" i="34"/>
  <c r="AA37" i="34" s="1"/>
  <c r="F33" i="34"/>
  <c r="S33" i="34" s="1"/>
  <c r="F19" i="34"/>
  <c r="AA19" i="34"/>
  <c r="J10" i="34"/>
  <c r="AC10" i="34"/>
  <c r="W8" i="34"/>
  <c r="S38" i="33"/>
  <c r="E113" i="33"/>
  <c r="F36" i="33"/>
  <c r="S36" i="33"/>
  <c r="F19" i="33"/>
  <c r="S19" i="33"/>
  <c r="J19" i="33"/>
  <c r="S10" i="21"/>
  <c r="W40" i="33"/>
  <c r="F125" i="21"/>
  <c r="G125" i="21" s="1"/>
  <c r="G86" i="40"/>
  <c r="AB30" i="36"/>
  <c r="AC34" i="36"/>
  <c r="H29" i="35"/>
  <c r="U34" i="37"/>
  <c r="S34" i="37"/>
  <c r="AA34" i="37"/>
  <c r="AC43" i="34"/>
  <c r="AB40" i="34"/>
  <c r="W36" i="34"/>
  <c r="J19" i="34"/>
  <c r="AC19" i="34" s="1"/>
  <c r="F113" i="33"/>
  <c r="G113" i="33" s="1"/>
  <c r="H113" i="33" s="1"/>
  <c r="I113" i="33" s="1"/>
  <c r="J113" i="33" s="1"/>
  <c r="K113" i="33" s="1"/>
  <c r="L113" i="33" s="1"/>
  <c r="M113" i="33" s="1"/>
  <c r="H37" i="33"/>
  <c r="AB37" i="33" s="1"/>
  <c r="S37" i="33"/>
  <c r="AC42" i="34"/>
  <c r="W42" i="34"/>
  <c r="AA42" i="34"/>
  <c r="AC38" i="34"/>
  <c r="W38" i="34"/>
  <c r="AA38" i="34"/>
  <c r="S38" i="34"/>
  <c r="J37" i="33"/>
  <c r="W37" i="33" s="1"/>
  <c r="J42" i="21"/>
  <c r="AC42" i="21" s="1"/>
  <c r="J44" i="34"/>
  <c r="AC44" i="34" s="1"/>
  <c r="F44" i="34"/>
  <c r="S44" i="34" s="1"/>
  <c r="J10" i="35"/>
  <c r="W10" i="35" s="1"/>
  <c r="AL5"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B27" i="33"/>
  <c r="AC28" i="33"/>
  <c r="AB44" i="21"/>
  <c r="S19" i="21"/>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J57" i="39"/>
  <c r="H13" i="40"/>
  <c r="U13" i="40" s="1"/>
  <c r="H12" i="48"/>
  <c r="I4" i="4"/>
  <c r="K141" i="21"/>
  <c r="K143" i="21"/>
  <c r="K144" i="21"/>
  <c r="I59" i="40"/>
  <c r="C59" i="40"/>
  <c r="I60" i="40"/>
  <c r="C60" i="40"/>
  <c r="H7" i="48"/>
  <c r="H113" i="46"/>
  <c r="H17" i="46"/>
  <c r="F33" i="46"/>
  <c r="F35" i="46"/>
  <c r="F37" i="46"/>
  <c r="H16" i="48"/>
  <c r="H9" i="48"/>
  <c r="H8" i="48"/>
  <c r="C12" i="46"/>
  <c r="AB16" i="35"/>
  <c r="AB15" i="37"/>
  <c r="AA43" i="21"/>
  <c r="U43" i="21"/>
  <c r="AA13" i="40"/>
  <c r="E78" i="40"/>
  <c r="F78" i="40"/>
  <c r="G78" i="40" s="1"/>
  <c r="H78" i="40" s="1"/>
  <c r="I78" i="40" s="1"/>
  <c r="J78" i="40" s="1"/>
  <c r="K78" i="40" s="1"/>
  <c r="L78" i="40" s="1"/>
  <c r="M78" i="40" s="1"/>
  <c r="R16" i="4"/>
  <c r="P16" i="4"/>
  <c r="D3" i="35"/>
  <c r="G4" i="4"/>
  <c r="S37" i="34"/>
  <c r="J16" i="35"/>
  <c r="W16" i="35"/>
  <c r="U42" i="21"/>
  <c r="AC26" i="36"/>
  <c r="W25" i="35"/>
  <c r="H13" i="39"/>
  <c r="AB13" i="39" s="1"/>
  <c r="F13" i="39"/>
  <c r="J13" i="39"/>
  <c r="AC13" i="39"/>
  <c r="AA36" i="35"/>
  <c r="H11" i="37"/>
  <c r="AB11" i="37" s="1"/>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J5" i="3"/>
  <c r="BB5" i="3"/>
  <c r="BC5" i="3"/>
  <c r="E8" i="6"/>
  <c r="E58" i="39" s="1"/>
  <c r="F36" i="44"/>
  <c r="F114" i="34"/>
  <c r="G114" i="34"/>
  <c r="H114" i="34" s="1"/>
  <c r="I114" i="34" s="1"/>
  <c r="J114" i="34" s="1"/>
  <c r="K114" i="34" s="1"/>
  <c r="L114" i="34" s="1"/>
  <c r="M114" i="34" s="1"/>
  <c r="H38" i="34"/>
  <c r="U38" i="34"/>
  <c r="F38" i="40"/>
  <c r="AA38" i="40"/>
  <c r="AA36" i="34"/>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B41" i="1"/>
  <c r="J42" i="40"/>
  <c r="AC42" i="40" s="1"/>
  <c r="J40" i="40"/>
  <c r="AC40" i="40" s="1"/>
  <c r="J34" i="40"/>
  <c r="AC34" i="40" s="1"/>
  <c r="H16" i="40"/>
  <c r="AB16" i="40" s="1"/>
  <c r="H14" i="40"/>
  <c r="U14" i="40" s="1"/>
  <c r="F32" i="40"/>
  <c r="AA32" i="40" s="1"/>
  <c r="M1" i="46"/>
  <c r="M6" i="46"/>
  <c r="M10" i="46"/>
  <c r="N2" i="46"/>
  <c r="N5" i="46"/>
  <c r="F58" i="46"/>
  <c r="H61" i="46"/>
  <c r="F47" i="46"/>
  <c r="H49" i="46"/>
  <c r="N7" i="46"/>
  <c r="M7" i="46"/>
  <c r="M11" i="46"/>
  <c r="N3" i="46"/>
  <c r="N6" i="46"/>
  <c r="N10" i="46"/>
  <c r="H47" i="46"/>
  <c r="J13" i="40"/>
  <c r="W13" i="40" s="1"/>
  <c r="AB14" i="40"/>
  <c r="F34" i="44"/>
  <c r="F27" i="43"/>
  <c r="F66" i="9"/>
  <c r="P72" i="9" s="1"/>
  <c r="F71" i="9"/>
  <c r="F72" i="9"/>
  <c r="AC14" i="40"/>
  <c r="S33" i="40"/>
  <c r="AC47" i="39"/>
  <c r="S47" i="39"/>
  <c r="AB25" i="39"/>
  <c r="U37" i="34"/>
  <c r="AC41" i="40"/>
  <c r="W41" i="40"/>
  <c r="U41" i="40"/>
  <c r="J23" i="40"/>
  <c r="AC23" i="40"/>
  <c r="F23" i="40"/>
  <c r="S23" i="40" s="1"/>
  <c r="AC15" i="40"/>
  <c r="W27" i="39"/>
  <c r="S23" i="39"/>
  <c r="AB16" i="39"/>
  <c r="W14" i="39"/>
  <c r="U23" i="35"/>
  <c r="AB23" i="35"/>
  <c r="H20" i="35"/>
  <c r="AB20" i="35" s="1"/>
  <c r="F20" i="35"/>
  <c r="S20" i="35"/>
  <c r="H15" i="34"/>
  <c r="AB15" i="34"/>
  <c r="F78" i="34"/>
  <c r="G78" i="34"/>
  <c r="J15" i="34"/>
  <c r="H41" i="33"/>
  <c r="U41" i="33" s="1"/>
  <c r="F121" i="33"/>
  <c r="G121" i="33" s="1"/>
  <c r="H121" i="33" s="1"/>
  <c r="I121" i="33" s="1"/>
  <c r="J121" i="33" s="1"/>
  <c r="K121" i="33" s="1"/>
  <c r="L121" i="33" s="1"/>
  <c r="M121" i="33" s="1"/>
  <c r="AB38" i="34"/>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W34" i="40"/>
  <c r="AB34" i="40"/>
  <c r="AB42" i="40"/>
  <c r="AC16" i="40"/>
  <c r="H25" i="40"/>
  <c r="AB25" i="40" s="1"/>
  <c r="F94" i="40"/>
  <c r="G94" i="40" s="1"/>
  <c r="U47" i="39"/>
  <c r="W15" i="39"/>
  <c r="J37" i="34"/>
  <c r="AC37" i="34" s="1"/>
  <c r="J36" i="33"/>
  <c r="W36" i="33" s="1"/>
  <c r="S41"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40" i="21"/>
  <c r="U11" i="37"/>
  <c r="U13" i="39"/>
  <c r="AC16" i="35"/>
  <c r="J11" i="34"/>
  <c r="W11" i="34" s="1"/>
  <c r="S17" i="34"/>
  <c r="F25" i="40"/>
  <c r="AA25" i="40" s="1"/>
  <c r="J11" i="33"/>
  <c r="W11" i="33" s="1"/>
  <c r="H33" i="37"/>
  <c r="AB33" i="37" s="1"/>
  <c r="W15" i="34"/>
  <c r="AC15" i="34"/>
  <c r="U20" i="35"/>
  <c r="D73" i="9"/>
  <c r="N73" i="9" s="1"/>
  <c r="AP11" i="1"/>
  <c r="B11" i="1"/>
  <c r="E11" i="1"/>
  <c r="K11" i="1"/>
  <c r="M11" i="1"/>
  <c r="B9" i="1"/>
  <c r="E9" i="1"/>
  <c r="K9" i="1"/>
  <c r="M9" i="1"/>
  <c r="B7" i="1"/>
  <c r="E7" i="1"/>
  <c r="K7" i="1"/>
  <c r="M7" i="1"/>
  <c r="C20" i="43"/>
  <c r="AP6" i="1"/>
  <c r="G11" i="1"/>
  <c r="M22" i="44"/>
  <c r="F32" i="15"/>
  <c r="F59" i="15"/>
  <c r="F29" i="12"/>
  <c r="C29" i="12"/>
  <c r="F70" i="9"/>
  <c r="D86" i="9"/>
  <c r="M20" i="44"/>
  <c r="F31" i="43"/>
  <c r="C31" i="43" s="1"/>
  <c r="F30" i="44"/>
  <c r="C30" i="44" s="1"/>
  <c r="C27" i="43"/>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U21" i="40"/>
  <c r="W25" i="40"/>
  <c r="W42" i="40"/>
  <c r="U35" i="40"/>
  <c r="F37" i="40"/>
  <c r="J37" i="40"/>
  <c r="AC37" i="40" s="1"/>
  <c r="H37" i="40"/>
  <c r="U37" i="40" s="1"/>
  <c r="G113" i="40"/>
  <c r="H113" i="40" s="1"/>
  <c r="I113" i="40" s="1"/>
  <c r="J113" i="40" s="1"/>
  <c r="K113" i="40" s="1"/>
  <c r="L113" i="40" s="1"/>
  <c r="M113" i="40" s="1"/>
  <c r="F39" i="40"/>
  <c r="AA39" i="40"/>
  <c r="H39" i="40"/>
  <c r="J39" i="40"/>
  <c r="AC39" i="40" s="1"/>
  <c r="F29" i="40"/>
  <c r="S29" i="40"/>
  <c r="H29" i="40"/>
  <c r="J29" i="40"/>
  <c r="W29" i="40" s="1"/>
  <c r="F98" i="40"/>
  <c r="G98" i="40" s="1"/>
  <c r="H98" i="40" s="1"/>
  <c r="I98" i="40" s="1"/>
  <c r="J98" i="40" s="1"/>
  <c r="K98" i="40" s="1"/>
  <c r="L98" i="40" s="1"/>
  <c r="M98" i="40" s="1"/>
  <c r="S25" i="40"/>
  <c r="F88" i="40"/>
  <c r="G88" i="40"/>
  <c r="F19" i="40"/>
  <c r="AA19" i="40"/>
  <c r="H19" i="40"/>
  <c r="J19" i="40"/>
  <c r="W19" i="40" s="1"/>
  <c r="AC17" i="40"/>
  <c r="F17" i="40"/>
  <c r="AA17" i="40"/>
  <c r="H17" i="40"/>
  <c r="AB17" i="40"/>
  <c r="W21" i="40"/>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c r="M18" i="15"/>
  <c r="C24" i="12"/>
  <c r="F3" i="35"/>
  <c r="K1" i="43"/>
  <c r="K1" i="12"/>
  <c r="G1" i="44"/>
  <c r="I4" i="6"/>
  <c r="G3" i="46"/>
  <c r="BO5" i="3"/>
  <c r="BN5" i="3"/>
  <c r="BR5" i="3"/>
  <c r="G28" i="6"/>
  <c r="BS5" i="3"/>
  <c r="BQ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C6" i="46" s="1"/>
  <c r="M3" i="46"/>
  <c r="M5" i="46"/>
  <c r="H6" i="48"/>
  <c r="E9" i="46"/>
  <c r="H15" i="48"/>
  <c r="H5" i="48"/>
  <c r="H14" i="48"/>
  <c r="F38" i="46"/>
  <c r="F36" i="46"/>
  <c r="F34" i="46"/>
  <c r="J17" i="46"/>
  <c r="C17" i="46"/>
  <c r="F39" i="46"/>
  <c r="H13" i="48"/>
  <c r="H11" i="48"/>
  <c r="E8" i="46"/>
  <c r="C7" i="46"/>
  <c r="I17" i="46"/>
  <c r="E17" i="46"/>
  <c r="D71" i="46"/>
  <c r="D84" i="46"/>
  <c r="E80" i="46" s="1"/>
  <c r="B78" i="46" s="1"/>
  <c r="C24" i="46" s="1"/>
  <c r="D69" i="46"/>
  <c r="E69" i="46" s="1"/>
  <c r="B67" i="46" s="1"/>
  <c r="E47" i="46"/>
  <c r="E58" i="46"/>
  <c r="B56" i="46" s="1"/>
  <c r="A4" i="64"/>
  <c r="A4" i="51"/>
  <c r="B6" i="63" s="1"/>
  <c r="C51" i="10"/>
  <c r="H58" i="46"/>
  <c r="H62" i="46"/>
  <c r="I100" i="46"/>
  <c r="N100" i="46"/>
  <c r="H100" i="46"/>
  <c r="F108" i="46"/>
  <c r="B45" i="46"/>
  <c r="E100" i="46"/>
  <c r="G100" i="46"/>
  <c r="H66" i="46"/>
  <c r="C100" i="46"/>
  <c r="J100" i="46"/>
  <c r="M100" i="46"/>
  <c r="AA12" i="36"/>
  <c r="U12" i="35"/>
  <c r="AB12" i="35"/>
  <c r="W11" i="35"/>
  <c r="AA11" i="35"/>
  <c r="S14" i="37"/>
  <c r="U13" i="37"/>
  <c r="S13" i="21"/>
  <c r="C24" i="9"/>
  <c r="C25" i="9"/>
  <c r="AP7" i="1"/>
  <c r="G7" i="1"/>
  <c r="AP9" i="1"/>
  <c r="G9" i="1"/>
  <c r="AP8" i="1"/>
  <c r="G8" i="1"/>
  <c r="I20" i="46"/>
  <c r="B46" i="50"/>
  <c r="B4" i="63"/>
  <c r="C46" i="36"/>
  <c r="D46" i="36"/>
  <c r="C59" i="34"/>
  <c r="D59" i="34"/>
  <c r="C48" i="35"/>
  <c r="D48" i="35"/>
  <c r="C52" i="37"/>
  <c r="D52" i="37"/>
  <c r="C67" i="40"/>
  <c r="D65" i="40"/>
  <c r="C72" i="39"/>
  <c r="D70" i="39"/>
  <c r="K17" i="4"/>
  <c r="A22" i="51"/>
  <c r="B16" i="63" s="1"/>
  <c r="H73" i="46"/>
  <c r="H59" i="46"/>
  <c r="H60" i="46"/>
  <c r="H10" i="48"/>
  <c r="K10" i="1"/>
  <c r="M10" i="1" s="1"/>
  <c r="S11" i="1"/>
  <c r="R11" i="1"/>
  <c r="S13" i="1"/>
  <c r="R13" i="1"/>
  <c r="B6" i="1"/>
  <c r="E6" i="1" s="1"/>
  <c r="B10" i="1"/>
  <c r="E10" i="1" s="1"/>
  <c r="S10" i="1"/>
  <c r="B8" i="1"/>
  <c r="E8" i="1"/>
  <c r="B12" i="1"/>
  <c r="E12" i="1"/>
  <c r="S12" i="1"/>
  <c r="K6" i="1"/>
  <c r="M6" i="1" s="1"/>
  <c r="C15" i="43"/>
  <c r="O9" i="1"/>
  <c r="G1" i="15"/>
  <c r="F66" i="36"/>
  <c r="G66" i="36" s="1"/>
  <c r="H18" i="36"/>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J27" i="40"/>
  <c r="W27" i="40" s="1"/>
  <c r="S34"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B7" i="52"/>
  <c r="B10" i="52"/>
  <c r="B9" i="52"/>
  <c r="B4" i="52"/>
  <c r="B8" i="52"/>
  <c r="E9" i="52"/>
  <c r="E10" i="52"/>
  <c r="C4" i="4" s="1"/>
  <c r="B20" i="55" s="1"/>
  <c r="B70" i="63" s="1"/>
  <c r="B23" i="52"/>
  <c r="B16" i="52"/>
  <c r="B6" i="52"/>
  <c r="E5" i="52"/>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S39" i="40"/>
  <c r="AB37" i="40"/>
  <c r="AA37" i="40"/>
  <c r="S37" i="40"/>
  <c r="U29" i="40"/>
  <c r="AB29" i="40"/>
  <c r="AA29" i="40"/>
  <c r="AC19" i="40"/>
  <c r="S19" i="40"/>
  <c r="AB19" i="40"/>
  <c r="U19" i="40"/>
  <c r="W31" i="39"/>
  <c r="B20" i="31"/>
  <c r="R22" i="31"/>
  <c r="B21" i="31"/>
  <c r="E5" i="6"/>
  <c r="D21" i="12"/>
  <c r="C21" i="12" s="1"/>
  <c r="C15" i="12"/>
  <c r="G29" i="6"/>
  <c r="H72" i="46"/>
  <c r="A9" i="64"/>
  <c r="A9" i="51"/>
  <c r="B9" i="63"/>
  <c r="E52" i="37"/>
  <c r="F52" i="37"/>
  <c r="E48" i="35"/>
  <c r="F48" i="35" s="1"/>
  <c r="E46" i="36"/>
  <c r="F46" i="36" s="1"/>
  <c r="G46" i="36" s="1"/>
  <c r="D72" i="39"/>
  <c r="E70" i="39"/>
  <c r="D67" i="40"/>
  <c r="E65" i="40"/>
  <c r="J18" i="36"/>
  <c r="W18" i="36" s="1"/>
  <c r="AE8" i="1"/>
  <c r="AE7" i="1"/>
  <c r="AE6" i="1"/>
  <c r="AG6" i="1"/>
  <c r="L20" i="6"/>
  <c r="L19" i="6"/>
  <c r="F7" i="21"/>
  <c r="S7" i="21" s="1"/>
  <c r="J7" i="21"/>
  <c r="H7" i="21"/>
  <c r="U7" i="21" s="1"/>
  <c r="E67" i="40"/>
  <c r="F65" i="40"/>
  <c r="G65" i="40"/>
  <c r="H65" i="40" s="1"/>
  <c r="E72" i="39"/>
  <c r="F70" i="39"/>
  <c r="G70" i="39" s="1"/>
  <c r="S8" i="1"/>
  <c r="S9" i="1"/>
  <c r="AC7" i="21"/>
  <c r="V48" i="21" s="1"/>
  <c r="I48" i="21" s="1"/>
  <c r="W7" i="21"/>
  <c r="AB7" i="21"/>
  <c r="T48" i="21" s="1"/>
  <c r="G48" i="21" s="1"/>
  <c r="AA7" i="21"/>
  <c r="R48" i="21" s="1"/>
  <c r="F72" i="39"/>
  <c r="F67" i="40"/>
  <c r="R9" i="1"/>
  <c r="R8" i="1"/>
  <c r="C45" i="9"/>
  <c r="H14" i="66" s="1"/>
  <c r="B7" i="66" s="1"/>
  <c r="C44" i="9"/>
  <c r="G14" i="66"/>
  <c r="B6" i="66" s="1"/>
  <c r="O40" i="9"/>
  <c r="K31" i="9" s="1"/>
  <c r="K32" i="9" s="1"/>
  <c r="N69" i="9"/>
  <c r="O39" i="9"/>
  <c r="R6" i="54" s="1"/>
  <c r="B50" i="63" s="1"/>
  <c r="K29" i="9"/>
  <c r="M86" i="9"/>
  <c r="N86" i="9" s="1"/>
  <c r="M84" i="9"/>
  <c r="N84" i="9" s="1"/>
  <c r="M88" i="9"/>
  <c r="N88" i="9" s="1"/>
  <c r="M87" i="9"/>
  <c r="N87" i="9" s="1"/>
  <c r="M85" i="9"/>
  <c r="N85" i="9" s="1"/>
  <c r="M83" i="9"/>
  <c r="N83" i="9" s="1"/>
  <c r="N89" i="9" s="1"/>
  <c r="O89" i="9" s="1"/>
  <c r="K30" i="9"/>
  <c r="N76" i="9"/>
  <c r="C46" i="9"/>
  <c r="K33" i="9" s="1"/>
  <c r="K34" i="9" s="1"/>
  <c r="O41" i="9"/>
  <c r="R8" i="54"/>
  <c r="B54" i="63" s="1"/>
  <c r="F31" i="15"/>
  <c r="F33" i="44"/>
  <c r="G67" i="40"/>
  <c r="AA21" i="40"/>
  <c r="AA23" i="40"/>
  <c r="F30" i="40"/>
  <c r="AA30" i="40"/>
  <c r="AB23" i="40"/>
  <c r="H30" i="40"/>
  <c r="AB30" i="40"/>
  <c r="AB32" i="40"/>
  <c r="AC13" i="40"/>
  <c r="AC27" i="40"/>
  <c r="AC29" i="40"/>
  <c r="J30" i="40"/>
  <c r="AC30" i="40"/>
  <c r="M43" i="9"/>
  <c r="D18" i="9"/>
  <c r="M44" i="9"/>
  <c r="A30" i="51"/>
  <c r="B22" i="63"/>
  <c r="A30" i="64"/>
  <c r="F100" i="40"/>
  <c r="G100" i="40" s="1"/>
  <c r="H100" i="40" s="1"/>
  <c r="I100" i="40" s="1"/>
  <c r="J100" i="40" s="1"/>
  <c r="K100" i="40" s="1"/>
  <c r="L100" i="40" s="1"/>
  <c r="M100" i="40" s="1"/>
  <c r="W23" i="40"/>
  <c r="S17" i="40"/>
  <c r="W37" i="40"/>
  <c r="W39" i="40"/>
  <c r="U38" i="40"/>
  <c r="S38" i="40"/>
  <c r="U30" i="40"/>
  <c r="W30" i="40"/>
  <c r="U25" i="40"/>
  <c r="U17" i="40"/>
  <c r="W11" i="40"/>
  <c r="F80" i="46"/>
  <c r="D23" i="15"/>
  <c r="A18" i="51"/>
  <c r="B14" i="63" s="1"/>
  <c r="L5" i="54"/>
  <c r="B39" i="63" s="1"/>
  <c r="K5" i="54"/>
  <c r="T41" i="4"/>
  <c r="A18" i="64"/>
  <c r="B74" i="63" s="1"/>
  <c r="C53" i="10"/>
  <c r="A17" i="64"/>
  <c r="A17" i="51"/>
  <c r="B13" i="63" s="1"/>
  <c r="H70" i="46"/>
  <c r="H64" i="46"/>
  <c r="H63" i="46"/>
  <c r="H69" i="46"/>
  <c r="H77" i="46"/>
  <c r="H65" i="46"/>
  <c r="H76" i="46"/>
  <c r="G17" i="46"/>
  <c r="C16" i="46"/>
  <c r="C5" i="46" s="1"/>
  <c r="H22" i="46"/>
  <c r="AI11" i="46"/>
  <c r="E22" i="46"/>
  <c r="Z7" i="46"/>
  <c r="F22" i="46"/>
  <c r="N104" i="45"/>
  <c r="G101" i="46"/>
  <c r="G104" i="46"/>
  <c r="AF11" i="46"/>
  <c r="AF13" i="46"/>
  <c r="AD11" i="46"/>
  <c r="AD13" i="46"/>
  <c r="AG11" i="46"/>
  <c r="AG13" i="46"/>
  <c r="N101" i="46"/>
  <c r="N109" i="46"/>
  <c r="E101" i="46"/>
  <c r="E103" i="46"/>
  <c r="L101" i="46"/>
  <c r="L106" i="46"/>
  <c r="B113" i="46"/>
  <c r="D118" i="46"/>
  <c r="E118" i="46" s="1"/>
  <c r="F118" i="46" s="1"/>
  <c r="J22" i="46"/>
  <c r="E53" i="40"/>
  <c r="C101" i="46"/>
  <c r="C105" i="46"/>
  <c r="J101" i="46"/>
  <c r="G22" i="46"/>
  <c r="D22" i="46" s="1"/>
  <c r="C21" i="46" s="1"/>
  <c r="I101" i="46"/>
  <c r="D101" i="46"/>
  <c r="D106" i="46" s="1"/>
  <c r="M101" i="46"/>
  <c r="M103" i="46" s="1"/>
  <c r="H101" i="46"/>
  <c r="H107" i="46" s="1"/>
  <c r="K101" i="46"/>
  <c r="K105" i="46" s="1"/>
  <c r="F101" i="46"/>
  <c r="F107" i="46"/>
  <c r="AC11" i="46"/>
  <c r="AC13" i="46"/>
  <c r="Y11" i="46"/>
  <c r="Y13" i="46"/>
  <c r="Z11" i="46"/>
  <c r="Z13" i="46"/>
  <c r="AH11" i="46"/>
  <c r="AH13" i="46"/>
  <c r="AA11" i="46"/>
  <c r="AJ11" i="46"/>
  <c r="AJ13" i="46"/>
  <c r="AE11" i="46"/>
  <c r="E109" i="46"/>
  <c r="E106" i="46"/>
  <c r="E105" i="46"/>
  <c r="E104" i="46"/>
  <c r="B116" i="46"/>
  <c r="C116" i="46" s="1"/>
  <c r="E102" i="46"/>
  <c r="E107" i="46"/>
  <c r="D12" i="11"/>
  <c r="C12" i="11" s="1"/>
  <c r="B118" i="46"/>
  <c r="C118" i="46" s="1"/>
  <c r="B117" i="46"/>
  <c r="C117" i="46" s="1"/>
  <c r="O6" i="1"/>
  <c r="P6" i="1" s="1"/>
  <c r="L27" i="6"/>
  <c r="D117" i="46"/>
  <c r="E117" i="46" s="1"/>
  <c r="F117" i="46" s="1"/>
  <c r="G117" i="46" s="1"/>
  <c r="H117" i="46" s="1"/>
  <c r="I117" i="46"/>
  <c r="J117" i="46"/>
  <c r="K117" i="46" s="1"/>
  <c r="L117" i="46" s="1"/>
  <c r="M117" i="46" s="1"/>
  <c r="D115" i="46"/>
  <c r="E115" i="46" s="1"/>
  <c r="I116" i="46"/>
  <c r="J116" i="46"/>
  <c r="K116" i="46" s="1"/>
  <c r="L116" i="46" s="1"/>
  <c r="M116" i="46" s="1"/>
  <c r="O10" i="1"/>
  <c r="P10" i="1"/>
  <c r="E14" i="6"/>
  <c r="E15" i="6"/>
  <c r="E62" i="40" s="1"/>
  <c r="E11" i="6"/>
  <c r="G118" i="46"/>
  <c r="H118" i="46" s="1"/>
  <c r="D116" i="46"/>
  <c r="E116" i="46" s="1"/>
  <c r="F116" i="46" s="1"/>
  <c r="G116" i="46" s="1"/>
  <c r="H116" i="46" s="1"/>
  <c r="B115" i="46"/>
  <c r="I118" i="46"/>
  <c r="J118" i="46" s="1"/>
  <c r="K118" i="46" s="1"/>
  <c r="L118" i="46" s="1"/>
  <c r="M118" i="46" s="1"/>
  <c r="I115" i="46"/>
  <c r="J115" i="46"/>
  <c r="K115" i="46" s="1"/>
  <c r="L115" i="46" s="1"/>
  <c r="M115" i="46" s="1"/>
  <c r="J102" i="46"/>
  <c r="K104" i="46"/>
  <c r="J109" i="46"/>
  <c r="C23" i="46"/>
  <c r="J105" i="46"/>
  <c r="J103" i="46"/>
  <c r="E29" i="6"/>
  <c r="K15" i="1"/>
  <c r="AB11" i="46"/>
  <c r="AB13" i="46"/>
  <c r="F28" i="6"/>
  <c r="E28" i="6"/>
  <c r="K14" i="1" s="1"/>
  <c r="M14" i="1" s="1"/>
  <c r="I105" i="46"/>
  <c r="I104" i="46"/>
  <c r="I103" i="46"/>
  <c r="I106" i="46"/>
  <c r="M107" i="46"/>
  <c r="M109" i="46"/>
  <c r="H103" i="46"/>
  <c r="G30" i="6"/>
  <c r="G31" i="6"/>
  <c r="O7" i="1"/>
  <c r="P7" i="1"/>
  <c r="E12" i="6"/>
  <c r="E10" i="6"/>
  <c r="E16" i="6" s="1"/>
  <c r="E13" i="6"/>
  <c r="E30" i="6"/>
  <c r="M104" i="46"/>
  <c r="I109" i="46"/>
  <c r="O11" i="1"/>
  <c r="P11" i="1" s="1"/>
  <c r="P9" i="1"/>
  <c r="O8" i="1"/>
  <c r="P8" i="1"/>
  <c r="F27" i="6"/>
  <c r="E4" i="52"/>
  <c r="E16" i="52"/>
  <c r="B11" i="52"/>
  <c r="E8" i="52"/>
  <c r="B5" i="52"/>
  <c r="B13" i="52"/>
  <c r="B22" i="52"/>
  <c r="E21" i="52"/>
  <c r="B14" i="52"/>
  <c r="E6" i="52"/>
  <c r="E4" i="4" s="1"/>
  <c r="B21" i="55" s="1"/>
  <c r="B72" i="63" s="1"/>
  <c r="E7" i="52"/>
  <c r="G48" i="35"/>
  <c r="H48" i="35" s="1"/>
  <c r="E59" i="34"/>
  <c r="F59" i="34" s="1"/>
  <c r="E58" i="33"/>
  <c r="F58" i="33" s="1"/>
  <c r="I1" i="65"/>
  <c r="M19" i="44"/>
  <c r="M17" i="15"/>
  <c r="F58" i="15"/>
  <c r="S30" i="40"/>
  <c r="G103" i="46"/>
  <c r="L109" i="46"/>
  <c r="N103" i="46"/>
  <c r="D109" i="46"/>
  <c r="G105" i="46"/>
  <c r="N105" i="46"/>
  <c r="N104" i="46"/>
  <c r="H102" i="46"/>
  <c r="C102" i="46"/>
  <c r="G106" i="46"/>
  <c r="G102" i="46"/>
  <c r="G109" i="46"/>
  <c r="N107" i="46"/>
  <c r="G107" i="46"/>
  <c r="L104" i="46"/>
  <c r="D5" i="46"/>
  <c r="H81" i="46"/>
  <c r="H80" i="46"/>
  <c r="H84" i="46"/>
  <c r="H86" i="46"/>
  <c r="H85" i="46"/>
  <c r="H82" i="46"/>
  <c r="H87" i="46"/>
  <c r="H83" i="46"/>
  <c r="D102" i="46"/>
  <c r="D107" i="46"/>
  <c r="N102" i="46"/>
  <c r="L107" i="46"/>
  <c r="L103" i="46"/>
  <c r="N106" i="46"/>
  <c r="L105" i="46"/>
  <c r="L102" i="46"/>
  <c r="A25" i="64"/>
  <c r="A25" i="51"/>
  <c r="B18" i="63" s="1"/>
  <c r="A3" i="55"/>
  <c r="B56" i="63" s="1"/>
  <c r="B38" i="63"/>
  <c r="F109" i="46"/>
  <c r="F103" i="46"/>
  <c r="F104" i="46"/>
  <c r="F106" i="46"/>
  <c r="F105" i="46"/>
  <c r="F102" i="46"/>
  <c r="H106" i="46"/>
  <c r="H104" i="46"/>
  <c r="D104" i="46"/>
  <c r="D103" i="46"/>
  <c r="C106" i="46"/>
  <c r="C107" i="46"/>
  <c r="C109" i="46"/>
  <c r="C104" i="46"/>
  <c r="C103" i="46"/>
  <c r="K109" i="46"/>
  <c r="K102" i="46"/>
  <c r="K106" i="46"/>
  <c r="K107" i="46"/>
  <c r="K103" i="46"/>
  <c r="I102" i="46"/>
  <c r="I107" i="46"/>
  <c r="J104" i="46"/>
  <c r="J107" i="46"/>
  <c r="J106" i="46"/>
  <c r="F30" i="6"/>
  <c r="F31" i="6"/>
  <c r="C115" i="46"/>
  <c r="E67" i="39"/>
  <c r="E58" i="40"/>
  <c r="E63" i="39"/>
  <c r="E66" i="39"/>
  <c r="E61" i="40"/>
  <c r="E60" i="40"/>
  <c r="E65" i="39"/>
  <c r="E64" i="39"/>
  <c r="E59" i="40"/>
  <c r="L49" i="44"/>
  <c r="F10" i="67"/>
  <c r="J17" i="44"/>
  <c r="F45" i="44"/>
  <c r="F10" i="44"/>
  <c r="I4" i="65"/>
  <c r="E14" i="67"/>
  <c r="F43" i="44"/>
  <c r="F7" i="15"/>
  <c r="F12" i="67"/>
  <c r="F46" i="44"/>
  <c r="F41" i="15"/>
  <c r="F9" i="44"/>
  <c r="N3" i="65"/>
  <c r="I6" i="65"/>
  <c r="M29" i="44"/>
  <c r="I3" i="65"/>
  <c r="M21" i="15"/>
  <c r="F11" i="44"/>
  <c r="F18" i="44"/>
  <c r="F6" i="15"/>
  <c r="L47" i="15"/>
  <c r="I7" i="65"/>
  <c r="F13" i="67"/>
  <c r="F8" i="67"/>
  <c r="J3" i="65"/>
  <c r="M10" i="44"/>
  <c r="E9" i="67"/>
  <c r="F13" i="15"/>
  <c r="M29" i="15"/>
  <c r="B11" i="67"/>
  <c r="F26" i="15"/>
  <c r="B10" i="67"/>
  <c r="F40" i="44"/>
  <c r="N4" i="65"/>
  <c r="M23" i="44"/>
  <c r="J4" i="65"/>
  <c r="M30" i="44"/>
  <c r="B13" i="67"/>
  <c r="M11" i="44"/>
  <c r="L48" i="15"/>
  <c r="C19" i="44"/>
  <c r="M31" i="44"/>
  <c r="F37" i="44"/>
  <c r="N7" i="65"/>
  <c r="F8" i="15"/>
  <c r="M23" i="15"/>
  <c r="J36" i="15"/>
  <c r="M28" i="44"/>
  <c r="B8" i="67"/>
  <c r="M28" i="15"/>
  <c r="F15" i="44"/>
  <c r="M25" i="44"/>
  <c r="F35" i="15"/>
  <c r="B12" i="67"/>
  <c r="M6" i="15"/>
  <c r="F40" i="15"/>
  <c r="F36" i="15"/>
  <c r="M22" i="15"/>
  <c r="F11" i="67"/>
  <c r="F14" i="67"/>
  <c r="F8" i="44"/>
  <c r="F38" i="15"/>
  <c r="L48" i="44"/>
  <c r="M24" i="44"/>
  <c r="M8" i="44"/>
  <c r="M27" i="15"/>
  <c r="F38" i="44"/>
  <c r="B9" i="67"/>
  <c r="F39" i="44"/>
  <c r="M26" i="44"/>
  <c r="F28" i="44"/>
  <c r="M9" i="15"/>
  <c r="E11" i="67"/>
  <c r="M24" i="15"/>
  <c r="J7" i="65"/>
  <c r="F43" i="15"/>
  <c r="M26" i="15"/>
  <c r="F9" i="67"/>
  <c r="F9" i="15"/>
  <c r="J15" i="15"/>
  <c r="J6" i="65"/>
  <c r="J5" i="65"/>
  <c r="F42" i="15"/>
  <c r="N6" i="65"/>
  <c r="B14" i="67"/>
  <c r="I5" i="65"/>
  <c r="E13" i="67"/>
  <c r="F37" i="15"/>
  <c r="F16" i="15"/>
  <c r="N5" i="65"/>
  <c r="E10" i="67"/>
  <c r="E12" i="67"/>
  <c r="E8" i="67"/>
  <c r="M8" i="15"/>
  <c r="G59" i="34" l="1"/>
  <c r="H59" i="34" s="1"/>
  <c r="I59" i="34" s="1"/>
  <c r="J59" i="34" s="1"/>
  <c r="K59" i="34" s="1"/>
  <c r="L59" i="34" s="1"/>
  <c r="M59" i="34" s="1"/>
  <c r="N59" i="34" s="1"/>
  <c r="O59" i="34" s="1"/>
  <c r="J7" i="34"/>
  <c r="F115" i="46"/>
  <c r="G115" i="46" s="1"/>
  <c r="H115" i="46" s="1"/>
  <c r="D113" i="46"/>
  <c r="R49" i="21"/>
  <c r="E48" i="21"/>
  <c r="H70" i="39"/>
  <c r="G72" i="39"/>
  <c r="H67" i="40"/>
  <c r="I65" i="40"/>
  <c r="G58" i="33"/>
  <c r="H58" i="33" s="1"/>
  <c r="I58" i="33" s="1"/>
  <c r="J58" i="33" s="1"/>
  <c r="K58" i="33" s="1"/>
  <c r="L58" i="33" s="1"/>
  <c r="M58" i="33" s="1"/>
  <c r="N58" i="33" s="1"/>
  <c r="O58" i="33" s="1"/>
  <c r="J7" i="33"/>
  <c r="I48" i="35"/>
  <c r="J48" i="35" s="1"/>
  <c r="K48" i="35" s="1"/>
  <c r="L48" i="35" s="1"/>
  <c r="M48" i="35" s="1"/>
  <c r="N48" i="35" s="1"/>
  <c r="O48" i="35" s="1"/>
  <c r="J7" i="35"/>
  <c r="O14" i="1"/>
  <c r="P14" i="1" s="1"/>
  <c r="G52" i="21"/>
  <c r="H52" i="21" s="1"/>
  <c r="G53" i="21"/>
  <c r="H53" i="21" s="1"/>
  <c r="I53" i="21"/>
  <c r="J53" i="21" s="1"/>
  <c r="I52" i="21"/>
  <c r="J52" i="21" s="1"/>
  <c r="H46" i="36"/>
  <c r="I46" i="36" s="1"/>
  <c r="J46" i="36" s="1"/>
  <c r="K46" i="36" s="1"/>
  <c r="L46" i="36" s="1"/>
  <c r="M46" i="36" s="1"/>
  <c r="N46" i="36" s="1"/>
  <c r="O46" i="36" s="1"/>
  <c r="H7" i="36"/>
  <c r="J7" i="36"/>
  <c r="F7" i="36"/>
  <c r="H105" i="46"/>
  <c r="H109" i="46"/>
  <c r="D105" i="46"/>
  <c r="H7" i="33"/>
  <c r="F7" i="33"/>
  <c r="H7" i="34"/>
  <c r="F7" i="34"/>
  <c r="H7" i="35"/>
  <c r="F7" i="35"/>
  <c r="M105" i="46"/>
  <c r="M106" i="46"/>
  <c r="M102" i="46"/>
  <c r="S5" i="46" s="1"/>
  <c r="I14" i="66"/>
  <c r="B8" i="66" s="1"/>
  <c r="R7" i="54"/>
  <c r="B52" i="63" s="1"/>
  <c r="AC18" i="36"/>
  <c r="G52" i="37"/>
  <c r="AB9" i="34"/>
  <c r="U9" i="34"/>
  <c r="AC38" i="40"/>
  <c r="W38" i="40"/>
  <c r="H74" i="46"/>
  <c r="H75" i="46"/>
  <c r="U25" i="33"/>
  <c r="AA27" i="34"/>
  <c r="AA32" i="37"/>
  <c r="AC36" i="33"/>
  <c r="W32" i="40"/>
  <c r="U16" i="40"/>
  <c r="W35" i="40"/>
  <c r="W40" i="40"/>
  <c r="S10" i="35"/>
  <c r="S27" i="37"/>
  <c r="AC41" i="34"/>
  <c r="U28" i="21"/>
  <c r="S45" i="21"/>
  <c r="AA27" i="33"/>
  <c r="W31" i="34"/>
  <c r="AB14" i="21"/>
  <c r="U46" i="21"/>
  <c r="AB13" i="21"/>
  <c r="AB40" i="37"/>
  <c r="W46" i="33"/>
  <c r="W35" i="35"/>
  <c r="AA22" i="35"/>
  <c r="S22" i="35"/>
  <c r="AA38" i="21"/>
  <c r="AC8" i="21"/>
  <c r="W8" i="21"/>
  <c r="W40" i="21"/>
  <c r="AC40" i="21"/>
  <c r="F12" i="21"/>
  <c r="J12" i="21"/>
  <c r="J26" i="33"/>
  <c r="F26" i="33"/>
  <c r="AB34" i="35"/>
  <c r="U34" i="35"/>
  <c r="AC36" i="35"/>
  <c r="W36" i="35"/>
  <c r="J9" i="36"/>
  <c r="H9" i="36"/>
  <c r="F9" i="36"/>
  <c r="J24" i="36"/>
  <c r="H24" i="36"/>
  <c r="W31" i="36"/>
  <c r="AC31" i="36"/>
  <c r="AB30" i="37"/>
  <c r="U30" i="37"/>
  <c r="F27" i="40"/>
  <c r="H27" i="40"/>
  <c r="F96" i="40"/>
  <c r="G96" i="40" s="1"/>
  <c r="J9" i="33"/>
  <c r="H9" i="33"/>
  <c r="F9" i="33"/>
  <c r="F28" i="34"/>
  <c r="J28" i="34"/>
  <c r="AB29" i="36"/>
  <c r="U29" i="36"/>
  <c r="AC41" i="21"/>
  <c r="W41" i="21"/>
  <c r="T23" i="59"/>
  <c r="D23" i="59"/>
  <c r="T39" i="59"/>
  <c r="D39" i="59"/>
  <c r="U31" i="35"/>
  <c r="G19" i="46"/>
  <c r="K13" i="1"/>
  <c r="M13" i="1" s="1"/>
  <c r="K12" i="1"/>
  <c r="D100" i="46"/>
  <c r="B74" i="46"/>
  <c r="C31" i="39"/>
  <c r="S31" i="39"/>
  <c r="S21" i="34"/>
  <c r="Q49" i="59"/>
  <c r="Q48" i="59"/>
  <c r="T51" i="59"/>
  <c r="D51" i="59"/>
  <c r="U55" i="59"/>
  <c r="E54" i="59"/>
  <c r="E53" i="59" s="1"/>
  <c r="U63" i="59"/>
  <c r="E62" i="59"/>
  <c r="E61" i="59" s="1"/>
  <c r="D71" i="59"/>
  <c r="C70" i="59"/>
  <c r="G5" i="3"/>
  <c r="B3" i="3" s="1"/>
  <c r="C47" i="59"/>
  <c r="C66" i="59"/>
  <c r="C50" i="59"/>
  <c r="D45" i="59"/>
  <c r="D37" i="59"/>
  <c r="C26" i="59"/>
  <c r="P50" i="59"/>
  <c r="E49" i="59"/>
  <c r="T55" i="59"/>
  <c r="D55" i="59"/>
  <c r="T63" i="59"/>
  <c r="D63" i="59"/>
  <c r="C5" i="59"/>
  <c r="D5" i="59" s="1"/>
  <c r="D6" i="59"/>
  <c r="E6" i="59"/>
  <c r="E5" i="59" s="1"/>
  <c r="U7" i="59"/>
  <c r="AA12" i="46"/>
  <c r="AA13" i="46" s="1"/>
  <c r="AE12" i="46"/>
  <c r="AE13" i="46" s="1"/>
  <c r="AI12" i="46"/>
  <c r="AI13" i="46" s="1"/>
  <c r="BA557" i="3"/>
  <c r="AZ557" i="3" s="1"/>
  <c r="BL554" i="3"/>
  <c r="AZ554" i="3" s="1"/>
  <c r="BA553" i="3"/>
  <c r="AZ553" i="3" s="1"/>
  <c r="BL550" i="3"/>
  <c r="AZ550" i="3" s="1"/>
  <c r="BA549" i="3"/>
  <c r="AZ549" i="3" s="1"/>
  <c r="BL546" i="3"/>
  <c r="AZ546" i="3" s="1"/>
  <c r="BA545" i="3"/>
  <c r="AZ545" i="3" s="1"/>
  <c r="BL542" i="3"/>
  <c r="AZ542" i="3" s="1"/>
  <c r="BA541" i="3"/>
  <c r="AZ541" i="3" s="1"/>
  <c r="BL538" i="3"/>
  <c r="AZ538" i="3" s="1"/>
  <c r="BA537" i="3"/>
  <c r="AZ537" i="3" s="1"/>
  <c r="BL534" i="3"/>
  <c r="AZ534" i="3" s="1"/>
  <c r="BA533" i="3"/>
  <c r="AZ533" i="3" s="1"/>
  <c r="BL530" i="3"/>
  <c r="AZ530" i="3" s="1"/>
  <c r="BA529" i="3"/>
  <c r="AZ529" i="3" s="1"/>
  <c r="BL526" i="3"/>
  <c r="AZ526" i="3" s="1"/>
  <c r="BA525" i="3"/>
  <c r="AZ525" i="3" s="1"/>
  <c r="BL522" i="3"/>
  <c r="AZ522" i="3" s="1"/>
  <c r="BA521" i="3"/>
  <c r="AZ521" i="3" s="1"/>
  <c r="BL518" i="3"/>
  <c r="AZ518" i="3" s="1"/>
  <c r="BA517" i="3"/>
  <c r="AZ517" i="3" s="1"/>
  <c r="BL556" i="3"/>
  <c r="AZ556" i="3" s="1"/>
  <c r="BA555" i="3"/>
  <c r="AZ555" i="3" s="1"/>
  <c r="BL552" i="3"/>
  <c r="AZ552" i="3" s="1"/>
  <c r="BA551" i="3"/>
  <c r="AZ551" i="3" s="1"/>
  <c r="BL548" i="3"/>
  <c r="AZ548" i="3" s="1"/>
  <c r="BA547" i="3"/>
  <c r="AZ547" i="3" s="1"/>
  <c r="BL544" i="3"/>
  <c r="AZ544" i="3" s="1"/>
  <c r="BA543" i="3"/>
  <c r="AZ543" i="3" s="1"/>
  <c r="BL540" i="3"/>
  <c r="AZ540" i="3" s="1"/>
  <c r="BA539" i="3"/>
  <c r="AZ539" i="3" s="1"/>
  <c r="BL536" i="3"/>
  <c r="AZ536" i="3" s="1"/>
  <c r="BA535" i="3"/>
  <c r="AZ535" i="3" s="1"/>
  <c r="BL532" i="3"/>
  <c r="AZ532" i="3" s="1"/>
  <c r="BA531" i="3"/>
  <c r="AZ531" i="3" s="1"/>
  <c r="BL528" i="3"/>
  <c r="AZ528" i="3" s="1"/>
  <c r="BA527" i="3"/>
  <c r="AZ527" i="3" s="1"/>
  <c r="BL524" i="3"/>
  <c r="AZ524" i="3" s="1"/>
  <c r="BA523" i="3"/>
  <c r="AZ523" i="3" s="1"/>
  <c r="BL520" i="3"/>
  <c r="AZ520" i="3" s="1"/>
  <c r="BA519" i="3"/>
  <c r="AZ519" i="3" s="1"/>
  <c r="BL516" i="3"/>
  <c r="AZ516" i="3" s="1"/>
  <c r="BA345" i="3"/>
  <c r="AZ345" i="3" s="1"/>
  <c r="BL342" i="3"/>
  <c r="AZ342" i="3" s="1"/>
  <c r="BA341" i="3"/>
  <c r="AZ341" i="3" s="1"/>
  <c r="BL338" i="3"/>
  <c r="AZ338" i="3" s="1"/>
  <c r="BA337" i="3"/>
  <c r="AZ337" i="3" s="1"/>
  <c r="BL334" i="3"/>
  <c r="AZ334" i="3" s="1"/>
  <c r="BA333" i="3"/>
  <c r="AZ333" i="3" s="1"/>
  <c r="BL330" i="3"/>
  <c r="AZ330" i="3" s="1"/>
  <c r="BA329" i="3"/>
  <c r="AZ329" i="3" s="1"/>
  <c r="BL326" i="3"/>
  <c r="AZ326" i="3" s="1"/>
  <c r="BA325" i="3"/>
  <c r="AZ325" i="3" s="1"/>
  <c r="BL322" i="3"/>
  <c r="AZ322" i="3" s="1"/>
  <c r="BA321" i="3"/>
  <c r="AZ321" i="3" s="1"/>
  <c r="BL318" i="3"/>
  <c r="AZ318" i="3" s="1"/>
  <c r="BA317" i="3"/>
  <c r="AZ317" i="3" s="1"/>
  <c r="BL344" i="3"/>
  <c r="AZ344" i="3" s="1"/>
  <c r="BA343" i="3"/>
  <c r="AZ343" i="3" s="1"/>
  <c r="BL340" i="3"/>
  <c r="AZ340" i="3" s="1"/>
  <c r="BA339" i="3"/>
  <c r="AZ339" i="3" s="1"/>
  <c r="BL336" i="3"/>
  <c r="AZ336" i="3" s="1"/>
  <c r="BA335" i="3"/>
  <c r="AZ335" i="3" s="1"/>
  <c r="BL332" i="3"/>
  <c r="AZ332" i="3" s="1"/>
  <c r="BA331" i="3"/>
  <c r="AZ331" i="3" s="1"/>
  <c r="BL328" i="3"/>
  <c r="AZ328" i="3" s="1"/>
  <c r="BA327" i="3"/>
  <c r="AZ327" i="3" s="1"/>
  <c r="BL324" i="3"/>
  <c r="AZ324" i="3" s="1"/>
  <c r="BA323" i="3"/>
  <c r="AZ323" i="3" s="1"/>
  <c r="BL320" i="3"/>
  <c r="AZ320" i="3" s="1"/>
  <c r="BA319" i="3"/>
  <c r="AZ319" i="3" s="1"/>
  <c r="BL316" i="3"/>
  <c r="AZ316" i="3" s="1"/>
  <c r="BA315" i="3"/>
  <c r="AZ315" i="3" s="1"/>
  <c r="BA171" i="3"/>
  <c r="AZ171" i="3" s="1"/>
  <c r="BL168" i="3"/>
  <c r="AZ168" i="3" s="1"/>
  <c r="BA167" i="3"/>
  <c r="AZ167" i="3" s="1"/>
  <c r="BL164" i="3"/>
  <c r="AZ164" i="3" s="1"/>
  <c r="BA163" i="3"/>
  <c r="AZ163" i="3" s="1"/>
  <c r="BL160" i="3"/>
  <c r="AZ160" i="3" s="1"/>
  <c r="BA159" i="3"/>
  <c r="AZ159" i="3" s="1"/>
  <c r="BL156" i="3"/>
  <c r="AZ156" i="3" s="1"/>
  <c r="BA155" i="3"/>
  <c r="AZ155" i="3" s="1"/>
  <c r="BL170" i="3"/>
  <c r="AZ170" i="3" s="1"/>
  <c r="BA169" i="3"/>
  <c r="AZ169" i="3" s="1"/>
  <c r="BL166" i="3"/>
  <c r="AZ166" i="3" s="1"/>
  <c r="BA165" i="3"/>
  <c r="AZ165" i="3" s="1"/>
  <c r="BL162" i="3"/>
  <c r="AZ162" i="3" s="1"/>
  <c r="BA161" i="3"/>
  <c r="AZ161" i="3" s="1"/>
  <c r="BL158" i="3"/>
  <c r="AZ158" i="3" s="1"/>
  <c r="BA157" i="3"/>
  <c r="AZ157" i="3" s="1"/>
  <c r="BL154" i="3"/>
  <c r="BL5" i="3" s="1"/>
  <c r="BA58" i="3"/>
  <c r="J13" i="72"/>
  <c r="R13" i="72" s="1"/>
  <c r="L13" i="72" s="1"/>
  <c r="I13" i="72"/>
  <c r="K13" i="72" s="1"/>
  <c r="I10" i="72"/>
  <c r="J10" i="72" s="1"/>
  <c r="J12" i="72"/>
  <c r="I9" i="72"/>
  <c r="J9" i="72" s="1"/>
  <c r="K9" i="72" s="1"/>
  <c r="I12" i="72"/>
  <c r="C12" i="71"/>
  <c r="C14" i="71" s="1"/>
  <c r="I11" i="72"/>
  <c r="J11" i="72" s="1"/>
  <c r="I5" i="72"/>
  <c r="J5" i="72" s="1"/>
  <c r="H8" i="72"/>
  <c r="H7" i="72"/>
  <c r="H6" i="72"/>
  <c r="I4" i="72"/>
  <c r="J4" i="72" s="1"/>
  <c r="I3" i="72"/>
  <c r="J20" i="15"/>
  <c r="F62" i="15"/>
  <c r="C61" i="15" s="1"/>
  <c r="C34" i="15"/>
  <c r="C27" i="15"/>
  <c r="F64" i="15"/>
  <c r="L59" i="44"/>
  <c r="L60" i="44"/>
  <c r="F68" i="15"/>
  <c r="Q72" i="15"/>
  <c r="F65" i="15"/>
  <c r="F70" i="15"/>
  <c r="F50" i="15"/>
  <c r="C8" i="44"/>
  <c r="C36" i="44"/>
  <c r="F49" i="15"/>
  <c r="M7" i="15"/>
  <c r="J6" i="15" s="1"/>
  <c r="J1" i="65"/>
  <c r="E20" i="46"/>
  <c r="C29" i="44"/>
  <c r="F63" i="15"/>
  <c r="J22" i="44"/>
  <c r="J53" i="15"/>
  <c r="L56" i="15"/>
  <c r="J57" i="15"/>
  <c r="J55" i="15" s="1"/>
  <c r="J58" i="15" s="1"/>
  <c r="Q51" i="15" s="1"/>
  <c r="I54" i="15"/>
  <c r="F67" i="15"/>
  <c r="Q73" i="44"/>
  <c r="M9" i="44"/>
  <c r="J8" i="44" s="1"/>
  <c r="L58" i="15"/>
  <c r="L59" i="15"/>
  <c r="C4" i="65"/>
  <c r="B39" i="1" s="1"/>
  <c r="J54" i="44"/>
  <c r="J60" i="44"/>
  <c r="J58" i="44"/>
  <c r="J56" i="44" s="1"/>
  <c r="J59" i="44" s="1"/>
  <c r="Q52" i="44" s="1"/>
  <c r="J61" i="44"/>
  <c r="Q50" i="44" s="1"/>
  <c r="L57" i="44"/>
  <c r="I55" i="44"/>
  <c r="C6" i="15"/>
  <c r="E2" i="65"/>
  <c r="C16" i="15"/>
  <c r="C17" i="15"/>
  <c r="E3" i="65"/>
  <c r="C18" i="44"/>
  <c r="R10" i="72" l="1"/>
  <c r="L10" i="72" s="1"/>
  <c r="K10" i="72"/>
  <c r="M10" i="72" s="1"/>
  <c r="O10" i="72" s="1"/>
  <c r="P10" i="72" s="1"/>
  <c r="B40" i="1"/>
  <c r="M13" i="72"/>
  <c r="O13" i="72" s="1"/>
  <c r="P13" i="72" s="1"/>
  <c r="P49" i="59"/>
  <c r="P48" i="59"/>
  <c r="C27" i="59"/>
  <c r="D26" i="59"/>
  <c r="C65" i="59"/>
  <c r="D65" i="59" s="1"/>
  <c r="D66" i="59"/>
  <c r="D29" i="46"/>
  <c r="D1" i="46" s="1"/>
  <c r="E552" i="3"/>
  <c r="E57" i="3"/>
  <c r="E343" i="3"/>
  <c r="E84" i="3"/>
  <c r="E142" i="3"/>
  <c r="AP6" i="3"/>
  <c r="E410" i="3"/>
  <c r="E431" i="3"/>
  <c r="E468" i="3"/>
  <c r="E70" i="3"/>
  <c r="E109" i="3"/>
  <c r="E38" i="3"/>
  <c r="E185" i="3"/>
  <c r="E151" i="3"/>
  <c r="E148" i="3"/>
  <c r="E313" i="3"/>
  <c r="E27" i="3"/>
  <c r="E53" i="3"/>
  <c r="E412" i="3"/>
  <c r="E405" i="3"/>
  <c r="E469" i="3"/>
  <c r="W6" i="3"/>
  <c r="E293" i="3"/>
  <c r="E190"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101" i="3"/>
  <c r="E274" i="3"/>
  <c r="E490" i="3"/>
  <c r="E536" i="3"/>
  <c r="E218" i="3"/>
  <c r="E397" i="3"/>
  <c r="E442" i="3"/>
  <c r="E462" i="3"/>
  <c r="E110" i="3"/>
  <c r="E47" i="3"/>
  <c r="E63" i="3"/>
  <c r="E545" i="3"/>
  <c r="E174" i="3"/>
  <c r="E184" i="3"/>
  <c r="E129" i="3"/>
  <c r="E482" i="3"/>
  <c r="E98" i="3"/>
  <c r="E473" i="3"/>
  <c r="E422" i="3"/>
  <c r="N6" i="3"/>
  <c r="E398" i="3"/>
  <c r="E232" i="3"/>
  <c r="E533" i="3"/>
  <c r="E189"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09" i="3"/>
  <c r="E20" i="3"/>
  <c r="E564" i="3"/>
  <c r="E86" i="3"/>
  <c r="E535" i="3"/>
  <c r="E156" i="3"/>
  <c r="E381" i="3"/>
  <c r="E49" i="3"/>
  <c r="E427" i="3"/>
  <c r="E193" i="3"/>
  <c r="E278" i="3"/>
  <c r="E104" i="3"/>
  <c r="E94" i="3"/>
  <c r="E492" i="3"/>
  <c r="E127" i="3"/>
  <c r="E266" i="3"/>
  <c r="E215" i="3"/>
  <c r="I6" i="3"/>
  <c r="E548" i="3"/>
  <c r="Z6" i="3"/>
  <c r="E454" i="3"/>
  <c r="E520" i="3"/>
  <c r="AK6" i="3"/>
  <c r="E223" i="3"/>
  <c r="E441" i="3"/>
  <c r="E205" i="3"/>
  <c r="E367" i="3"/>
  <c r="E399" i="3"/>
  <c r="E415" i="3"/>
  <c r="E478" i="3"/>
  <c r="E80" i="3"/>
  <c r="E317" i="3"/>
  <c r="E28" i="3"/>
  <c r="E357" i="3"/>
  <c r="E141" i="3"/>
  <c r="E179" i="3"/>
  <c r="E168" i="3"/>
  <c r="AS6" i="3"/>
  <c r="E34" i="3"/>
  <c r="E444" i="3"/>
  <c r="E407" i="3"/>
  <c r="E383" i="3"/>
  <c r="E550" i="3"/>
  <c r="E247" i="3"/>
  <c r="E136" i="3"/>
  <c r="E568" i="3"/>
  <c r="E23" i="3"/>
  <c r="E41" i="3"/>
  <c r="E471" i="3"/>
  <c r="E418" i="3"/>
  <c r="E408" i="3"/>
  <c r="E92" i="3"/>
  <c r="E238" i="3"/>
  <c r="E414" i="3"/>
  <c r="E44" i="3"/>
  <c r="E202" i="3"/>
  <c r="E472" i="3"/>
  <c r="E186" i="3"/>
  <c r="E311" i="3"/>
  <c r="E263" i="3"/>
  <c r="E424" i="3"/>
  <c r="E82" i="3"/>
  <c r="E164" i="3"/>
  <c r="E99" i="3"/>
  <c r="E262" i="3"/>
  <c r="E395" i="3"/>
  <c r="E297" i="3"/>
  <c r="E413" i="3"/>
  <c r="E47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170" i="3"/>
  <c r="E374" i="3"/>
  <c r="I3" i="6"/>
  <c r="E30" i="3"/>
  <c r="E213" i="3"/>
  <c r="E484" i="3"/>
  <c r="E326" i="3"/>
  <c r="E356" i="3"/>
  <c r="E481" i="3"/>
  <c r="E283" i="3"/>
  <c r="E443" i="3"/>
  <c r="E265" i="3"/>
  <c r="E194" i="3"/>
  <c r="AM6" i="3"/>
  <c r="E78" i="3"/>
  <c r="E337" i="3"/>
  <c r="E390" i="3"/>
  <c r="E158" i="3"/>
  <c r="E296" i="3"/>
  <c r="AA6" i="3"/>
  <c r="AD6" i="3"/>
  <c r="E299" i="3"/>
  <c r="E327" i="3"/>
  <c r="E103" i="3"/>
  <c r="E200" i="3"/>
  <c r="E62" i="3"/>
  <c r="E389" i="3"/>
  <c r="E230" i="3"/>
  <c r="E143" i="3"/>
  <c r="E463" i="3"/>
  <c r="E32" i="3"/>
  <c r="E292" i="3"/>
  <c r="E547" i="3"/>
  <c r="E426" i="3"/>
  <c r="E447" i="3"/>
  <c r="E60" i="3"/>
  <c r="E33" i="3"/>
  <c r="E75" i="3"/>
  <c r="Q6" i="3"/>
  <c r="E178" i="3"/>
  <c r="E119" i="3"/>
  <c r="J6" i="3"/>
  <c r="E500" i="3"/>
  <c r="E48" i="3"/>
  <c r="E97" i="3"/>
  <c r="E438" i="3"/>
  <c r="AE6" i="3"/>
  <c r="E455" i="3"/>
  <c r="E289" i="3"/>
  <c r="E363" i="3"/>
  <c r="E113" i="3"/>
  <c r="E561" i="3"/>
  <c r="AN6" i="3"/>
  <c r="E280" i="3"/>
  <c r="E59" i="3"/>
  <c r="E270" i="3"/>
  <c r="E464" i="3"/>
  <c r="E157" i="3"/>
  <c r="E209" i="3"/>
  <c r="E161" i="3"/>
  <c r="E450" i="3"/>
  <c r="E534" i="3"/>
  <c r="E83" i="3"/>
  <c r="E124" i="3"/>
  <c r="E222" i="3"/>
  <c r="E388" i="3"/>
  <c r="E430" i="3"/>
  <c r="E146" i="3"/>
  <c r="E77" i="3"/>
  <c r="E434" i="3"/>
  <c r="E250" i="3"/>
  <c r="E411" i="3"/>
  <c r="AO6" i="3"/>
  <c r="M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452" i="3"/>
  <c r="E140" i="3"/>
  <c r="E435" i="3"/>
  <c r="P6" i="3"/>
  <c r="M12" i="1"/>
  <c r="G16" i="1"/>
  <c r="Q16" i="1"/>
  <c r="AP16" i="1"/>
  <c r="F22" i="11" s="1"/>
  <c r="K16" i="1"/>
  <c r="H16" i="1"/>
  <c r="M20" i="46"/>
  <c r="C19" i="46"/>
  <c r="P21" i="46"/>
  <c r="O19" i="46"/>
  <c r="P24" i="46"/>
  <c r="B68" i="40" s="1"/>
  <c r="P25" i="46"/>
  <c r="B73" i="39" s="1"/>
  <c r="P23" i="46"/>
  <c r="P22" i="46"/>
  <c r="W28" i="34"/>
  <c r="AC28" i="34"/>
  <c r="AA9" i="33"/>
  <c r="S9" i="33"/>
  <c r="AC9" i="33"/>
  <c r="W9" i="33"/>
  <c r="U27" i="40"/>
  <c r="AB27" i="40"/>
  <c r="AB24" i="36"/>
  <c r="U24" i="36"/>
  <c r="AA9" i="36"/>
  <c r="S9" i="36"/>
  <c r="W9" i="36"/>
  <c r="AC9" i="36"/>
  <c r="AC26" i="33"/>
  <c r="W26" i="33"/>
  <c r="AA12" i="21"/>
  <c r="S12" i="21"/>
  <c r="H52" i="37"/>
  <c r="I52" i="37" s="1"/>
  <c r="J52" i="37" s="1"/>
  <c r="K52" i="37" s="1"/>
  <c r="L52" i="37" s="1"/>
  <c r="M52" i="37" s="1"/>
  <c r="N52" i="37" s="1"/>
  <c r="O52" i="37" s="1"/>
  <c r="AA7" i="35"/>
  <c r="R38" i="35" s="1"/>
  <c r="S7" i="35"/>
  <c r="S7" i="34"/>
  <c r="AA7" i="34"/>
  <c r="R49" i="34" s="1"/>
  <c r="AA7" i="33"/>
  <c r="R48" i="33" s="1"/>
  <c r="S7" i="33"/>
  <c r="AA7" i="36"/>
  <c r="R36" i="36" s="1"/>
  <c r="S7" i="36"/>
  <c r="AB7" i="36"/>
  <c r="T36" i="36" s="1"/>
  <c r="G36" i="36" s="1"/>
  <c r="U7" i="36"/>
  <c r="I70" i="39"/>
  <c r="H72" i="39"/>
  <c r="C49" i="21"/>
  <c r="B3" i="21" s="1"/>
  <c r="B2" i="21" s="1"/>
  <c r="C48" i="21"/>
  <c r="AZ154" i="3"/>
  <c r="R12" i="72"/>
  <c r="L12" i="72" s="1"/>
  <c r="M12" i="72"/>
  <c r="O12" i="72" s="1"/>
  <c r="P12" i="72" s="1"/>
  <c r="K12" i="72"/>
  <c r="R9" i="72"/>
  <c r="L9" i="72" s="1"/>
  <c r="M9" i="72" s="1"/>
  <c r="O9" i="72" s="1"/>
  <c r="P9" i="72" s="1"/>
  <c r="AZ58" i="3"/>
  <c r="AZ5" i="3" s="1"/>
  <c r="BA5" i="3"/>
  <c r="E27" i="6" s="1"/>
  <c r="C49" i="59"/>
  <c r="D50" i="59"/>
  <c r="O50" i="59"/>
  <c r="T47" i="59"/>
  <c r="D47" i="59"/>
  <c r="C69" i="59"/>
  <c r="D69" i="59" s="1"/>
  <c r="D70" i="59"/>
  <c r="O13" i="1"/>
  <c r="P13" i="1"/>
  <c r="AA28" i="34"/>
  <c r="S28" i="34"/>
  <c r="U9" i="33"/>
  <c r="AB9" i="33"/>
  <c r="AA27" i="40"/>
  <c r="S27" i="40"/>
  <c r="W24" i="36"/>
  <c r="AC24" i="36"/>
  <c r="AB9" i="36"/>
  <c r="U9" i="36"/>
  <c r="S26" i="33"/>
  <c r="AA26" i="33"/>
  <c r="AC12" i="21"/>
  <c r="W12" i="21"/>
  <c r="S4" i="46"/>
  <c r="S6" i="46"/>
  <c r="S2" i="46"/>
  <c r="U7" i="35"/>
  <c r="AB7" i="35"/>
  <c r="T38" i="35" s="1"/>
  <c r="G38" i="35" s="1"/>
  <c r="U7" i="34"/>
  <c r="AB7" i="34"/>
  <c r="T49" i="34" s="1"/>
  <c r="G49" i="34" s="1"/>
  <c r="AB7" i="33"/>
  <c r="T48" i="33" s="1"/>
  <c r="G48" i="33" s="1"/>
  <c r="U7" i="33"/>
  <c r="S7" i="46"/>
  <c r="F7" i="37"/>
  <c r="W7" i="36"/>
  <c r="AC7" i="36"/>
  <c r="V36" i="36" s="1"/>
  <c r="I36" i="36" s="1"/>
  <c r="W7" i="35"/>
  <c r="AC7" i="35"/>
  <c r="V38" i="35" s="1"/>
  <c r="I38" i="35" s="1"/>
  <c r="W7" i="33"/>
  <c r="AC7" i="33"/>
  <c r="V48" i="33" s="1"/>
  <c r="I48" i="33" s="1"/>
  <c r="S3" i="46"/>
  <c r="I67" i="40"/>
  <c r="J65" i="40"/>
  <c r="E53" i="21"/>
  <c r="F53" i="21" s="1"/>
  <c r="E52" i="21"/>
  <c r="F52" i="21" s="1"/>
  <c r="W7" i="34"/>
  <c r="AC7" i="34"/>
  <c r="V49" i="34" s="1"/>
  <c r="I49" i="34" s="1"/>
  <c r="R11" i="72"/>
  <c r="L11" i="72" s="1"/>
  <c r="K11" i="72"/>
  <c r="M11" i="72" s="1"/>
  <c r="O11" i="72" s="1"/>
  <c r="P11" i="72" s="1"/>
  <c r="R5" i="72"/>
  <c r="L5" i="72" s="1"/>
  <c r="K5" i="72"/>
  <c r="I6" i="72"/>
  <c r="J6" i="72"/>
  <c r="I8" i="72"/>
  <c r="J8" i="72" s="1"/>
  <c r="I7" i="72"/>
  <c r="J7" i="72" s="1"/>
  <c r="K7" i="72" s="1"/>
  <c r="R4" i="72"/>
  <c r="L4" i="72" s="1"/>
  <c r="K4" i="72"/>
  <c r="J3" i="72"/>
  <c r="K3" i="72" s="1"/>
  <c r="L47" i="44"/>
  <c r="F17" i="11"/>
  <c r="C17" i="11" s="1"/>
  <c r="M13" i="44"/>
  <c r="J12" i="44" s="1"/>
  <c r="J7" i="44" s="1"/>
  <c r="F13" i="44"/>
  <c r="C12" i="44" s="1"/>
  <c r="C7" i="44" s="1"/>
  <c r="F11" i="15"/>
  <c r="M11" i="15"/>
  <c r="J10" i="15" s="1"/>
  <c r="J5" i="15" s="1"/>
  <c r="Q62" i="15"/>
  <c r="Q75" i="15"/>
  <c r="C48" i="15"/>
  <c r="Q76" i="44"/>
  <c r="Q63" i="44"/>
  <c r="F1" i="44"/>
  <c r="Q54" i="44"/>
  <c r="Q61" i="15"/>
  <c r="Q74" i="15"/>
  <c r="F1" i="15"/>
  <c r="Q53" i="15"/>
  <c r="N17" i="46"/>
  <c r="M17" i="46"/>
  <c r="P17" i="46"/>
  <c r="G20" i="46" s="1"/>
  <c r="C20" i="46" s="1"/>
  <c r="O17" i="46"/>
  <c r="Q62" i="44"/>
  <c r="Q75" i="44"/>
  <c r="F24" i="15"/>
  <c r="C24" i="15" s="1"/>
  <c r="F26" i="44"/>
  <c r="C26" i="44" s="1"/>
  <c r="F26" i="12"/>
  <c r="C27" i="12" s="1"/>
  <c r="D26" i="12" s="1"/>
  <c r="C32" i="12" s="1"/>
  <c r="D30" i="12" s="1"/>
  <c r="F21" i="43"/>
  <c r="M4" i="72" l="1"/>
  <c r="O4" i="72" s="1"/>
  <c r="P4" i="72" s="1"/>
  <c r="R6" i="72"/>
  <c r="L6" i="72" s="1"/>
  <c r="I53" i="34"/>
  <c r="J53" i="34" s="1"/>
  <c r="I52" i="33"/>
  <c r="J52" i="33" s="1"/>
  <c r="I42" i="35"/>
  <c r="J42" i="35" s="1"/>
  <c r="I40" i="36"/>
  <c r="J40" i="36" s="1"/>
  <c r="AA7" i="37"/>
  <c r="R42" i="37" s="1"/>
  <c r="S7" i="37"/>
  <c r="G53" i="34"/>
  <c r="H53" i="34" s="1"/>
  <c r="G54" i="34"/>
  <c r="H54" i="34" s="1"/>
  <c r="G43" i="35"/>
  <c r="H43" i="35" s="1"/>
  <c r="G42" i="35"/>
  <c r="H42" i="35" s="1"/>
  <c r="O49" i="59"/>
  <c r="O48" i="59"/>
  <c r="D49" i="59"/>
  <c r="AY6" i="3"/>
  <c r="E3" i="6"/>
  <c r="J70" i="39"/>
  <c r="I72" i="39"/>
  <c r="E49" i="34"/>
  <c r="R50" i="34"/>
  <c r="K6" i="72"/>
  <c r="M6" i="72" s="1"/>
  <c r="O6" i="72" s="1"/>
  <c r="P6" i="72" s="1"/>
  <c r="M5" i="72"/>
  <c r="O5" i="72" s="1"/>
  <c r="P5" i="72" s="1"/>
  <c r="J67" i="40"/>
  <c r="K65" i="40"/>
  <c r="G53" i="33"/>
  <c r="H53" i="33" s="1"/>
  <c r="G52" i="33"/>
  <c r="H52" i="33" s="1"/>
  <c r="J7" i="37"/>
  <c r="E31" i="6"/>
  <c r="K26" i="6"/>
  <c r="M26" i="6" s="1"/>
  <c r="I26" i="6" s="1"/>
  <c r="S26" i="6" s="1"/>
  <c r="K20" i="6"/>
  <c r="K19" i="6"/>
  <c r="K21" i="6"/>
  <c r="M21" i="6" s="1"/>
  <c r="I21" i="6" s="1"/>
  <c r="S21" i="6" s="1"/>
  <c r="K23" i="6"/>
  <c r="M23" i="6" s="1"/>
  <c r="I23" i="6" s="1"/>
  <c r="S23" i="6" s="1"/>
  <c r="K24" i="6"/>
  <c r="M24" i="6" s="1"/>
  <c r="I24" i="6" s="1"/>
  <c r="S24" i="6" s="1"/>
  <c r="K25" i="6"/>
  <c r="M25" i="6" s="1"/>
  <c r="I25" i="6" s="1"/>
  <c r="S25" i="6" s="1"/>
  <c r="K22" i="6"/>
  <c r="M22" i="6" s="1"/>
  <c r="I22" i="6" s="1"/>
  <c r="S22" i="6" s="1"/>
  <c r="G41" i="36"/>
  <c r="H41" i="36" s="1"/>
  <c r="G40" i="36"/>
  <c r="H40" i="36" s="1"/>
  <c r="R37" i="36"/>
  <c r="E36" i="36"/>
  <c r="R49" i="33"/>
  <c r="E48" i="33"/>
  <c r="E38" i="35"/>
  <c r="R39" i="35"/>
  <c r="H7" i="37"/>
  <c r="F24" i="43"/>
  <c r="C26" i="43" s="1"/>
  <c r="D24" i="43" s="1"/>
  <c r="F18" i="11"/>
  <c r="C18" i="11" s="1"/>
  <c r="C19" i="11" s="1"/>
  <c r="C20" i="11" s="1"/>
  <c r="C21" i="11" s="1"/>
  <c r="C22" i="11" s="1"/>
  <c r="C23" i="11" s="1"/>
  <c r="B2" i="11" s="1"/>
  <c r="F33" i="12"/>
  <c r="C34" i="12" s="1"/>
  <c r="D33" i="12" s="1"/>
  <c r="O12" i="1"/>
  <c r="O16" i="1" s="1"/>
  <c r="P12" i="1"/>
  <c r="P16" i="1" s="1"/>
  <c r="C13" i="12" s="1"/>
  <c r="M16" i="1"/>
  <c r="AC6" i="3"/>
  <c r="H6" i="3"/>
  <c r="H12" i="40"/>
  <c r="J12" i="40"/>
  <c r="F12" i="39"/>
  <c r="J12" i="39"/>
  <c r="F12" i="40"/>
  <c r="H12" i="39"/>
  <c r="T27" i="59"/>
  <c r="D27" i="59"/>
  <c r="R8" i="72"/>
  <c r="L8" i="72" s="1"/>
  <c r="R7" i="72"/>
  <c r="L7" i="72" s="1"/>
  <c r="M7" i="72" s="1"/>
  <c r="O7" i="72" s="1"/>
  <c r="P7" i="72" s="1"/>
  <c r="K8" i="72"/>
  <c r="M8" i="72" s="1"/>
  <c r="O8" i="72" s="1"/>
  <c r="P8" i="72" s="1"/>
  <c r="R3" i="72"/>
  <c r="L3" i="72" s="1"/>
  <c r="M3" i="72" s="1"/>
  <c r="O3" i="72" s="1"/>
  <c r="P3" i="72" s="1"/>
  <c r="J28" i="44"/>
  <c r="J31" i="44" s="1"/>
  <c r="J26" i="44"/>
  <c r="J20" i="44"/>
  <c r="C35" i="46"/>
  <c r="C36" i="46"/>
  <c r="T13" i="46"/>
  <c r="V13" i="46" s="1"/>
  <c r="C33" i="46"/>
  <c r="C39" i="46"/>
  <c r="T11" i="46"/>
  <c r="V11" i="46" s="1"/>
  <c r="T10" i="46"/>
  <c r="V10" i="46" s="1"/>
  <c r="C37" i="46"/>
  <c r="T4" i="46"/>
  <c r="V4" i="46" s="1"/>
  <c r="T2" i="46"/>
  <c r="V2" i="46" s="1"/>
  <c r="T6" i="46"/>
  <c r="V6" i="46" s="1"/>
  <c r="C34" i="46"/>
  <c r="T16" i="46"/>
  <c r="V16" i="46" s="1"/>
  <c r="T8" i="46"/>
  <c r="V8" i="46" s="1"/>
  <c r="T15" i="46"/>
  <c r="V15" i="46" s="1"/>
  <c r="T14" i="46"/>
  <c r="V14" i="46" s="1"/>
  <c r="C29" i="46"/>
  <c r="T9" i="46"/>
  <c r="V9" i="46" s="1"/>
  <c r="T12" i="46"/>
  <c r="V12" i="46" s="1"/>
  <c r="C38" i="46"/>
  <c r="T3" i="46"/>
  <c r="V3" i="46" s="1"/>
  <c r="T7" i="46"/>
  <c r="V7" i="46" s="1"/>
  <c r="T5" i="46"/>
  <c r="V5" i="46" s="1"/>
  <c r="C23" i="43"/>
  <c r="D21" i="43" s="1"/>
  <c r="J26" i="15"/>
  <c r="J29" i="15" s="1"/>
  <c r="J24" i="15"/>
  <c r="J18" i="15"/>
  <c r="C34" i="44"/>
  <c r="C40" i="44"/>
  <c r="C10" i="15"/>
  <c r="C5" i="15" s="1"/>
  <c r="C52" i="15"/>
  <c r="C47" i="15" s="1"/>
  <c r="L52" i="44"/>
  <c r="S12" i="39" l="1"/>
  <c r="AA12" i="39"/>
  <c r="C14" i="12"/>
  <c r="C17" i="12"/>
  <c r="C38" i="35"/>
  <c r="C39" i="35"/>
  <c r="B3" i="35" s="1"/>
  <c r="B2" i="35" s="1"/>
  <c r="E52" i="33"/>
  <c r="F52" i="33" s="1"/>
  <c r="E53" i="33"/>
  <c r="F53" i="33" s="1"/>
  <c r="E40" i="36"/>
  <c r="F40" i="36" s="1"/>
  <c r="E41" i="36"/>
  <c r="F41" i="36" s="1"/>
  <c r="AB12" i="39"/>
  <c r="U12" i="39"/>
  <c r="W12" i="39"/>
  <c r="AC12" i="39"/>
  <c r="AC12" i="40"/>
  <c r="W12" i="40"/>
  <c r="E6" i="3"/>
  <c r="C13" i="43"/>
  <c r="N16" i="1"/>
  <c r="C29" i="43" s="1"/>
  <c r="L16" i="1"/>
  <c r="U7" i="37"/>
  <c r="AB7" i="37"/>
  <c r="T42" i="37" s="1"/>
  <c r="G42" i="37" s="1"/>
  <c r="E43" i="35"/>
  <c r="F43" i="35" s="1"/>
  <c r="E42" i="35"/>
  <c r="F42" i="35" s="1"/>
  <c r="C49" i="33"/>
  <c r="B3" i="33" s="1"/>
  <c r="B2" i="33" s="1"/>
  <c r="C48" i="33"/>
  <c r="C37" i="36"/>
  <c r="B3" i="36" s="1"/>
  <c r="B2" i="36" s="1"/>
  <c r="C36" i="36"/>
  <c r="S7" i="1"/>
  <c r="M20" i="6"/>
  <c r="I20" i="6" s="1"/>
  <c r="S20" i="6" s="1"/>
  <c r="K67" i="40"/>
  <c r="L65" i="40"/>
  <c r="C49" i="34"/>
  <c r="C50" i="34"/>
  <c r="B3" i="34" s="1"/>
  <c r="B2" i="34" s="1"/>
  <c r="D5" i="71"/>
  <c r="D45" i="9"/>
  <c r="L38" i="9"/>
  <c r="B14" i="66" s="1"/>
  <c r="B1" i="66" s="1"/>
  <c r="D16" i="43"/>
  <c r="C16" i="43" s="1"/>
  <c r="D10" i="11"/>
  <c r="E6" i="6"/>
  <c r="D46" i="9"/>
  <c r="D44" i="9"/>
  <c r="C21" i="4"/>
  <c r="O5" i="54" s="1"/>
  <c r="B45" i="63" s="1"/>
  <c r="D16" i="12"/>
  <c r="E42" i="37"/>
  <c r="R43" i="37"/>
  <c r="I41" i="36"/>
  <c r="J41" i="36" s="1"/>
  <c r="I53" i="33"/>
  <c r="J53" i="33" s="1"/>
  <c r="AA12" i="40"/>
  <c r="S12" i="40"/>
  <c r="U12" i="40"/>
  <c r="AB12" i="40"/>
  <c r="K27" i="6"/>
  <c r="S6" i="1"/>
  <c r="M19" i="6"/>
  <c r="AC7" i="37"/>
  <c r="V42" i="37" s="1"/>
  <c r="I42" i="37" s="1"/>
  <c r="W7" i="37"/>
  <c r="E54" i="34"/>
  <c r="F54" i="34" s="1"/>
  <c r="E53" i="34"/>
  <c r="F53" i="34" s="1"/>
  <c r="J72" i="39"/>
  <c r="K70" i="39"/>
  <c r="D3" i="6"/>
  <c r="AY437" i="3"/>
  <c r="AY175" i="3"/>
  <c r="AY116" i="3"/>
  <c r="AY168" i="3"/>
  <c r="AY295" i="3"/>
  <c r="AY16" i="3"/>
  <c r="AY336" i="3"/>
  <c r="AY35" i="3"/>
  <c r="AY525" i="3"/>
  <c r="AY48" i="3"/>
  <c r="AY489" i="3"/>
  <c r="AY66" i="3"/>
  <c r="AY325" i="3"/>
  <c r="AY287" i="3"/>
  <c r="AY222" i="3"/>
  <c r="AY540" i="3"/>
  <c r="AY484" i="3"/>
  <c r="AY220" i="3"/>
  <c r="AY68" i="3"/>
  <c r="AY404" i="3"/>
  <c r="AY327" i="3"/>
  <c r="AY468" i="3"/>
  <c r="AY377" i="3"/>
  <c r="BI6" i="3"/>
  <c r="AY403" i="3"/>
  <c r="AY469" i="3"/>
  <c r="AY191" i="3"/>
  <c r="AY118" i="3"/>
  <c r="AY425" i="3"/>
  <c r="AY202" i="3"/>
  <c r="AY286" i="3"/>
  <c r="AY70" i="3"/>
  <c r="AY348" i="3"/>
  <c r="AY115" i="3"/>
  <c r="AY435" i="3"/>
  <c r="AY542" i="3"/>
  <c r="AY132" i="3"/>
  <c r="AY382" i="3"/>
  <c r="AY555" i="3"/>
  <c r="AY143" i="3"/>
  <c r="AY308" i="3"/>
  <c r="AY236" i="3"/>
  <c r="AY567" i="3"/>
  <c r="AY538" i="3"/>
  <c r="AY534" i="3"/>
  <c r="AY267" i="3"/>
  <c r="AY192" i="3"/>
  <c r="AY478" i="3"/>
  <c r="AY387" i="3"/>
  <c r="AY418" i="3"/>
  <c r="AY410" i="3"/>
  <c r="BO6" i="3"/>
  <c r="AY433" i="3"/>
  <c r="AY512" i="3"/>
  <c r="AY210" i="3"/>
  <c r="AY130" i="3"/>
  <c r="AY125" i="3"/>
  <c r="AY462" i="3"/>
  <c r="AY541" i="3"/>
  <c r="AY167" i="3"/>
  <c r="AY439" i="3"/>
  <c r="AY180" i="3"/>
  <c r="AY477" i="3"/>
  <c r="AY292" i="3"/>
  <c r="AY523" i="3"/>
  <c r="AY454" i="3"/>
  <c r="AY507" i="3"/>
  <c r="AY539" i="3"/>
  <c r="AY564" i="3"/>
  <c r="AY530" i="3"/>
  <c r="AY549" i="3"/>
  <c r="AY87" i="3"/>
  <c r="AY69" i="3"/>
  <c r="AY97" i="3"/>
  <c r="AY88" i="3"/>
  <c r="AY109" i="3"/>
  <c r="AY26" i="3"/>
  <c r="AY198" i="3"/>
  <c r="AY129" i="3"/>
  <c r="AY142" i="3"/>
  <c r="AY529" i="3"/>
  <c r="AY77" i="3"/>
  <c r="AY104" i="3"/>
  <c r="AY34" i="3"/>
  <c r="AY145" i="3"/>
  <c r="AY158" i="3"/>
  <c r="AY259" i="3"/>
  <c r="AY218" i="3"/>
  <c r="AY248" i="3"/>
  <c r="AY290" i="3"/>
  <c r="AY368" i="3"/>
  <c r="AY504" i="3"/>
  <c r="AY100" i="3"/>
  <c r="AY83" i="3"/>
  <c r="AY47" i="3"/>
  <c r="AY182" i="3"/>
  <c r="AY126" i="3"/>
  <c r="AY45" i="3"/>
  <c r="AY106" i="3"/>
  <c r="AY217" i="3"/>
  <c r="AY291" i="3"/>
  <c r="AY383"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BL6" i="3"/>
  <c r="AY154" i="3"/>
  <c r="AY160" i="3"/>
  <c r="AY75" i="3"/>
  <c r="AY277" i="3"/>
  <c r="AY384"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273" i="3"/>
  <c r="AY494" i="3"/>
  <c r="AY566" i="3"/>
  <c r="AY212" i="3"/>
  <c r="AY488"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103" i="3"/>
  <c r="AY52" i="3"/>
  <c r="AY204" i="3"/>
  <c r="AY31" i="3"/>
  <c r="AY234"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207" i="3"/>
  <c r="AY510" i="3"/>
  <c r="AY40" i="3"/>
  <c r="AY401" i="3"/>
  <c r="AY281"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77" i="3"/>
  <c r="AY263" i="3"/>
  <c r="AY524" i="3"/>
  <c r="AY231" i="3"/>
  <c r="AY300" i="3"/>
  <c r="AY260" i="3"/>
  <c r="AY423" i="3"/>
  <c r="AY228" i="3"/>
  <c r="AY18" i="3"/>
  <c r="AY486" i="3"/>
  <c r="AY82" i="3"/>
  <c r="AY80" i="3"/>
  <c r="AY37" i="3"/>
  <c r="AY67" i="3"/>
  <c r="AY41" i="3"/>
  <c r="AY58" i="3"/>
  <c r="AY203" i="3"/>
  <c r="AY159" i="3"/>
  <c r="AY128" i="3"/>
  <c r="AY179" i="3"/>
  <c r="AY95" i="3"/>
  <c r="AY105" i="3"/>
  <c r="AY36" i="3"/>
  <c r="AY274" i="3"/>
  <c r="AY150" i="3"/>
  <c r="AY293" i="3"/>
  <c r="AY246" i="3"/>
  <c r="AY275" i="3"/>
  <c r="AY216" i="3"/>
  <c r="AY386" i="3"/>
  <c r="AY333" i="3"/>
  <c r="AY537" i="3"/>
  <c r="AY53" i="3"/>
  <c r="AY73" i="3"/>
  <c r="AY74" i="3"/>
  <c r="AY144" i="3"/>
  <c r="AY98" i="3"/>
  <c r="AY57" i="3"/>
  <c r="AY136" i="3"/>
  <c r="AY262" i="3"/>
  <c r="AY232" i="3"/>
  <c r="AY349"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64" i="3"/>
  <c r="AY42" i="3"/>
  <c r="AY515" i="3"/>
  <c r="AY264" i="3"/>
  <c r="AY361" i="3"/>
  <c r="AY427" i="3"/>
  <c r="AY422" i="3"/>
  <c r="AY170" i="3"/>
  <c r="AY146" i="3"/>
  <c r="AY214" i="3"/>
  <c r="AY324" i="3"/>
  <c r="AY476" i="3"/>
  <c r="AY39" i="3"/>
  <c r="AY258" i="3"/>
  <c r="AY366" i="3"/>
  <c r="AY315" i="3"/>
  <c r="AY548" i="3"/>
  <c r="AY256" i="3"/>
  <c r="AY464" i="3"/>
  <c r="AY81" i="3"/>
  <c r="AY342" i="3"/>
  <c r="AY194" i="3"/>
  <c r="AY279" i="3"/>
  <c r="AY438" i="3"/>
  <c r="AY278" i="3"/>
  <c r="AY253" i="3"/>
  <c r="AY352" i="3"/>
  <c r="AY124" i="3"/>
  <c r="AY428" i="3"/>
  <c r="AY526" i="3"/>
  <c r="AY19" i="3"/>
  <c r="AY215" i="3"/>
  <c r="AY519" i="3"/>
  <c r="AY546" i="3"/>
  <c r="AY242" i="3"/>
  <c r="AY417" i="3"/>
  <c r="AY186" i="3"/>
  <c r="BF6" i="3"/>
  <c r="AY163" i="3"/>
  <c r="AY385" i="3"/>
  <c r="AY390" i="3"/>
  <c r="AY492" i="3"/>
  <c r="AY15" i="3"/>
  <c r="AY355" i="3"/>
  <c r="AY505" i="3"/>
  <c r="AY17" i="3"/>
  <c r="BR6" i="3"/>
  <c r="AY563" i="3"/>
  <c r="AY497" i="3"/>
  <c r="AY285" i="3"/>
  <c r="AY357" i="3"/>
  <c r="AY133" i="3"/>
  <c r="AY84" i="3"/>
  <c r="AY213" i="3"/>
  <c r="AY502" i="3"/>
  <c r="AY110" i="3"/>
  <c r="AY298" i="3"/>
  <c r="AY164" i="3"/>
  <c r="AY13" i="3"/>
  <c r="AY21" i="3"/>
  <c r="AY92" i="3"/>
  <c r="AY209" i="3"/>
  <c r="AY467" i="3"/>
  <c r="AY479" i="3"/>
  <c r="AY139" i="3"/>
  <c r="AY364" i="3"/>
  <c r="AY398" i="3"/>
  <c r="AY169" i="3"/>
  <c r="AY238" i="3"/>
  <c r="BK6" i="3"/>
  <c r="AY72" i="3"/>
  <c r="AY241" i="3"/>
  <c r="AY30" i="3"/>
  <c r="AY230" i="3"/>
  <c r="AY420" i="3"/>
  <c r="AY188" i="3"/>
  <c r="AY157" i="3"/>
  <c r="AY528" i="3"/>
  <c r="AY516" i="3"/>
  <c r="BD6" i="3"/>
  <c r="AY276" i="3"/>
  <c r="AY436" i="3"/>
  <c r="AY495" i="3"/>
  <c r="AY322" i="3"/>
  <c r="AY113" i="3"/>
  <c r="AY557" i="3"/>
  <c r="AY395" i="3"/>
  <c r="AY363" i="3"/>
  <c r="AY189" i="3"/>
  <c r="AY545" i="3"/>
  <c r="AY393" i="3"/>
  <c r="AY339" i="3"/>
  <c r="AY434" i="3"/>
  <c r="AY56" i="3"/>
  <c r="AY289" i="3"/>
  <c r="AY490" i="3"/>
  <c r="AY547" i="3"/>
  <c r="AY93" i="3"/>
  <c r="AY313" i="3"/>
  <c r="AY455" i="3"/>
  <c r="AY297" i="3"/>
  <c r="AY332" i="3"/>
  <c r="AY473" i="3"/>
  <c r="AY551" i="3"/>
  <c r="AY51" i="3"/>
  <c r="AY94" i="3"/>
  <c r="AY511" i="3"/>
  <c r="AY536" i="3"/>
  <c r="BJ6" i="3"/>
  <c r="AY517" i="3"/>
  <c r="AY535" i="3"/>
  <c r="AY452" i="3"/>
  <c r="AY514" i="3"/>
  <c r="AY499" i="3"/>
  <c r="AY391" i="3"/>
  <c r="AY509" i="3"/>
  <c r="AY554" i="3"/>
  <c r="AY532" i="3"/>
  <c r="I43" i="35"/>
  <c r="J43" i="35" s="1"/>
  <c r="I54" i="34"/>
  <c r="J54" i="34" s="1"/>
  <c r="P14" i="72"/>
  <c r="E4" i="73" s="1"/>
  <c r="Q69" i="44"/>
  <c r="L58" i="44"/>
  <c r="L61" i="44" s="1"/>
  <c r="B5" i="11"/>
  <c r="B3" i="11"/>
  <c r="B4" i="11"/>
  <c r="C59" i="15"/>
  <c r="C65" i="15"/>
  <c r="G38" i="46"/>
  <c r="I38" i="46" s="1"/>
  <c r="E38" i="46"/>
  <c r="G34" i="46"/>
  <c r="I34" i="46" s="1"/>
  <c r="E34" i="46"/>
  <c r="G37" i="46"/>
  <c r="I37" i="46" s="1"/>
  <c r="E37" i="46"/>
  <c r="E33" i="46"/>
  <c r="G33" i="46"/>
  <c r="I33" i="46" s="1"/>
  <c r="G36" i="46"/>
  <c r="I36" i="46" s="1"/>
  <c r="E36" i="46"/>
  <c r="C32" i="15"/>
  <c r="C38" i="15"/>
  <c r="E29" i="46"/>
  <c r="C30" i="46"/>
  <c r="E30" i="46" s="1"/>
  <c r="G39" i="46"/>
  <c r="I39" i="46" s="1"/>
  <c r="E39" i="46"/>
  <c r="G35" i="46"/>
  <c r="I35" i="46" s="1"/>
  <c r="E35" i="46"/>
  <c r="Q67" i="44"/>
  <c r="Q49" i="44"/>
  <c r="Q55" i="44" s="1"/>
  <c r="Q58" i="44"/>
  <c r="C22" i="4" l="1"/>
  <c r="E63" i="40"/>
  <c r="E68" i="39"/>
  <c r="F46" i="9"/>
  <c r="D11" i="6"/>
  <c r="D29" i="6"/>
  <c r="D19" i="6"/>
  <c r="D25" i="6"/>
  <c r="D13" i="6"/>
  <c r="H24" i="6"/>
  <c r="D23" i="6"/>
  <c r="R23" i="6" s="1"/>
  <c r="D28" i="6"/>
  <c r="D8" i="6"/>
  <c r="E44" i="9"/>
  <c r="E46" i="9"/>
  <c r="F44" i="9"/>
  <c r="K38" i="9"/>
  <c r="C14" i="66" s="1"/>
  <c r="B2" i="66" s="1"/>
  <c r="D22" i="6"/>
  <c r="D12" i="6"/>
  <c r="H25" i="6"/>
  <c r="D5" i="6"/>
  <c r="H22" i="6"/>
  <c r="H26" i="6"/>
  <c r="D21" i="6"/>
  <c r="D10" i="6"/>
  <c r="H21" i="6"/>
  <c r="D6" i="6"/>
  <c r="D14" i="6"/>
  <c r="D20" i="6"/>
  <c r="H23" i="6"/>
  <c r="E45" i="9"/>
  <c r="D24" i="6"/>
  <c r="R24" i="6" s="1"/>
  <c r="D26" i="6"/>
  <c r="H20" i="6"/>
  <c r="D9" i="6"/>
  <c r="D15" i="6"/>
  <c r="F45" i="9"/>
  <c r="I46" i="37"/>
  <c r="J46" i="37" s="1"/>
  <c r="I47" i="37"/>
  <c r="J47" i="37" s="1"/>
  <c r="S16" i="1"/>
  <c r="T6" i="1" s="1"/>
  <c r="E46" i="37"/>
  <c r="F46" i="37" s="1"/>
  <c r="E47" i="37"/>
  <c r="F47" i="37" s="1"/>
  <c r="D19" i="12"/>
  <c r="C19" i="12" s="1"/>
  <c r="C16" i="12"/>
  <c r="C18" i="12" s="1"/>
  <c r="D22" i="12"/>
  <c r="C22" i="12" s="1"/>
  <c r="C20" i="12" s="1"/>
  <c r="D13" i="11"/>
  <c r="C13" i="11" s="1"/>
  <c r="G47" i="37"/>
  <c r="H47" i="37" s="1"/>
  <c r="G46" i="37"/>
  <c r="H46" i="37" s="1"/>
  <c r="C14" i="43"/>
  <c r="C17" i="43"/>
  <c r="K72" i="39"/>
  <c r="L70" i="39"/>
  <c r="I19" i="6"/>
  <c r="H19" i="6" s="1"/>
  <c r="H27" i="6" s="1"/>
  <c r="M27" i="6"/>
  <c r="C43" i="37"/>
  <c r="B3" i="37" s="1"/>
  <c r="B2" i="37" s="1"/>
  <c r="C42" i="37"/>
  <c r="C6" i="66"/>
  <c r="C7" i="66"/>
  <c r="C8" i="66"/>
  <c r="D27" i="71"/>
  <c r="D29" i="71" s="1"/>
  <c r="E8" i="73" s="1"/>
  <c r="D6" i="71"/>
  <c r="H11" i="71" s="1"/>
  <c r="E7" i="73" s="1"/>
  <c r="L67" i="40"/>
  <c r="M65" i="40"/>
  <c r="T7" i="1"/>
  <c r="C26" i="46"/>
  <c r="Q59" i="44"/>
  <c r="Q68" i="44"/>
  <c r="Q64" i="44"/>
  <c r="Q77" i="44"/>
  <c r="C27" i="46"/>
  <c r="E7" i="67"/>
  <c r="C18" i="43" l="1"/>
  <c r="C19" i="43" s="1"/>
  <c r="L72" i="39"/>
  <c r="M70" i="39"/>
  <c r="C23" i="12"/>
  <c r="C35" i="12" s="1"/>
  <c r="C33" i="12" s="1"/>
  <c r="C28" i="12"/>
  <c r="C26" i="12" s="1"/>
  <c r="C31" i="12" s="1"/>
  <c r="C30" i="12" s="1"/>
  <c r="R26" i="6"/>
  <c r="R21" i="6"/>
  <c r="R22" i="6"/>
  <c r="D30" i="6"/>
  <c r="R25" i="6"/>
  <c r="F1" i="46"/>
  <c r="A20" i="51"/>
  <c r="B15" i="63" s="1"/>
  <c r="A20" i="64"/>
  <c r="A6" i="51"/>
  <c r="B7" i="63" s="1"/>
  <c r="N5" i="54"/>
  <c r="B43" i="63" s="1"/>
  <c r="A6" i="64"/>
  <c r="M67" i="40"/>
  <c r="N65" i="40"/>
  <c r="N67" i="40" s="1"/>
  <c r="J9" i="40" s="1"/>
  <c r="I27" i="6"/>
  <c r="S19" i="6"/>
  <c r="S27" i="6" s="1"/>
  <c r="T11" i="1"/>
  <c r="T13" i="1"/>
  <c r="T8" i="1"/>
  <c r="T12" i="1"/>
  <c r="T10" i="1"/>
  <c r="T9" i="1"/>
  <c r="R20" i="6"/>
  <c r="R7" i="1" s="1"/>
  <c r="D6" i="66"/>
  <c r="D7" i="66"/>
  <c r="D8" i="66"/>
  <c r="D16" i="6"/>
  <c r="R19" i="6"/>
  <c r="D27" i="6"/>
  <c r="D31" i="6" s="1"/>
  <c r="E3" i="67"/>
  <c r="B2" i="46"/>
  <c r="F7" i="67"/>
  <c r="B7" i="67"/>
  <c r="C16" i="44"/>
  <c r="C14" i="15"/>
  <c r="C19" i="9"/>
  <c r="C25" i="43" l="1"/>
  <c r="C24" i="43" s="1"/>
  <c r="C22" i="43"/>
  <c r="C21" i="43" s="1"/>
  <c r="C15" i="15"/>
  <c r="C18" i="15"/>
  <c r="C17" i="44"/>
  <c r="C20" i="44"/>
  <c r="E4" i="67"/>
  <c r="I6" i="6"/>
  <c r="I5" i="6"/>
  <c r="AC9" i="40"/>
  <c r="V44" i="40" s="1"/>
  <c r="I44" i="40" s="1"/>
  <c r="I48" i="40" s="1"/>
  <c r="J48" i="40" s="1"/>
  <c r="W9" i="40"/>
  <c r="H9" i="40"/>
  <c r="R6" i="1"/>
  <c r="R16" i="1" s="1"/>
  <c r="R27" i="6"/>
  <c r="C36" i="12"/>
  <c r="B2" i="12" s="1"/>
  <c r="M72" i="39"/>
  <c r="N70" i="39"/>
  <c r="N72" i="39" s="1"/>
  <c r="F9" i="40"/>
  <c r="T16" i="1"/>
  <c r="L43" i="9"/>
  <c r="B2" i="67"/>
  <c r="B3" i="46"/>
  <c r="B4" i="46"/>
  <c r="D4" i="46"/>
  <c r="C20" i="9"/>
  <c r="C21" i="9"/>
  <c r="C19" i="15" l="1"/>
  <c r="C21" i="44"/>
  <c r="C28" i="43"/>
  <c r="C30" i="43" s="1"/>
  <c r="C32" i="43" s="1"/>
  <c r="B2" i="43" s="1"/>
  <c r="C22" i="44"/>
  <c r="C28" i="44" s="1"/>
  <c r="AA9" i="40"/>
  <c r="R44" i="40" s="1"/>
  <c r="S9" i="40"/>
  <c r="H9" i="39"/>
  <c r="F9" i="39"/>
  <c r="J9" i="39"/>
  <c r="B5" i="12"/>
  <c r="B3" i="12"/>
  <c r="B4" i="12"/>
  <c r="AB9" i="40"/>
  <c r="T44" i="40" s="1"/>
  <c r="G44" i="40" s="1"/>
  <c r="U9" i="40"/>
  <c r="C20" i="15"/>
  <c r="C23" i="15" s="1"/>
  <c r="B4" i="67"/>
  <c r="B3" i="67"/>
  <c r="B5" i="43" l="1"/>
  <c r="B4" i="43"/>
  <c r="B3" i="43"/>
  <c r="G48" i="40"/>
  <c r="H48" i="40" s="1"/>
  <c r="G49" i="40"/>
  <c r="H49" i="40" s="1"/>
  <c r="W9" i="39"/>
  <c r="AC9" i="39"/>
  <c r="V49" i="39" s="1"/>
  <c r="I49" i="39" s="1"/>
  <c r="AB9" i="39"/>
  <c r="T49" i="39" s="1"/>
  <c r="G49" i="39" s="1"/>
  <c r="U9" i="39"/>
  <c r="E44" i="40"/>
  <c r="R45" i="40"/>
  <c r="C26" i="15"/>
  <c r="C29" i="15" s="1"/>
  <c r="S9" i="39"/>
  <c r="AA9" i="39"/>
  <c r="R49" i="39" s="1"/>
  <c r="C25" i="44"/>
  <c r="C31" i="44" s="1"/>
  <c r="E49" i="39" l="1"/>
  <c r="R50" i="39"/>
  <c r="J19" i="15"/>
  <c r="J17" i="15" s="1"/>
  <c r="Q50" i="15"/>
  <c r="C36" i="15"/>
  <c r="C13" i="15"/>
  <c r="J14" i="15"/>
  <c r="C56" i="15"/>
  <c r="C33" i="15"/>
  <c r="C31" i="15" s="1"/>
  <c r="J59" i="15"/>
  <c r="J60" i="15" s="1"/>
  <c r="I49" i="40"/>
  <c r="J49" i="40" s="1"/>
  <c r="E49" i="40"/>
  <c r="F49" i="40" s="1"/>
  <c r="E48" i="40"/>
  <c r="F48" i="40" s="1"/>
  <c r="G53" i="39"/>
  <c r="H53" i="39" s="1"/>
  <c r="G54" i="39"/>
  <c r="H54" i="39" s="1"/>
  <c r="Q51" i="44"/>
  <c r="J16" i="44"/>
  <c r="J21" i="44"/>
  <c r="J19" i="44" s="1"/>
  <c r="C38" i="44"/>
  <c r="C35" i="44"/>
  <c r="C33" i="44" s="1"/>
  <c r="C15" i="44"/>
  <c r="C44" i="40"/>
  <c r="C45" i="40"/>
  <c r="I54" i="39"/>
  <c r="J54" i="39" s="1"/>
  <c r="I53" i="39"/>
  <c r="J53" i="39" s="1"/>
  <c r="C43" i="44" l="1"/>
  <c r="C39" i="44"/>
  <c r="C32" i="44" s="1"/>
  <c r="C42" i="44" s="1"/>
  <c r="Q72" i="44"/>
  <c r="L46" i="15"/>
  <c r="Q49" i="15"/>
  <c r="C60" i="15"/>
  <c r="C58" i="15" s="1"/>
  <c r="C63" i="15"/>
  <c r="J35" i="15"/>
  <c r="C37" i="15"/>
  <c r="C30" i="15" s="1"/>
  <c r="C39" i="15" s="1"/>
  <c r="Q71" i="15"/>
  <c r="C55" i="15"/>
  <c r="C64" i="15" s="1"/>
  <c r="C50" i="39"/>
  <c r="C49" i="39"/>
  <c r="B55" i="40"/>
  <c r="F55" i="40" s="1"/>
  <c r="B57" i="40"/>
  <c r="F57" i="40" s="1"/>
  <c r="B60" i="40"/>
  <c r="F60" i="40" s="1"/>
  <c r="B59" i="40"/>
  <c r="F59" i="40" s="1"/>
  <c r="B62" i="40"/>
  <c r="F62" i="40" s="1"/>
  <c r="F63" i="40"/>
  <c r="B2" i="40" s="1"/>
  <c r="B61" i="40"/>
  <c r="F61" i="40" s="1"/>
  <c r="B54" i="40"/>
  <c r="F54" i="40" s="1"/>
  <c r="B53" i="40"/>
  <c r="F53" i="40" s="1"/>
  <c r="B56" i="40"/>
  <c r="F56" i="40" s="1"/>
  <c r="B58" i="40"/>
  <c r="F58" i="40" s="1"/>
  <c r="B4" i="40"/>
  <c r="J15" i="44"/>
  <c r="J25" i="44" s="1"/>
  <c r="J24" i="44"/>
  <c r="J22" i="15"/>
  <c r="J13" i="15"/>
  <c r="J23" i="15" s="1"/>
  <c r="E54" i="39"/>
  <c r="F54" i="39" s="1"/>
  <c r="E53" i="39"/>
  <c r="F53" i="39" s="1"/>
  <c r="D19" i="9"/>
  <c r="D21" i="9"/>
  <c r="C57" i="15" l="1"/>
  <c r="C66" i="15" s="1"/>
  <c r="C67" i="15" s="1"/>
  <c r="J39" i="15"/>
  <c r="J40" i="15" s="1"/>
  <c r="J16" i="15"/>
  <c r="J25" i="15" s="1"/>
  <c r="J18" i="44"/>
  <c r="J27" i="44" s="1"/>
  <c r="G21" i="9"/>
  <c r="L44" i="9"/>
  <c r="D22" i="9"/>
  <c r="G19" i="9"/>
  <c r="B3" i="40"/>
  <c r="B5" i="40"/>
  <c r="C70" i="15"/>
  <c r="Q70" i="15"/>
  <c r="Q69" i="15" s="1"/>
  <c r="C40" i="15"/>
  <c r="C46" i="15" s="1"/>
  <c r="B66" i="39"/>
  <c r="F66" i="39" s="1"/>
  <c r="B64" i="39"/>
  <c r="F64" i="39" s="1"/>
  <c r="B61" i="39"/>
  <c r="F61" i="39" s="1"/>
  <c r="B65" i="39"/>
  <c r="F65" i="39" s="1"/>
  <c r="B59" i="39"/>
  <c r="F59" i="39" s="1"/>
  <c r="B58" i="39"/>
  <c r="F58" i="39" s="1"/>
  <c r="B63" i="39"/>
  <c r="F63" i="39" s="1"/>
  <c r="B62" i="39"/>
  <c r="F62" i="39" s="1"/>
  <c r="B60" i="39"/>
  <c r="F60" i="39" s="1"/>
  <c r="B67" i="39"/>
  <c r="F67" i="39" s="1"/>
  <c r="F68" i="39"/>
  <c r="B2" i="39" s="1"/>
  <c r="Q71" i="44"/>
  <c r="Q70" i="44" s="1"/>
  <c r="C44" i="44"/>
  <c r="C45" i="44" s="1"/>
  <c r="B2" i="44" s="1"/>
  <c r="D20" i="9"/>
  <c r="L51" i="15"/>
  <c r="L57" i="15" l="1"/>
  <c r="L60" i="15" s="1"/>
  <c r="Q68" i="15"/>
  <c r="G20" i="9"/>
  <c r="B4" i="44"/>
  <c r="B3" i="44"/>
  <c r="B5" i="44"/>
  <c r="B3" i="39"/>
  <c r="B4" i="39"/>
  <c r="B5" i="39"/>
  <c r="E3" i="73"/>
  <c r="E9" i="73" s="1"/>
  <c r="N43" i="9"/>
  <c r="C32" i="9"/>
  <c r="G22" i="9"/>
  <c r="Q57" i="15"/>
  <c r="Q48" i="15"/>
  <c r="Q54" i="15" s="1"/>
  <c r="Q66" i="15"/>
  <c r="B2" i="15"/>
  <c r="B3" i="15" s="1"/>
  <c r="C43" i="15"/>
  <c r="J42" i="15"/>
  <c r="J43" i="15" s="1"/>
  <c r="C42" i="9" l="1"/>
  <c r="O38" i="9"/>
  <c r="C34" i="9"/>
  <c r="C33" i="9"/>
  <c r="O43" i="9"/>
  <c r="C35" i="9"/>
  <c r="F42" i="9" s="1"/>
  <c r="Q58" i="15"/>
  <c r="Q63" i="15" s="1"/>
  <c r="Q67" i="15"/>
  <c r="Q76" i="15" s="1"/>
  <c r="N38" i="9" l="1"/>
  <c r="K28" i="9" s="1"/>
  <c r="D42" i="9"/>
  <c r="Q5" i="54" s="1"/>
  <c r="B47" i="63" s="1"/>
  <c r="K26" i="9"/>
  <c r="K25" i="9"/>
  <c r="M38" i="9"/>
  <c r="K27" i="9" s="1"/>
  <c r="E42" i="9"/>
  <c r="P5" i="54" s="1"/>
  <c r="B46" i="63" s="1"/>
  <c r="R5" i="54"/>
  <c r="B48" i="63" s="1"/>
  <c r="D63" i="9"/>
  <c r="N68" i="9"/>
  <c r="D14" i="66"/>
  <c r="E14" i="66" l="1"/>
  <c r="B5" i="66"/>
  <c r="F14" i="66"/>
  <c r="C96" i="9"/>
  <c r="C91" i="9" s="1"/>
  <c r="C103" i="9"/>
  <c r="C82" i="9"/>
  <c r="C81" i="9" s="1"/>
  <c r="C85" i="9" s="1"/>
  <c r="C86" i="9" s="1"/>
  <c r="D72" i="9" s="1"/>
  <c r="D77" i="9"/>
  <c r="N75" i="9" s="1"/>
  <c r="C90" i="9"/>
  <c r="C97" i="9" s="1"/>
  <c r="D71" i="9"/>
  <c r="D66" i="9" s="1"/>
  <c r="N72" i="9" s="1"/>
  <c r="C111" i="9"/>
  <c r="C104" i="9" s="1"/>
  <c r="D70" i="9"/>
  <c r="C98" i="9" l="1"/>
  <c r="E98" i="9" s="1"/>
  <c r="E99" i="9" s="1"/>
  <c r="D5" i="66"/>
  <c r="C5" i="66"/>
  <c r="C113" i="9"/>
  <c r="C114" i="9" l="1"/>
  <c r="E114" i="9" s="1"/>
  <c r="E115" i="9" s="1"/>
  <c r="C99" i="9"/>
  <c r="C115" i="9" l="1"/>
  <c r="D76" i="9" s="1"/>
  <c r="D74" i="9" s="1"/>
  <c r="N74" i="9" s="1"/>
  <c r="O77" i="9" s="1"/>
  <c r="Q77" i="9" l="1"/>
  <c r="O79" i="9"/>
  <c r="O78"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<sst xmlns="http://schemas.openxmlformats.org/spreadsheetml/2006/main" count="8140" uniqueCount="3402">
  <si>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</si>
  <si>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</si>
  <si>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</si>
  <si>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</si>
  <si>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</si>
  <si>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</si>
  <si>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</si>
  <si>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</si>
  <si>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</si>
  <si>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</si>
  <si>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</si>
  <si>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</si>
  <si>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</si>
  <si>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</si>
  <si>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</si>
  <si>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</si>
  <si>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28" type="noConversion"/>
  </si>
  <si>
    <t>-</t>
    <phoneticPr fontId="28" type="noConversion"/>
  </si>
  <si>
    <t>-</t>
    <phoneticPr fontId="28" type="noConversion"/>
  </si>
  <si>
    <t>——</t>
    <phoneticPr fontId="35" type="noConversion"/>
  </si>
  <si>
    <t>——</t>
    <phoneticPr fontId="2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</si>
  <si>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</si>
  <si>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</si>
  <si>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</si>
  <si>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</si>
  <si>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</si>
  <si>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</si>
  <si>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</si>
  <si>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</si>
  <si>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</si>
  <si>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</si>
  <si>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</si>
  <si>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</si>
  <si>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</si>
  <si>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</si>
  <si>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</si>
  <si>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9" type="noConversion"/>
  </si>
  <si>
    <t>地下公共配套设施</t>
    <phoneticPr fontId="39" type="noConversion"/>
  </si>
  <si>
    <t>地上物业管理用房</t>
    <phoneticPr fontId="39" type="noConversion"/>
  </si>
  <si>
    <t>地下设备及其他</t>
    <phoneticPr fontId="39" type="noConversion"/>
  </si>
  <si>
    <t>分摊土地面积</t>
    <phoneticPr fontId="39" type="noConversion"/>
  </si>
  <si>
    <t>建筑面积</t>
    <phoneticPr fontId="39" type="noConversion"/>
  </si>
  <si>
    <t>面积合计</t>
    <phoneticPr fontId="39" type="noConversion"/>
  </si>
  <si>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</si>
  <si>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</si>
  <si>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</si>
  <si>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</si>
  <si>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</si>
  <si>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</si>
  <si>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</si>
  <si>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</si>
  <si>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</si>
  <si>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</si>
  <si>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</si>
  <si>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</si>
  <si>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</si>
  <si>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</si>
  <si>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</si>
  <si>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</si>
  <si>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</si>
  <si>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</si>
  <si>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</si>
  <si>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</si>
  <si>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</si>
  <si>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</si>
  <si>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</si>
  <si>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</si>
  <si>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</si>
  <si>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</si>
  <si>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</si>
  <si>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</si>
  <si>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</si>
  <si>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</si>
  <si>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</si>
  <si>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</si>
  <si>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</si>
  <si>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</si>
  <si>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</si>
  <si>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</si>
  <si>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</si>
  <si>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</si>
  <si>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</si>
  <si>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t>50-60</t>
    </r>
    <r>
      <rPr>
        <sz val="11"/>
        <color indexed="8"/>
        <rFont val="仿宋_GB2312"/>
        <family val="3"/>
        <charset val="134"/>
      </rPr>
      <t>（含）</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</si>
  <si>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</si>
  <si>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</si>
  <si>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</si>
  <si>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</si>
  <si>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</si>
  <si>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</si>
  <si>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</si>
  <si>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</si>
  <si>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t>40-50</t>
    </r>
    <r>
      <rPr>
        <sz val="11"/>
        <color indexed="8"/>
        <rFont val="仿宋_GB2312"/>
        <family val="3"/>
        <charset val="134"/>
      </rPr>
      <t>（含）</t>
    </r>
    <phoneticPr fontId="16"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</si>
  <si>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</si>
  <si>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</si>
  <si>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</si>
  <si>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</si>
  <si>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t>30-40</t>
    </r>
    <r>
      <rPr>
        <sz val="11"/>
        <color indexed="8"/>
        <rFont val="仿宋_GB2312"/>
        <family val="3"/>
        <charset val="134"/>
      </rPr>
      <t>（含）</t>
    </r>
    <phoneticPr fontId="16"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</si>
  <si>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</si>
  <si>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</si>
  <si>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6" type="noConversion"/>
  </si>
  <si>
    <r>
      <t>20-30</t>
    </r>
    <r>
      <rPr>
        <sz val="11"/>
        <color indexed="8"/>
        <rFont val="仿宋_GB2312"/>
        <family val="3"/>
        <charset val="134"/>
      </rPr>
      <t>（含）</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</si>
  <si>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</si>
  <si>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</si>
  <si>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</si>
  <si>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</si>
  <si>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t>10-20</t>
    </r>
    <r>
      <rPr>
        <sz val="11"/>
        <color indexed="8"/>
        <rFont val="仿宋_GB2312"/>
        <family val="3"/>
        <charset val="134"/>
      </rPr>
      <t>（含）</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</si>
  <si>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</si>
  <si>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</si>
  <si>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t>0-10</t>
    </r>
    <r>
      <rPr>
        <sz val="11"/>
        <color indexed="8"/>
        <rFont val="仿宋_GB2312"/>
        <family val="3"/>
        <charset val="134"/>
      </rPr>
      <t>（含）</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</si>
  <si>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</si>
  <si>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</si>
  <si>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</si>
  <si>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</si>
  <si>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</si>
  <si>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</si>
  <si>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</si>
  <si>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</si>
  <si>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</si>
  <si>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</si>
  <si>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</si>
  <si>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</si>
  <si>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</si>
  <si>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</si>
  <si>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</si>
  <si>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</si>
  <si>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</si>
  <si>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</si>
  <si>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</si>
  <si>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</si>
  <si>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</si>
  <si>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t>60-70</t>
    </r>
    <r>
      <rPr>
        <sz val="11"/>
        <color indexed="8"/>
        <rFont val="仿宋_GB2312"/>
        <family val="3"/>
        <charset val="134"/>
      </rPr>
      <t>（含）</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</si>
  <si>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</si>
  <si>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</si>
  <si>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判定</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</si>
  <si>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</si>
  <si>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</si>
  <si>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</si>
  <si>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</si>
  <si>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</si>
  <si>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</si>
  <si>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</si>
  <si>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</si>
  <si>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</si>
  <si>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</si>
  <si>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</si>
  <si>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</si>
  <si>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</si>
  <si>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</si>
  <si>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</si>
  <si>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</si>
  <si>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</si>
  <si>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</si>
  <si>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</si>
  <si>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</si>
  <si>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</si>
  <si>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</si>
  <si>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</si>
  <si>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</si>
  <si>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</si>
  <si>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</si>
  <si>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</si>
  <si>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</si>
  <si>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</si>
  <si>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</si>
  <si>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</si>
  <si>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</si>
  <si>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</si>
  <si>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</si>
  <si>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</si>
  <si>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</si>
  <si>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</si>
  <si>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</si>
  <si>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</si>
  <si>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</si>
  <si>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</si>
  <si>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</si>
  <si>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</si>
  <si>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</si>
  <si>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</si>
  <si>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</si>
  <si>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</si>
  <si>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</si>
  <si>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</si>
  <si>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</si>
  <si>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</si>
  <si>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</si>
  <si>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</si>
  <si>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</si>
  <si>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</si>
  <si>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</si>
  <si>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</si>
  <si>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</si>
  <si>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</si>
  <si>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</si>
  <si>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</si>
  <si>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</si>
  <si>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</si>
  <si>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</si>
  <si>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</si>
  <si>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</si>
  <si>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</si>
  <si>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</si>
  <si>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</si>
  <si>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</si>
  <si>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</si>
  <si>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</si>
  <si>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</si>
  <si>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</si>
  <si>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</si>
  <si>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</si>
  <si>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</si>
  <si>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</si>
  <si>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</si>
  <si>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</si>
  <si>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</si>
  <si>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</si>
  <si>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</si>
  <si>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</si>
  <si>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</si>
  <si>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</si>
  <si>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</si>
  <si>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</si>
  <si>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</si>
  <si>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</si>
  <si>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</si>
  <si>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</si>
  <si>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</si>
  <si>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</si>
  <si>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</si>
  <si>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</si>
  <si>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</si>
  <si>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</si>
  <si>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</si>
  <si>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</si>
  <si>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</si>
  <si>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</si>
  <si>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</si>
  <si>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</si>
  <si>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</si>
  <si>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</si>
  <si>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</si>
  <si>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</si>
  <si>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</si>
  <si>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</si>
  <si>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</si>
  <si>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</si>
  <si>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</si>
  <si>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</si>
  <si>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</si>
  <si>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</si>
  <si>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</si>
  <si>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</si>
  <si>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</si>
  <si>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</si>
  <si>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</si>
  <si>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</si>
  <si>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</si>
  <si>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</si>
  <si>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</si>
  <si>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</si>
  <si>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</si>
  <si>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</si>
  <si>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</si>
  <si>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</si>
  <si>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</si>
  <si>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</si>
  <si>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</si>
  <si>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</si>
  <si>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</si>
  <si>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</si>
  <si>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</si>
  <si>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</si>
  <si>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</si>
  <si>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</si>
  <si>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</si>
  <si>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</si>
  <si>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</si>
  <si>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</si>
  <si>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</si>
  <si>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</si>
  <si>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</si>
  <si>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</si>
  <si>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</si>
  <si>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</si>
  <si>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</si>
  <si>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</si>
  <si>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</si>
  <si>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</si>
  <si>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</si>
  <si>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</si>
  <si>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</si>
  <si>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</si>
  <si>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</si>
  <si>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</si>
  <si>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</si>
  <si>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</si>
  <si>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</si>
  <si>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</si>
  <si>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</si>
  <si>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</si>
  <si>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</si>
  <si>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</si>
  <si>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</si>
  <si>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</si>
  <si>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</si>
  <si>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</si>
  <si>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</si>
  <si>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</si>
  <si>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</si>
  <si>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</si>
  <si>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</si>
  <si>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</si>
  <si>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</si>
  <si>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</si>
  <si>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</si>
  <si>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</si>
  <si>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</si>
  <si>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</si>
  <si>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</si>
  <si>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</si>
  <si>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</si>
  <si>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</si>
  <si>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</si>
  <si>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</si>
  <si>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</si>
  <si>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</si>
  <si>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</si>
  <si>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</si>
  <si>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</si>
  <si>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</si>
  <si>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</si>
  <si>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</si>
  <si>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</si>
  <si>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</si>
  <si>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</si>
  <si>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</si>
  <si>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</si>
  <si>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</si>
  <si>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</si>
  <si>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</si>
  <si>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</si>
  <si>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</si>
  <si>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</si>
  <si>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</si>
  <si>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</si>
  <si>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</si>
  <si>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</si>
  <si>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</si>
  <si>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</si>
  <si>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</si>
  <si>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</si>
  <si>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</si>
  <si>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</si>
  <si>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</si>
  <si>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</si>
  <si>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</si>
  <si>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</si>
  <si>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</si>
  <si>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</si>
  <si>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</si>
  <si>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</si>
  <si>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</si>
  <si>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</si>
  <si>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</si>
  <si>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</si>
  <si>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</si>
  <si>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</si>
  <si>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</si>
  <si>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</si>
  <si>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</si>
  <si>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</si>
  <si>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</si>
  <si>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</si>
  <si>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</si>
  <si>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</si>
  <si>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</si>
  <si>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</si>
  <si>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</si>
  <si>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</si>
  <si>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</si>
  <si>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</si>
  <si>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</si>
  <si>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</si>
  <si>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</si>
  <si>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</si>
  <si>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</si>
  <si>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</si>
  <si>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</si>
  <si>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</si>
  <si>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</si>
  <si>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</si>
  <si>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</si>
  <si>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</si>
  <si>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</si>
  <si>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</si>
  <si>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</si>
  <si>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</si>
  <si>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</si>
  <si>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</si>
  <si>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</si>
  <si>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</si>
  <si>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</si>
  <si>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</si>
  <si>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</si>
  <si>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</si>
  <si>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</si>
  <si>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</si>
  <si>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</si>
  <si>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</si>
  <si>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</si>
  <si>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</si>
  <si>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</si>
  <si>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</si>
  <si>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正常</t>
    </r>
  </si>
  <si>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</si>
  <si>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</si>
  <si>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</si>
  <si>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</si>
  <si>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</si>
  <si>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</si>
  <si>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</si>
  <si>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</si>
  <si>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</si>
  <si>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</si>
  <si>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</si>
  <si>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</si>
  <si>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</si>
  <si>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</si>
  <si>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</si>
  <si>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</si>
  <si>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</si>
  <si>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</si>
  <si>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</si>
  <si>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</si>
  <si>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</si>
  <si>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</si>
  <si>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</si>
  <si>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</si>
  <si>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</si>
  <si>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</si>
  <si>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</si>
  <si>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</si>
  <si>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</si>
  <si>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</si>
  <si>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购房发票</t>
    </r>
  </si>
  <si>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</si>
  <si>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</si>
  <si>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</si>
  <si>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</si>
  <si>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</si>
  <si>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</si>
  <si>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</si>
  <si>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</si>
  <si>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</si>
  <si>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</si>
  <si>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</si>
  <si>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</si>
  <si>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</si>
  <si>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</si>
  <si>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</si>
  <si>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</si>
  <si>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</si>
  <si>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</si>
  <si>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</si>
  <si>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</si>
  <si>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</si>
  <si>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</si>
  <si>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</si>
  <si>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</si>
  <si>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</si>
  <si>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</si>
  <si>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</si>
  <si>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</si>
  <si>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</si>
  <si>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</si>
  <si>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</si>
  <si>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</si>
  <si>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</si>
  <si>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</si>
  <si>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</si>
  <si>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</si>
  <si>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</si>
  <si>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</si>
  <si>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</si>
  <si>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</si>
  <si>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</si>
  <si>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</si>
  <si>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</si>
  <si>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</si>
  <si>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</si>
  <si>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</si>
  <si>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</si>
  <si>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</si>
  <si>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</si>
  <si>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</si>
  <si>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</si>
  <si>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</si>
  <si>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</si>
  <si>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</si>
  <si>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</si>
  <si>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</si>
  <si>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</si>
  <si>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</si>
  <si>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</si>
  <si>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销售费用</t>
    </r>
    <phoneticPr fontId="16" type="noConversion"/>
  </si>
  <si>
    <r>
      <t>P</t>
    </r>
    <r>
      <rPr>
        <b/>
        <vertAlign val="subscript"/>
        <sz val="10"/>
        <color indexed="8"/>
        <rFont val="仿宋_GB2312"/>
        <family val="3"/>
        <charset val="134"/>
      </rPr>
      <t>建</t>
    </r>
    <phoneticPr fontId="16"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</si>
  <si>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3" type="noConversion"/>
  </si>
  <si>
    <r>
      <t>P</t>
    </r>
    <r>
      <rPr>
        <b/>
        <vertAlign val="subscript"/>
        <sz val="11"/>
        <color indexed="8"/>
        <rFont val="仿宋_GB2312"/>
        <family val="3"/>
        <charset val="134"/>
      </rPr>
      <t>建</t>
    </r>
    <phoneticPr fontId="16"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</si>
  <si>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</si>
  <si>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</si>
  <si>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</si>
  <si>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6" type="noConversion"/>
  </si>
  <si>
    <r>
      <rPr>
        <b/>
        <sz val="11"/>
        <color indexed="8"/>
        <rFont val="仿宋_GB2312"/>
        <family val="3"/>
        <charset val="134"/>
      </rPr>
      <t>建筑物重置价格</t>
    </r>
    <phoneticPr fontId="17" type="noConversion"/>
  </si>
  <si>
    <r>
      <rPr>
        <b/>
        <sz val="11"/>
        <color indexed="8"/>
        <rFont val="仿宋_GB2312"/>
        <family val="3"/>
        <charset val="134"/>
      </rPr>
      <t>成新率</t>
    </r>
    <phoneticPr fontId="17"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</si>
  <si>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7"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</si>
  <si>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5"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</si>
  <si>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</si>
  <si>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</si>
  <si>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</si>
  <si>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</si>
  <si>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</si>
  <si>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</si>
  <si>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</si>
  <si>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</si>
  <si>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</si>
  <si>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</si>
  <si>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</si>
  <si>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</si>
  <si>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</si>
  <si>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</si>
  <si>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</si>
  <si>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</si>
  <si>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</si>
  <si>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</si>
  <si>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</si>
  <si>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</si>
  <si>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</si>
  <si>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</si>
  <si>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</si>
  <si>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</si>
  <si>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</si>
  <si>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</si>
  <si>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</si>
  <si>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</si>
  <si>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</si>
  <si>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</si>
  <si>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</si>
  <si>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</si>
  <si>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</si>
  <si>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</si>
  <si>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</si>
  <si>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</si>
  <si>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</si>
  <si>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</si>
  <si>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</si>
  <si>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</si>
  <si>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</si>
  <si>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</si>
  <si>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</si>
  <si>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</si>
  <si>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</si>
  <si>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</si>
  <si>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</si>
  <si>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</si>
  <si>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</si>
  <si>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</si>
  <si>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</si>
  <si>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</si>
  <si>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地下商业（</t>
    </r>
    <r>
      <rPr>
        <sz val="10"/>
        <rFont val="Arial"/>
        <family val="2"/>
      </rPr>
      <t>-4</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</si>
  <si>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</si>
  <si>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</si>
  <si>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</si>
  <si>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</si>
  <si>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</si>
  <si>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</si>
  <si>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</si>
  <si>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</si>
  <si>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</si>
  <si>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</si>
  <si>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</si>
  <si>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</si>
  <si>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</si>
  <si>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</si>
  <si>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</si>
  <si>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</si>
  <si>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</si>
  <si>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</si>
  <si>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</si>
  <si>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</si>
  <si>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</si>
  <si>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</si>
  <si>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</si>
  <si>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</si>
  <si>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</si>
  <si>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</si>
  <si>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</si>
  <si>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</si>
  <si>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</si>
  <si>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</si>
  <si>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</si>
  <si>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</si>
  <si>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</si>
  <si>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</si>
  <si>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</si>
  <si>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</si>
  <si>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</si>
  <si>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</si>
  <si>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</si>
  <si>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</si>
  <si>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</si>
  <si>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</si>
  <si>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</si>
  <si>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</si>
  <si>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</si>
  <si>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</si>
  <si>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</si>
  <si>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</si>
  <si>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</si>
  <si>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</si>
  <si>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</si>
  <si>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</si>
  <si>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</si>
  <si>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</si>
  <si>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</si>
  <si>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</si>
  <si>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</si>
  <si>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</si>
  <si>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</si>
  <si>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</si>
  <si>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</si>
  <si>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</si>
  <si>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</si>
  <si>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</si>
  <si>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</si>
  <si>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</si>
  <si>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</si>
  <si>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</si>
  <si>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</si>
  <si>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</si>
  <si>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</si>
  <si>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</si>
  <si>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</si>
  <si>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</si>
  <si>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</si>
  <si>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</si>
  <si>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</si>
  <si>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</si>
  <si>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</si>
  <si>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</si>
  <si>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</si>
  <si>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</si>
  <si>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</si>
  <si>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</si>
  <si>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</si>
  <si>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</si>
  <si>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</si>
  <si>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</si>
  <si>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</si>
  <si>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</si>
  <si>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</si>
  <si>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</si>
  <si>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</si>
  <si>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</si>
  <si>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</si>
  <si>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</si>
  <si>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</si>
  <si>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</si>
  <si>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</si>
  <si>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</si>
  <si>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</si>
  <si>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</si>
  <si>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</si>
  <si>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</si>
  <si>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</si>
  <si>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</si>
  <si>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</si>
  <si>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</si>
  <si>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</si>
  <si>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</si>
  <si>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</si>
  <si>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</si>
  <si>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</si>
  <si>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</si>
  <si>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</si>
  <si>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</si>
  <si>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</si>
  <si>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</si>
  <si>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</si>
  <si>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</si>
  <si>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</si>
  <si>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</si>
  <si>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</si>
  <si>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</si>
  <si>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6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</si>
  <si>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</si>
  <si>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</si>
  <si>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</si>
  <si>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</si>
  <si>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</si>
  <si>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</si>
  <si>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</si>
  <si>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</si>
  <si>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</si>
  <si>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</si>
  <si>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</si>
  <si>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</si>
  <si>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</si>
  <si>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</si>
  <si>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</si>
  <si>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</si>
  <si>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</si>
  <si>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63"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</si>
  <si>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3" type="noConversion"/>
  </si>
  <si>
    <r>
      <rPr>
        <sz val="11"/>
        <color indexed="8"/>
        <rFont val="仿宋_GB2312"/>
        <family val="3"/>
        <charset val="134"/>
      </rPr>
      <t>土地年纯收益</t>
    </r>
    <phoneticPr fontId="63"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</si>
  <si>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3" type="noConversion"/>
  </si>
  <si>
    <r>
      <rPr>
        <sz val="11"/>
        <color indexed="8"/>
        <rFont val="仿宋_GB2312"/>
        <family val="3"/>
        <charset val="134"/>
      </rPr>
      <t>土地价格</t>
    </r>
    <phoneticPr fontId="63"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</si>
  <si>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</si>
  <si>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</si>
  <si>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</si>
  <si>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</si>
  <si>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</si>
  <si>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</si>
  <si>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</si>
  <si>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</si>
  <si>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</si>
  <si>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</si>
  <si>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</si>
  <si>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</si>
  <si>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</si>
  <si>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</si>
  <si>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</si>
  <si>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</si>
  <si>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</si>
  <si>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</si>
  <si>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</si>
  <si>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</si>
  <si>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</si>
  <si>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t>60-70</t>
    </r>
    <r>
      <rPr>
        <sz val="11"/>
        <rFont val="仿宋_GB2312"/>
        <family val="3"/>
        <charset val="134"/>
      </rPr>
      <t>（含）</t>
    </r>
    <phoneticPr fontId="23" type="noConversion"/>
  </si>
  <si>
    <r>
      <t>50-60</t>
    </r>
    <r>
      <rPr>
        <sz val="11"/>
        <rFont val="仿宋_GB2312"/>
        <family val="3"/>
        <charset val="134"/>
      </rPr>
      <t>（含）</t>
    </r>
    <phoneticPr fontId="23" type="noConversion"/>
  </si>
  <si>
    <r>
      <t>40-50</t>
    </r>
    <r>
      <rPr>
        <sz val="11"/>
        <rFont val="仿宋_GB2312"/>
        <family val="3"/>
        <charset val="134"/>
      </rPr>
      <t>（含）</t>
    </r>
    <phoneticPr fontId="23" type="noConversion"/>
  </si>
  <si>
    <r>
      <t>30-40</t>
    </r>
    <r>
      <rPr>
        <sz val="11"/>
        <rFont val="仿宋_GB2312"/>
        <family val="3"/>
        <charset val="134"/>
      </rPr>
      <t>（含）</t>
    </r>
    <phoneticPr fontId="23" type="noConversion"/>
  </si>
  <si>
    <r>
      <t>20-30</t>
    </r>
    <r>
      <rPr>
        <sz val="11"/>
        <rFont val="仿宋_GB2312"/>
        <family val="3"/>
        <charset val="134"/>
      </rPr>
      <t>（含）</t>
    </r>
    <phoneticPr fontId="23" type="noConversion"/>
  </si>
  <si>
    <r>
      <t>10-20</t>
    </r>
    <r>
      <rPr>
        <sz val="11"/>
        <rFont val="仿宋_GB2312"/>
        <family val="3"/>
        <charset val="134"/>
      </rPr>
      <t>（含）</t>
    </r>
    <phoneticPr fontId="23" type="noConversion"/>
  </si>
  <si>
    <r>
      <t>0-10</t>
    </r>
    <r>
      <rPr>
        <sz val="11"/>
        <rFont val="仿宋_GB2312"/>
        <family val="3"/>
        <charset val="134"/>
      </rPr>
      <t>（含）</t>
    </r>
    <phoneticPr fontId="23"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</si>
  <si>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</si>
  <si>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</si>
  <si>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</si>
  <si>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</si>
  <si>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</si>
  <si>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</si>
  <si>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</si>
  <si>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</si>
  <si>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</si>
  <si>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</si>
  <si>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</si>
  <si>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</si>
  <si>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</si>
  <si>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</si>
  <si>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</si>
  <si>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</si>
  <si>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</si>
  <si>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</si>
  <si>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</si>
  <si>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</si>
  <si>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</si>
  <si>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</si>
  <si>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</si>
  <si>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</si>
  <si>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</si>
  <si>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</si>
  <si>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</si>
  <si>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</si>
  <si>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</si>
  <si>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</si>
  <si>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</si>
  <si>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</si>
  <si>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</si>
  <si>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</si>
  <si>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</si>
  <si>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</si>
  <si>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</si>
  <si>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</si>
  <si>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</si>
  <si>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</si>
  <si>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</si>
  <si>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</si>
  <si>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</si>
  <si>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</si>
  <si>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</si>
  <si>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</si>
  <si>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</si>
  <si>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</si>
  <si>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</si>
  <si>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</si>
  <si>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</si>
  <si>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</si>
  <si>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</si>
  <si>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</si>
  <si>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</si>
  <si>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</si>
  <si>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</si>
  <si>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</si>
  <si>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</si>
  <si>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</si>
  <si>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</si>
  <si>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</si>
  <si>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</si>
  <si>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</si>
  <si>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</si>
  <si>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</si>
  <si>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</si>
  <si>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</si>
  <si>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</si>
  <si>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</si>
  <si>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</si>
  <si>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</si>
  <si>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</si>
  <si>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</si>
  <si>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</si>
  <si>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</si>
  <si>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</si>
  <si>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</si>
  <si>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</si>
  <si>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</si>
  <si>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</si>
  <si>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</si>
  <si>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</si>
  <si>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</si>
  <si>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</si>
  <si>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2"/>
        <color indexed="8"/>
        <rFont val="仿宋_GB2312"/>
        <family val="3"/>
        <charset val="134"/>
      </rPr>
      <t>楼面单价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</si>
  <si>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</si>
  <si>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</si>
  <si>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建筑面积</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</si>
  <si>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</si>
  <si>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</si>
  <si>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</si>
  <si>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</si>
  <si>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</si>
  <si>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</si>
  <si>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</si>
  <si>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</si>
  <si>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</si>
  <si>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</si>
  <si>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</si>
  <si>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</si>
  <si>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</si>
  <si>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</si>
  <si>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</si>
  <si>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</si>
  <si>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</si>
  <si>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</si>
  <si>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</si>
  <si>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</si>
  <si>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</si>
  <si>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</si>
  <si>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5" type="noConversion"/>
  </si>
  <si>
    <t>用途类型</t>
    <phoneticPr fontId="16" type="noConversion"/>
  </si>
  <si>
    <r>
      <rPr>
        <b/>
        <sz val="11"/>
        <color indexed="8"/>
        <rFont val="楷体_GB2312"/>
        <family val="3"/>
        <charset val="134"/>
      </rPr>
      <t>容积率</t>
    </r>
    <phoneticPr fontId="125" type="noConversion"/>
  </si>
  <si>
    <r>
      <rPr>
        <sz val="11"/>
        <color indexed="8"/>
        <rFont val="楷体_GB2312"/>
        <family val="3"/>
        <charset val="134"/>
      </rPr>
      <t>项目</t>
    </r>
    <phoneticPr fontId="125" type="noConversion"/>
  </si>
  <si>
    <r>
      <rPr>
        <sz val="11"/>
        <color indexed="8"/>
        <rFont val="楷体_GB2312"/>
        <family val="3"/>
        <charset val="134"/>
      </rPr>
      <t>总</t>
    </r>
    <phoneticPr fontId="125" type="noConversion"/>
  </si>
  <si>
    <r>
      <rPr>
        <sz val="11"/>
        <color indexed="8"/>
        <rFont val="楷体_GB2312"/>
        <family val="3"/>
        <charset val="134"/>
      </rPr>
      <t>地上</t>
    </r>
    <phoneticPr fontId="125" type="noConversion"/>
  </si>
  <si>
    <r>
      <rPr>
        <sz val="11"/>
        <color indexed="8"/>
        <rFont val="楷体_GB2312"/>
        <family val="3"/>
        <charset val="134"/>
      </rPr>
      <t>估价对象</t>
    </r>
    <phoneticPr fontId="125"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</si>
  <si>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</si>
  <si>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</si>
  <si>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5" type="noConversion"/>
  </si>
  <si>
    <t>土地使用年期</t>
    <phoneticPr fontId="125" type="noConversion"/>
  </si>
  <si>
    <t>建安费用</t>
    <phoneticPr fontId="125"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</si>
  <si>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5" type="noConversion"/>
  </si>
  <si>
    <r>
      <rPr>
        <sz val="11"/>
        <color indexed="8"/>
        <rFont val="楷体_GB2312"/>
        <family val="3"/>
        <charset val="134"/>
      </rPr>
      <t>租期外</t>
    </r>
    <phoneticPr fontId="125" type="noConversion"/>
  </si>
  <si>
    <r>
      <rPr>
        <sz val="11"/>
        <color indexed="8"/>
        <rFont val="楷体_GB2312"/>
        <family val="3"/>
        <charset val="134"/>
      </rPr>
      <t>收益期</t>
    </r>
    <phoneticPr fontId="125" type="noConversion"/>
  </si>
  <si>
    <t>收益年期(总)</t>
    <phoneticPr fontId="5" type="noConversion"/>
  </si>
  <si>
    <r>
      <rPr>
        <sz val="11"/>
        <color indexed="8"/>
        <rFont val="楷体_GB2312"/>
        <family val="3"/>
        <charset val="134"/>
      </rPr>
      <t>非住宅项目及用公共配套计算实为</t>
    </r>
    <r>
      <rPr>
        <sz val="11"/>
        <color indexed="8"/>
        <rFont val="Arial"/>
        <family val="2"/>
      </rPr>
      <t>0</t>
    </r>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</si>
  <si>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</si>
  <si>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</si>
  <si>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</si>
  <si>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</si>
  <si>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</si>
  <si>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</si>
  <si>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</si>
  <si>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</si>
  <si>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</si>
  <si>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</si>
  <si>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</si>
  <si>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</si>
  <si>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</si>
  <si>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</si>
  <si>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</si>
  <si>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</si>
  <si>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</si>
  <si>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</si>
  <si>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</si>
  <si>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</si>
  <si>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</si>
  <si>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</si>
  <si>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</si>
  <si>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</si>
  <si>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r>
      <rPr>
        <sz val="10"/>
        <rFont val="楷体_GB2312"/>
        <family val="3"/>
        <charset val="134"/>
      </rPr>
      <t>宗地容积率</t>
    </r>
    <r>
      <rPr>
        <sz val="10"/>
        <rFont val="Arial"/>
        <family val="2"/>
      </rPr>
      <t>R</t>
    </r>
    <phoneticPr fontId="127" type="noConversion"/>
  </si>
  <si>
    <r>
      <rPr>
        <sz val="10"/>
        <rFont val="楷体_GB2312"/>
        <family val="3"/>
        <charset val="134"/>
      </rPr>
      <t>修正系数</t>
    </r>
    <phoneticPr fontId="127" type="noConversion"/>
  </si>
  <si>
    <t>用途</t>
    <phoneticPr fontId="127" type="noConversion"/>
  </si>
  <si>
    <t>土地级别</t>
    <phoneticPr fontId="127" type="noConversion"/>
  </si>
  <si>
    <r>
      <rPr>
        <sz val="10"/>
        <rFont val="楷体_GB2312"/>
        <family val="3"/>
        <charset val="134"/>
      </rPr>
      <t>商业</t>
    </r>
    <phoneticPr fontId="127" type="noConversion"/>
  </si>
  <si>
    <r>
      <rPr>
        <sz val="10"/>
        <rFont val="楷体_GB2312"/>
        <family val="3"/>
        <charset val="134"/>
      </rPr>
      <t>办公</t>
    </r>
    <phoneticPr fontId="127" type="noConversion"/>
  </si>
  <si>
    <t>住宅</t>
    <phoneticPr fontId="127" type="noConversion"/>
  </si>
  <si>
    <r>
      <rPr>
        <sz val="10"/>
        <rFont val="楷体_GB2312"/>
        <family val="3"/>
        <charset val="134"/>
      </rPr>
      <t>工业</t>
    </r>
    <phoneticPr fontId="127" type="noConversion"/>
  </si>
  <si>
    <t>北京市基准地价容积率修正系数表（办公）</t>
    <phoneticPr fontId="127" type="noConversion"/>
  </si>
  <si>
    <t>北京市基准地价容积率修正系数表（居住）</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</si>
  <si>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</si>
  <si>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</si>
  <si>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</si>
  <si>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</si>
  <si>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</si>
  <si>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</si>
  <si>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</si>
  <si>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</si>
  <si>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</si>
  <si>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</si>
  <si>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</si>
  <si>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</si>
  <si>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</si>
  <si>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北京市基准地价容积率修正系数表（工业）</t>
    <phoneticPr fontId="127" type="noConversion"/>
  </si>
  <si>
    <t>总价</t>
    <phoneticPr fontId="127" type="noConversion"/>
  </si>
  <si>
    <t>万元</t>
    <phoneticPr fontId="127" type="noConversion"/>
  </si>
  <si>
    <t>用途</t>
    <phoneticPr fontId="127" type="noConversion"/>
  </si>
  <si>
    <t>住宅</t>
  </si>
  <si>
    <t>土地级别</t>
    <phoneticPr fontId="127" type="noConversion"/>
  </si>
  <si>
    <t>四级</t>
  </si>
  <si>
    <t>区片编号</t>
    <phoneticPr fontId="127" type="noConversion"/>
  </si>
  <si>
    <t>元/平方米</t>
    <phoneticPr fontId="127" type="noConversion"/>
  </si>
  <si>
    <t>用途类别</t>
    <phoneticPr fontId="127" type="noConversion"/>
  </si>
  <si>
    <t>楼层</t>
    <phoneticPr fontId="127" type="noConversion"/>
  </si>
  <si>
    <t>（地上）</t>
    <phoneticPr fontId="127" type="noConversion"/>
  </si>
  <si>
    <t>适用的楼面熟地价</t>
    <phoneticPr fontId="127" type="noConversion"/>
  </si>
  <si>
    <t>商业路线价修正（商业用途）</t>
    <phoneticPr fontId="127" type="noConversion"/>
  </si>
  <si>
    <t>宗地深度（米）</t>
    <phoneticPr fontId="127" type="noConversion"/>
  </si>
  <si>
    <t>所在商业街</t>
    <phoneticPr fontId="127" type="noConversion"/>
  </si>
  <si>
    <t>A1</t>
    <phoneticPr fontId="127" type="noConversion"/>
  </si>
  <si>
    <t>临商业街红线1/4标准深度占地面积／宗地总面积</t>
    <phoneticPr fontId="127" type="noConversion"/>
  </si>
  <si>
    <t>加价幅度</t>
    <phoneticPr fontId="127" type="noConversion"/>
  </si>
  <si>
    <t>A2</t>
  </si>
  <si>
    <t>临商业街红线1/4至2/4标准深度占地面积／宗地总面积</t>
    <phoneticPr fontId="127" type="noConversion"/>
  </si>
  <si>
    <t>标准深度（米）</t>
    <phoneticPr fontId="127" type="noConversion"/>
  </si>
  <si>
    <t>A3</t>
  </si>
  <si>
    <t>临商业街红线2/4至3/4标准深度占地面积／宗地总面积</t>
    <phoneticPr fontId="127" type="noConversion"/>
  </si>
  <si>
    <t>1/4标准深度</t>
    <phoneticPr fontId="127" type="noConversion"/>
  </si>
  <si>
    <t>A4</t>
  </si>
  <si>
    <t>临商业街红线3/4至4/4标准深度占地面积／宗地总面积</t>
    <phoneticPr fontId="127" type="noConversion"/>
  </si>
  <si>
    <t>特殊情况修正（居住用途）</t>
    <phoneticPr fontId="127" type="noConversion"/>
  </si>
  <si>
    <t>需根据项目情况调整公式修正项</t>
    <phoneticPr fontId="127" type="noConversion"/>
  </si>
  <si>
    <t>轨道交通站点周边</t>
    <phoneticPr fontId="127" type="noConversion"/>
  </si>
  <si>
    <t>其他（垃圾填埋场/污水处理厂等），自定义，修正幅度不超过±10%</t>
    <phoneticPr fontId="127" type="noConversion"/>
  </si>
  <si>
    <t>开发程度差异修正</t>
    <phoneticPr fontId="127" type="noConversion"/>
  </si>
  <si>
    <t>估价对象开发程度</t>
    <phoneticPr fontId="127" type="noConversion"/>
  </si>
  <si>
    <t>——</t>
  </si>
  <si>
    <t>级别平均容积率</t>
    <phoneticPr fontId="127" type="noConversion"/>
  </si>
  <si>
    <t>级别开发程度</t>
    <phoneticPr fontId="127" type="noConversion"/>
  </si>
  <si>
    <t>对应的开发费</t>
    <phoneticPr fontId="127" type="noConversion"/>
  </si>
  <si>
    <t>用途修正系数</t>
    <phoneticPr fontId="127" type="noConversion"/>
  </si>
  <si>
    <t>期日修正指数</t>
    <phoneticPr fontId="127" type="noConversion"/>
  </si>
  <si>
    <t>基准期日</t>
    <phoneticPr fontId="127" type="noConversion"/>
  </si>
  <si>
    <t>估价期日</t>
    <phoneticPr fontId="127" type="noConversion"/>
  </si>
  <si>
    <t>2016-2</t>
  </si>
  <si>
    <t>2014-1</t>
  </si>
  <si>
    <t>2014-2</t>
  </si>
  <si>
    <t>2014-3</t>
  </si>
  <si>
    <t>2014-4</t>
  </si>
  <si>
    <t>2015-1</t>
  </si>
  <si>
    <t>2015-2</t>
  </si>
  <si>
    <t>2015-3</t>
  </si>
  <si>
    <t>2015-4</t>
  </si>
  <si>
    <t>2016-1</t>
  </si>
  <si>
    <t>2016-3</t>
  </si>
  <si>
    <t>2016-4</t>
  </si>
  <si>
    <t>年期修正系数</t>
    <phoneticPr fontId="127" type="noConversion"/>
  </si>
  <si>
    <t>现行一年期贷款利率</t>
    <phoneticPr fontId="127" type="noConversion"/>
  </si>
  <si>
    <t>土地还原率</t>
    <phoneticPr fontId="127" type="noConversion"/>
  </si>
  <si>
    <t>剩余使用年限</t>
    <phoneticPr fontId="127" type="noConversion"/>
  </si>
  <si>
    <t>商业</t>
    <phoneticPr fontId="127" type="noConversion"/>
  </si>
  <si>
    <t>容积率修正系数</t>
    <phoneticPr fontId="127" type="noConversion"/>
  </si>
  <si>
    <t>R&gt;10</t>
    <phoneticPr fontId="127" type="noConversion"/>
  </si>
  <si>
    <t>办公</t>
    <phoneticPr fontId="127" type="noConversion"/>
  </si>
  <si>
    <t>楼层修正系数（商业）</t>
    <phoneticPr fontId="127" type="noConversion"/>
  </si>
  <si>
    <t>因素修正系数</t>
    <phoneticPr fontId="127" type="noConversion"/>
  </si>
  <si>
    <t>工业</t>
  </si>
  <si>
    <t>估算结果</t>
    <phoneticPr fontId="127" type="noConversion"/>
  </si>
  <si>
    <t>商业</t>
    <phoneticPr fontId="127" type="noConversion"/>
  </si>
  <si>
    <t>办公</t>
    <phoneticPr fontId="127" type="noConversion"/>
  </si>
  <si>
    <t>工业</t>
    <phoneticPr fontId="127" type="noConversion"/>
  </si>
  <si>
    <t>熟地价</t>
    <phoneticPr fontId="127" type="noConversion"/>
  </si>
  <si>
    <t>上浮比率</t>
    <phoneticPr fontId="127" type="noConversion"/>
  </si>
  <si>
    <t>政府土地出让收益</t>
    <phoneticPr fontId="127" type="noConversion"/>
  </si>
  <si>
    <t>地上部分</t>
    <phoneticPr fontId="127" type="noConversion"/>
  </si>
  <si>
    <t>单价</t>
    <phoneticPr fontId="127" type="noConversion"/>
  </si>
  <si>
    <t>建筑面积</t>
    <phoneticPr fontId="127" type="noConversion"/>
  </si>
  <si>
    <t>总额</t>
    <phoneticPr fontId="127" type="noConversion"/>
  </si>
  <si>
    <t>地上部分——楼面熟地价</t>
    <phoneticPr fontId="127" type="noConversion"/>
  </si>
  <si>
    <t>地上部分——政府土地出让收益</t>
    <phoneticPr fontId="127" type="noConversion"/>
  </si>
  <si>
    <t>政府土地出让收益=楼面熟地价×政府土地出让收益比例</t>
    <phoneticPr fontId="127" type="noConversion"/>
  </si>
  <si>
    <t>地下部分</t>
    <phoneticPr fontId="127" type="noConversion"/>
  </si>
  <si>
    <t>楼面熟地价=适用的基准地价×期日修正系数×年期修正系数×因素修正系数×相应用途地下空间修正系数</t>
    <phoneticPr fontId="127" type="noConversion"/>
  </si>
  <si>
    <t>相应用途地下空间修正系数</t>
  </si>
  <si>
    <t>地下第1层商业</t>
    <phoneticPr fontId="127" type="noConversion"/>
  </si>
  <si>
    <t>地下第2层商业</t>
    <phoneticPr fontId="127" type="noConversion"/>
  </si>
  <si>
    <t>地下第3层商业</t>
    <phoneticPr fontId="127" type="noConversion"/>
  </si>
  <si>
    <t>地下第4层商业</t>
    <phoneticPr fontId="127" type="noConversion"/>
  </si>
  <si>
    <t>地下办公</t>
    <phoneticPr fontId="127" type="noConversion"/>
  </si>
  <si>
    <t>地下仓储</t>
    <phoneticPr fontId="127" type="noConversion"/>
  </si>
  <si>
    <t>地下车库</t>
    <phoneticPr fontId="127" type="noConversion"/>
  </si>
  <si>
    <t>结果不可超过《北京市区片基准地价因素总修正幅度表》所列修正幅度；依据估价对象用途调整链接</t>
    <phoneticPr fontId="127" type="noConversion"/>
  </si>
  <si>
    <t>商业</t>
    <phoneticPr fontId="127" type="noConversion"/>
  </si>
  <si>
    <t>影响因素</t>
    <phoneticPr fontId="127" type="noConversion"/>
  </si>
  <si>
    <t>情况说明</t>
    <phoneticPr fontId="127" type="noConversion"/>
  </si>
  <si>
    <t>等级</t>
    <phoneticPr fontId="127" type="noConversion"/>
  </si>
  <si>
    <r>
      <rPr>
        <sz val="10"/>
        <color indexed="8"/>
        <rFont val="楷体_GB2312"/>
        <family val="3"/>
        <charset val="134"/>
      </rPr>
      <t>修正幅度</t>
    </r>
    <phoneticPr fontId="127" type="noConversion"/>
  </si>
  <si>
    <r>
      <rPr>
        <sz val="10"/>
        <color indexed="8"/>
        <rFont val="楷体_GB2312"/>
        <family val="3"/>
        <charset val="134"/>
      </rPr>
      <t>权重</t>
    </r>
    <phoneticPr fontId="127" type="noConversion"/>
  </si>
  <si>
    <r>
      <rPr>
        <sz val="10"/>
        <rFont val="楷体_GB2312"/>
        <family val="3"/>
        <charset val="134"/>
      </rPr>
      <t>合计</t>
    </r>
    <phoneticPr fontId="127" type="noConversion"/>
  </si>
  <si>
    <r>
      <rPr>
        <sz val="10"/>
        <color indexed="8"/>
        <rFont val="宋体"/>
        <family val="3"/>
        <charset val="134"/>
      </rPr>
      <t>修正系数</t>
    </r>
    <phoneticPr fontId="127" type="noConversion"/>
  </si>
  <si>
    <r>
      <rPr>
        <sz val="11"/>
        <color indexed="8"/>
        <rFont val="楷体_GB2312"/>
        <family val="3"/>
        <charset val="134"/>
      </rPr>
      <t>好</t>
    </r>
    <phoneticPr fontId="127" type="noConversion"/>
  </si>
  <si>
    <r>
      <rPr>
        <sz val="11"/>
        <color indexed="8"/>
        <rFont val="楷体_GB2312"/>
        <family val="3"/>
        <charset val="134"/>
      </rPr>
      <t>较好</t>
    </r>
    <phoneticPr fontId="127" type="noConversion"/>
  </si>
  <si>
    <r>
      <rPr>
        <sz val="11"/>
        <color indexed="8"/>
        <rFont val="楷体_GB2312"/>
        <family val="3"/>
        <charset val="134"/>
      </rPr>
      <t>一般</t>
    </r>
    <phoneticPr fontId="127" type="noConversion"/>
  </si>
  <si>
    <r>
      <rPr>
        <sz val="11"/>
        <color indexed="8"/>
        <rFont val="楷体_GB2312"/>
        <family val="3"/>
        <charset val="134"/>
      </rPr>
      <t>较差</t>
    </r>
    <phoneticPr fontId="127" type="noConversion"/>
  </si>
  <si>
    <r>
      <rPr>
        <sz val="11"/>
        <color indexed="8"/>
        <rFont val="楷体_GB2312"/>
        <family val="3"/>
        <charset val="134"/>
      </rPr>
      <t>差</t>
    </r>
    <phoneticPr fontId="127" type="noConversion"/>
  </si>
  <si>
    <t xml:space="preserve"> 商业繁华程度</t>
    <phoneticPr fontId="127" type="noConversion"/>
  </si>
  <si>
    <t>交通便捷度</t>
    <phoneticPr fontId="127" type="noConversion"/>
  </si>
  <si>
    <t>区域土地利用方向</t>
    <phoneticPr fontId="127" type="noConversion"/>
  </si>
  <si>
    <t>临街宽度和深度</t>
    <phoneticPr fontId="127" type="noConversion"/>
  </si>
  <si>
    <t>临街道路状况</t>
    <phoneticPr fontId="127" type="noConversion"/>
  </si>
  <si>
    <t>宗地形状及可利用程度</t>
    <phoneticPr fontId="127" type="noConversion"/>
  </si>
  <si>
    <t>公共服务设施状况</t>
    <phoneticPr fontId="127" type="noConversion"/>
  </si>
  <si>
    <t>基础设施完备状况</t>
    <phoneticPr fontId="127" type="noConversion"/>
  </si>
  <si>
    <t>自然和人文环境状况</t>
    <phoneticPr fontId="127" type="noConversion"/>
  </si>
  <si>
    <t>办公</t>
    <phoneticPr fontId="127" type="noConversion"/>
  </si>
  <si>
    <t>办公集聚程度</t>
    <phoneticPr fontId="127" type="noConversion"/>
  </si>
  <si>
    <t>住宅</t>
    <phoneticPr fontId="127" type="noConversion"/>
  </si>
  <si>
    <t>居住社区成熟度</t>
    <phoneticPr fontId="127" type="noConversion"/>
  </si>
  <si>
    <t>交通便捷度</t>
    <phoneticPr fontId="127" type="noConversion"/>
  </si>
  <si>
    <t>临路状况</t>
    <phoneticPr fontId="127" type="noConversion"/>
  </si>
  <si>
    <t>与区域中心的接近程度</t>
    <phoneticPr fontId="127" type="noConversion"/>
  </si>
  <si>
    <t>工业</t>
    <phoneticPr fontId="127" type="noConversion"/>
  </si>
  <si>
    <t>产业集聚程度</t>
    <phoneticPr fontId="127" type="noConversion"/>
  </si>
  <si>
    <t>环境状况</t>
    <phoneticPr fontId="127" type="noConversion"/>
  </si>
  <si>
    <t>北京市区片基准地价表</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</si>
  <si>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</si>
  <si>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</si>
  <si>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</si>
  <si>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</si>
  <si>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</si>
  <si>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</si>
  <si>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</si>
  <si>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</si>
  <si>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</si>
  <si>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</si>
  <si>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</si>
  <si>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</si>
  <si>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基准日期：2014年1月1日                                                    单位：元/建筑平方米</t>
    <phoneticPr fontId="127" type="noConversion"/>
  </si>
  <si>
    <t>Ⅰ—01</t>
    <phoneticPr fontId="127" type="noConversion"/>
  </si>
  <si>
    <t>Ⅱ—01</t>
    <phoneticPr fontId="127" type="noConversion"/>
  </si>
  <si>
    <t>Ⅲ—01</t>
    <phoneticPr fontId="127" type="noConversion"/>
  </si>
  <si>
    <t>Ⅳ-01</t>
    <phoneticPr fontId="127" type="noConversion"/>
  </si>
  <si>
    <t>Ⅴ-01</t>
    <phoneticPr fontId="127" type="noConversion"/>
  </si>
  <si>
    <t>Ⅵ-01</t>
    <phoneticPr fontId="127" type="noConversion"/>
  </si>
  <si>
    <t>Ⅶ-01</t>
    <phoneticPr fontId="127" type="noConversion"/>
  </si>
  <si>
    <t>Ⅷ-01</t>
    <phoneticPr fontId="127" type="noConversion"/>
  </si>
  <si>
    <t>Ⅸ-01</t>
    <phoneticPr fontId="127" type="noConversion"/>
  </si>
  <si>
    <t>Ⅹ-01</t>
    <phoneticPr fontId="127" type="noConversion"/>
  </si>
  <si>
    <t>Ⅺ-门1</t>
    <phoneticPr fontId="127" type="noConversion"/>
  </si>
  <si>
    <t>Ⅻ-门1</t>
    <phoneticPr fontId="127" type="noConversion"/>
  </si>
  <si>
    <t>级别</t>
    <phoneticPr fontId="127" type="noConversion"/>
  </si>
  <si>
    <t>商业</t>
    <phoneticPr fontId="127" type="noConversion"/>
  </si>
  <si>
    <t>办公</t>
    <phoneticPr fontId="127" type="noConversion"/>
  </si>
  <si>
    <t>住宅</t>
    <phoneticPr fontId="127" type="noConversion"/>
  </si>
  <si>
    <t>工业</t>
    <phoneticPr fontId="127" type="noConversion"/>
  </si>
  <si>
    <t>Ⅰ—02</t>
    <phoneticPr fontId="127" type="noConversion"/>
  </si>
  <si>
    <t>Ⅱ—02</t>
  </si>
  <si>
    <t>Ⅲ—02</t>
  </si>
  <si>
    <t>Ⅳ-02</t>
  </si>
  <si>
    <t>Ⅴ-02</t>
  </si>
  <si>
    <t>Ⅵ-02</t>
  </si>
  <si>
    <t>Ⅶ-02</t>
  </si>
  <si>
    <t>Ⅷ-02</t>
  </si>
  <si>
    <t>Ⅸ-02</t>
  </si>
  <si>
    <t>Ⅹ-02</t>
  </si>
  <si>
    <t>Ⅺ-门斋</t>
    <phoneticPr fontId="127" type="noConversion"/>
  </si>
  <si>
    <t>Ⅻ-房1</t>
    <phoneticPr fontId="127" type="noConversion"/>
  </si>
  <si>
    <t>区片编号</t>
    <phoneticPr fontId="127" type="noConversion"/>
  </si>
  <si>
    <t>区片价格</t>
    <phoneticPr fontId="127" type="noConversion"/>
  </si>
  <si>
    <t>Ⅰ—03</t>
  </si>
  <si>
    <t>Ⅱ—03</t>
  </si>
  <si>
    <t>Ⅲ—03</t>
  </si>
  <si>
    <t>Ⅳ-03</t>
  </si>
  <si>
    <t>Ⅴ-03</t>
  </si>
  <si>
    <t>Ⅵ-03</t>
  </si>
  <si>
    <t>Ⅶ-03</t>
  </si>
  <si>
    <t>Ⅷ-03</t>
  </si>
  <si>
    <t>Ⅸ-门1</t>
    <phoneticPr fontId="127" type="noConversion"/>
  </si>
  <si>
    <t>Ⅹ-门1</t>
    <phoneticPr fontId="127" type="noConversion"/>
  </si>
  <si>
    <t>Ⅺ-房1</t>
    <phoneticPr fontId="127" type="noConversion"/>
  </si>
  <si>
    <t>Ⅻ-昌1</t>
    <phoneticPr fontId="127" type="noConversion"/>
  </si>
  <si>
    <t>一级</t>
  </si>
  <si>
    <t>Ⅰ—04</t>
  </si>
  <si>
    <t>Ⅱ—04</t>
  </si>
  <si>
    <t>Ⅲ—04</t>
  </si>
  <si>
    <t>Ⅳ-04</t>
  </si>
  <si>
    <t>Ⅴ-04</t>
  </si>
  <si>
    <t>Ⅵ-04</t>
  </si>
  <si>
    <t>Ⅶ-04</t>
  </si>
  <si>
    <t>Ⅷ-04</t>
  </si>
  <si>
    <t>Ⅸ-门2</t>
    <phoneticPr fontId="127" type="noConversion"/>
  </si>
  <si>
    <t>Ⅹ-房1</t>
    <phoneticPr fontId="127" type="noConversion"/>
  </si>
  <si>
    <t>Ⅺ-房2</t>
  </si>
  <si>
    <t>Ⅻ-平1</t>
    <phoneticPr fontId="127" type="noConversion"/>
  </si>
  <si>
    <t>Ⅰ—02</t>
    <phoneticPr fontId="127" type="noConversion"/>
  </si>
  <si>
    <t>二级</t>
    <phoneticPr fontId="127" type="noConversion"/>
  </si>
  <si>
    <t>Ⅰ—05</t>
  </si>
  <si>
    <t>Ⅱ—05</t>
  </si>
  <si>
    <t>Ⅲ—05</t>
  </si>
  <si>
    <t>Ⅳ-05</t>
  </si>
  <si>
    <t>Ⅴ-05</t>
  </si>
  <si>
    <t>Ⅵ-05</t>
  </si>
  <si>
    <t>Ⅶ-05</t>
  </si>
  <si>
    <t>Ⅷ-门1</t>
    <phoneticPr fontId="127" type="noConversion"/>
  </si>
  <si>
    <t>Ⅸ-门潭</t>
    <phoneticPr fontId="127" type="noConversion"/>
  </si>
  <si>
    <t>Ⅹ-房2</t>
  </si>
  <si>
    <t>Ⅺ-通1</t>
    <phoneticPr fontId="127" type="noConversion"/>
  </si>
  <si>
    <t>Ⅻ-怀1</t>
    <phoneticPr fontId="127" type="noConversion"/>
  </si>
  <si>
    <t>Ⅱ—06</t>
  </si>
  <si>
    <t>Ⅲ—06</t>
  </si>
  <si>
    <t>Ⅳ-06</t>
  </si>
  <si>
    <t>Ⅴ-06</t>
  </si>
  <si>
    <t>Ⅵ-06</t>
  </si>
  <si>
    <t>Ⅶ-06</t>
  </si>
  <si>
    <t>Ⅷ-门军</t>
    <phoneticPr fontId="127" type="noConversion"/>
  </si>
  <si>
    <t>Ⅸ-房1</t>
    <phoneticPr fontId="127" type="noConversion"/>
  </si>
  <si>
    <t>Ⅹ-通1</t>
    <phoneticPr fontId="127" type="noConversion"/>
  </si>
  <si>
    <t>Ⅺ-顺1</t>
    <phoneticPr fontId="127" type="noConversion"/>
  </si>
  <si>
    <t>Ⅻ-密1</t>
    <phoneticPr fontId="127" type="noConversion"/>
  </si>
  <si>
    <t>Ⅱ—07</t>
  </si>
  <si>
    <t>Ⅲ—07</t>
  </si>
  <si>
    <t>Ⅳ-07</t>
  </si>
  <si>
    <t>Ⅴ-07</t>
  </si>
  <si>
    <t>Ⅵ-07</t>
  </si>
  <si>
    <t>Ⅶ-07</t>
  </si>
  <si>
    <t>Ⅷ-房1</t>
    <phoneticPr fontId="127" type="noConversion"/>
  </si>
  <si>
    <t>Ⅸ-房2</t>
  </si>
  <si>
    <t>Ⅹ-顺1</t>
    <phoneticPr fontId="127" type="noConversion"/>
  </si>
  <si>
    <t>Ⅺ-兴1</t>
    <phoneticPr fontId="127" type="noConversion"/>
  </si>
  <si>
    <t>Ⅻ-延1</t>
    <phoneticPr fontId="127" type="noConversion"/>
  </si>
  <si>
    <t>Ⅱ—08</t>
  </si>
  <si>
    <t>Ⅲ—08</t>
  </si>
  <si>
    <t>Ⅳ-08</t>
  </si>
  <si>
    <t>Ⅴ-08</t>
  </si>
  <si>
    <t>Ⅵ-08</t>
  </si>
  <si>
    <t>Ⅶ-08</t>
  </si>
  <si>
    <t>Ⅷ-房2</t>
  </si>
  <si>
    <t>Ⅸ-房3</t>
  </si>
  <si>
    <t>Ⅹ-顺2</t>
  </si>
  <si>
    <t>Ⅺ-兴2</t>
    <phoneticPr fontId="127" type="noConversion"/>
  </si>
  <si>
    <t>二级</t>
  </si>
  <si>
    <t>Ⅱ—01</t>
    <phoneticPr fontId="127" type="noConversion"/>
  </si>
  <si>
    <t>Ⅱ—09</t>
  </si>
  <si>
    <t>Ⅲ—09</t>
  </si>
  <si>
    <t>Ⅳ-09</t>
  </si>
  <si>
    <t>Ⅴ-09</t>
  </si>
  <si>
    <t>Ⅵ-09</t>
  </si>
  <si>
    <t>Ⅶ-09</t>
  </si>
  <si>
    <t>Ⅷ-房3</t>
  </si>
  <si>
    <t>Ⅸ-房4</t>
  </si>
  <si>
    <t>Ⅹ-顺3</t>
  </si>
  <si>
    <t>Ⅺ-昌1</t>
    <phoneticPr fontId="127" type="noConversion"/>
  </si>
  <si>
    <t>Ⅱ—10</t>
  </si>
  <si>
    <t>Ⅲ—10</t>
  </si>
  <si>
    <t>Ⅳ-10</t>
  </si>
  <si>
    <t>Ⅴ-10</t>
  </si>
  <si>
    <t>Ⅵ-10</t>
  </si>
  <si>
    <t>Ⅶ-10</t>
  </si>
  <si>
    <t>Ⅷ-通1</t>
    <phoneticPr fontId="127" type="noConversion"/>
  </si>
  <si>
    <t>Ⅸ-房5</t>
  </si>
  <si>
    <t>Ⅹ-兴1</t>
    <phoneticPr fontId="127" type="noConversion"/>
  </si>
  <si>
    <t>Ⅺ-昌2</t>
  </si>
  <si>
    <t>Ⅱ—11</t>
  </si>
  <si>
    <t>Ⅲ—11</t>
  </si>
  <si>
    <t>Ⅳ-11</t>
  </si>
  <si>
    <t>Ⅴ-11</t>
  </si>
  <si>
    <t>Ⅵ-11</t>
  </si>
  <si>
    <t>Ⅶ-11</t>
  </si>
  <si>
    <t>Ⅷ-通2</t>
  </si>
  <si>
    <t>Ⅸ-房6</t>
  </si>
  <si>
    <t>Ⅹ-兴2</t>
  </si>
  <si>
    <t>Ⅺ-平1</t>
    <phoneticPr fontId="127" type="noConversion"/>
  </si>
  <si>
    <t>Ⅱ—12</t>
  </si>
  <si>
    <t>Ⅲ—12</t>
  </si>
  <si>
    <t>Ⅳ-12</t>
  </si>
  <si>
    <t>Ⅴ-12</t>
  </si>
  <si>
    <t>Ⅵ-12</t>
  </si>
  <si>
    <t>Ⅶ-12</t>
  </si>
  <si>
    <t>Ⅷ-通3</t>
  </si>
  <si>
    <t>Ⅸ-通1</t>
    <phoneticPr fontId="127" type="noConversion"/>
  </si>
  <si>
    <t>Ⅹ-昌1</t>
    <phoneticPr fontId="127" type="noConversion"/>
  </si>
  <si>
    <t>Ⅺ-平2</t>
  </si>
  <si>
    <t>Ⅱ—13</t>
  </si>
  <si>
    <t>Ⅲ—13</t>
  </si>
  <si>
    <t>Ⅳ-13</t>
  </si>
  <si>
    <t>Ⅴ-13</t>
  </si>
  <si>
    <t>Ⅵ-13</t>
  </si>
  <si>
    <t>Ⅶ-13</t>
  </si>
  <si>
    <t>Ⅷ-顺1</t>
    <phoneticPr fontId="127" type="noConversion"/>
  </si>
  <si>
    <t>Ⅸ-通2</t>
  </si>
  <si>
    <t>Ⅹ-昌2</t>
  </si>
  <si>
    <t>Ⅺ-平3</t>
  </si>
  <si>
    <t>Ⅱ—14</t>
  </si>
  <si>
    <t>Ⅲ—14</t>
  </si>
  <si>
    <t>Ⅳ-14</t>
  </si>
  <si>
    <t>Ⅴ-14</t>
  </si>
  <si>
    <t>Ⅵ-14</t>
  </si>
  <si>
    <t>Ⅶ-门1</t>
    <phoneticPr fontId="127" type="noConversion"/>
  </si>
  <si>
    <t>Ⅷ-顺2</t>
  </si>
  <si>
    <t>Ⅸ-通3</t>
  </si>
  <si>
    <t>Ⅹ-昌3</t>
  </si>
  <si>
    <t>Ⅺ-平4</t>
  </si>
  <si>
    <t>Ⅱ—15</t>
  </si>
  <si>
    <t>Ⅲ—15</t>
  </si>
  <si>
    <t>Ⅳ-15</t>
  </si>
  <si>
    <t>Ⅴ-15</t>
  </si>
  <si>
    <t>Ⅵ-15</t>
  </si>
  <si>
    <t>Ⅶ-房1</t>
    <phoneticPr fontId="127" type="noConversion"/>
  </si>
  <si>
    <t>Ⅷ-顺3</t>
    <phoneticPr fontId="127" type="noConversion"/>
  </si>
  <si>
    <t>Ⅸ-顺1</t>
    <phoneticPr fontId="127" type="noConversion"/>
  </si>
  <si>
    <t>Ⅹ-平1</t>
    <phoneticPr fontId="127" type="noConversion"/>
  </si>
  <si>
    <t>Ⅺ-怀1</t>
    <phoneticPr fontId="127" type="noConversion"/>
  </si>
  <si>
    <t>Ⅱ—16</t>
  </si>
  <si>
    <t>Ⅲ—16</t>
  </si>
  <si>
    <t>Ⅳ-16</t>
  </si>
  <si>
    <t>Ⅴ-16</t>
  </si>
  <si>
    <t>Ⅵ-16</t>
  </si>
  <si>
    <t>Ⅶ-房2</t>
  </si>
  <si>
    <t>Ⅷ-顺4</t>
  </si>
  <si>
    <t>Ⅸ-顺2</t>
  </si>
  <si>
    <t>Ⅹ-平2</t>
  </si>
  <si>
    <t>Ⅺ-怀2</t>
  </si>
  <si>
    <t>Ⅱ—17</t>
  </si>
  <si>
    <t>Ⅲ—17</t>
  </si>
  <si>
    <t>Ⅳ-17</t>
  </si>
  <si>
    <t>Ⅴ-17</t>
  </si>
  <si>
    <t>Ⅵ-17</t>
  </si>
  <si>
    <t>Ⅶ-通1</t>
    <phoneticPr fontId="127" type="noConversion"/>
  </si>
  <si>
    <t>Ⅷ-顺5</t>
  </si>
  <si>
    <t>Ⅸ-顺3</t>
  </si>
  <si>
    <t>Ⅹ-怀1</t>
    <phoneticPr fontId="127" type="noConversion"/>
  </si>
  <si>
    <t>Ⅺ-密1</t>
    <phoneticPr fontId="127" type="noConversion"/>
  </si>
  <si>
    <t>Ⅱ—18</t>
  </si>
  <si>
    <t>Ⅲ—18</t>
  </si>
  <si>
    <t>Ⅳ-18</t>
  </si>
  <si>
    <t>Ⅴ-18</t>
  </si>
  <si>
    <t>Ⅵ-18</t>
  </si>
  <si>
    <t>Ⅶ-顺1</t>
    <phoneticPr fontId="127" type="noConversion"/>
  </si>
  <si>
    <t>Ⅷ-顺6</t>
  </si>
  <si>
    <t>Ⅸ-顺4</t>
  </si>
  <si>
    <t>Ⅹ-怀2</t>
  </si>
  <si>
    <t>Ⅺ-密2</t>
  </si>
  <si>
    <t>Ⅱ—19</t>
  </si>
  <si>
    <t>Ⅲ—19</t>
  </si>
  <si>
    <t>Ⅳ-19</t>
  </si>
  <si>
    <t>Ⅴ-19</t>
  </si>
  <si>
    <t>Ⅵ-19</t>
  </si>
  <si>
    <t>Ⅶ-顺2</t>
  </si>
  <si>
    <t>Ⅷ-顺7</t>
  </si>
  <si>
    <t>Ⅸ-兴1</t>
    <phoneticPr fontId="127" type="noConversion"/>
  </si>
  <si>
    <t>Ⅹ-怀3</t>
  </si>
  <si>
    <t>Ⅺ-密3</t>
  </si>
  <si>
    <t>Ⅲ—20</t>
  </si>
  <si>
    <t>Ⅳ-20</t>
  </si>
  <si>
    <t>Ⅴ-20</t>
  </si>
  <si>
    <t>Ⅵ-20</t>
  </si>
  <si>
    <t>Ⅶ-兴1</t>
    <phoneticPr fontId="127" type="noConversion"/>
  </si>
  <si>
    <t>Ⅷ-兴1</t>
    <phoneticPr fontId="127" type="noConversion"/>
  </si>
  <si>
    <t>Ⅸ-兴2</t>
  </si>
  <si>
    <t>Ⅹ-密1</t>
    <phoneticPr fontId="127" type="noConversion"/>
  </si>
  <si>
    <t>Ⅺ-延1</t>
    <phoneticPr fontId="127" type="noConversion"/>
  </si>
  <si>
    <t>Ⅱ—13</t>
    <phoneticPr fontId="127" type="noConversion"/>
  </si>
  <si>
    <t>Ⅳ-21</t>
  </si>
  <si>
    <t>Ⅴ-21</t>
  </si>
  <si>
    <t>Ⅵ-21</t>
  </si>
  <si>
    <t>Ⅶ-兴2</t>
  </si>
  <si>
    <t>Ⅷ-兴2</t>
  </si>
  <si>
    <t>Ⅸ-兴3</t>
  </si>
  <si>
    <t>Ⅹ-延1</t>
    <phoneticPr fontId="127" type="noConversion"/>
  </si>
  <si>
    <t>Ⅺ-延2</t>
  </si>
  <si>
    <t>Ⅳ-22</t>
  </si>
  <si>
    <t>Ⅴ-22</t>
  </si>
  <si>
    <t>Ⅵ-22</t>
  </si>
  <si>
    <t>Ⅶ-兴3</t>
  </si>
  <si>
    <t>Ⅷ-昌1</t>
    <phoneticPr fontId="127" type="noConversion"/>
  </si>
  <si>
    <t>Ⅸ-兴4</t>
  </si>
  <si>
    <t>Ⅹ-延2</t>
  </si>
  <si>
    <t>Ⅳ-23</t>
  </si>
  <si>
    <t>Ⅴ-23</t>
  </si>
  <si>
    <t>Ⅵ-23</t>
  </si>
  <si>
    <t>Ⅶ-昌1</t>
    <phoneticPr fontId="127" type="noConversion"/>
  </si>
  <si>
    <t>Ⅷ-昌2</t>
  </si>
  <si>
    <t>Ⅸ-兴5</t>
  </si>
  <si>
    <t>Ⅹ-亦1</t>
    <phoneticPr fontId="127" type="noConversion"/>
  </si>
  <si>
    <t>Ⅳ-电子城东</t>
    <phoneticPr fontId="127" type="noConversion"/>
  </si>
  <si>
    <t>Ⅴ-24</t>
  </si>
  <si>
    <t>Ⅵ-24</t>
  </si>
  <si>
    <t>Ⅶ-昌2</t>
  </si>
  <si>
    <t>Ⅷ-昌3</t>
  </si>
  <si>
    <t>Ⅸ-昌1</t>
    <phoneticPr fontId="127" type="noConversion"/>
  </si>
  <si>
    <t>Ⅹ-马坊工业园</t>
    <phoneticPr fontId="127" type="noConversion"/>
  </si>
  <si>
    <t>Ⅳ-电子城西</t>
    <phoneticPr fontId="127" type="noConversion"/>
  </si>
  <si>
    <t>Ⅴ-25</t>
  </si>
  <si>
    <t>Ⅵ-通1</t>
    <phoneticPr fontId="127" type="noConversion"/>
  </si>
  <si>
    <t>Ⅶ-昌3</t>
  </si>
  <si>
    <t>Ⅷ-昌4</t>
  </si>
  <si>
    <t>Ⅸ-昌2</t>
  </si>
  <si>
    <t>Ⅹ-延庆开发区</t>
    <phoneticPr fontId="127" type="noConversion"/>
  </si>
  <si>
    <t>Ⅳ-上地核心</t>
    <phoneticPr fontId="127" type="noConversion"/>
  </si>
  <si>
    <t>Ⅴ-26</t>
  </si>
  <si>
    <t>Ⅵ-通2</t>
  </si>
  <si>
    <t>Ⅶ-昌4</t>
  </si>
  <si>
    <t>Ⅷ-平1</t>
    <phoneticPr fontId="127" type="noConversion"/>
  </si>
  <si>
    <t>Ⅸ-昌3</t>
  </si>
  <si>
    <t>Ⅹ-八达岭开发区</t>
    <phoneticPr fontId="127" type="noConversion"/>
  </si>
  <si>
    <t>Ⅳ-丰台园东</t>
    <phoneticPr fontId="127" type="noConversion"/>
  </si>
  <si>
    <t>Ⅴ-电子城北</t>
    <phoneticPr fontId="127" type="noConversion"/>
  </si>
  <si>
    <t>Ⅵ-通3</t>
  </si>
  <si>
    <t>Ⅶ-昌5</t>
  </si>
  <si>
    <t>Ⅷ-怀1</t>
    <phoneticPr fontId="127" type="noConversion"/>
  </si>
  <si>
    <t>Ⅸ-昌4</t>
  </si>
  <si>
    <t>三级</t>
  </si>
  <si>
    <t>Ⅲ—01</t>
    <phoneticPr fontId="127" type="noConversion"/>
  </si>
  <si>
    <t>Ⅴ-永丰产业基地</t>
    <phoneticPr fontId="127" type="noConversion"/>
  </si>
  <si>
    <t>Ⅵ-通4</t>
  </si>
  <si>
    <t>Ⅶ-亦1</t>
    <phoneticPr fontId="127" type="noConversion"/>
  </si>
  <si>
    <t>Ⅷ-密1</t>
    <phoneticPr fontId="127" type="noConversion"/>
  </si>
  <si>
    <t>Ⅸ-昌5</t>
  </si>
  <si>
    <t>Ⅴ-航天城</t>
    <phoneticPr fontId="127" type="noConversion"/>
  </si>
  <si>
    <t>Ⅵ-顺1</t>
    <phoneticPr fontId="127" type="noConversion"/>
  </si>
  <si>
    <t>Ⅶ-国际教育园</t>
    <phoneticPr fontId="127" type="noConversion"/>
  </si>
  <si>
    <t>Ⅸ-昌南</t>
    <phoneticPr fontId="127" type="noConversion"/>
  </si>
  <si>
    <r>
      <t>Ⅴ-西北旺</t>
    </r>
    <r>
      <rPr>
        <sz val="10"/>
        <color indexed="8"/>
        <rFont val="宋体"/>
        <family val="3"/>
        <charset val="134"/>
      </rPr>
      <t>Ⅰ</t>
    </r>
    <phoneticPr fontId="127" type="noConversion"/>
  </si>
  <si>
    <t>Ⅵ-兴1</t>
    <phoneticPr fontId="127" type="noConversion"/>
  </si>
  <si>
    <t>Ⅶ-农林园</t>
    <phoneticPr fontId="127" type="noConversion"/>
  </si>
  <si>
    <t>Ⅷ-亦1</t>
    <phoneticPr fontId="127" type="noConversion"/>
  </si>
  <si>
    <t>Ⅸ-平1</t>
    <phoneticPr fontId="127" type="noConversion"/>
  </si>
  <si>
    <r>
      <t>Ⅴ-西北旺</t>
    </r>
    <r>
      <rPr>
        <sz val="10"/>
        <color indexed="8"/>
        <rFont val="宋体"/>
        <family val="3"/>
        <charset val="134"/>
      </rPr>
      <t>Ⅱ</t>
    </r>
    <phoneticPr fontId="127" type="noConversion"/>
  </si>
  <si>
    <t>Ⅵ-昌1</t>
    <phoneticPr fontId="127" type="noConversion"/>
  </si>
  <si>
    <t>Ⅶ-上庄科技</t>
    <phoneticPr fontId="127" type="noConversion"/>
  </si>
  <si>
    <t>Ⅷ-亦2</t>
  </si>
  <si>
    <t>Ⅸ-怀1</t>
    <phoneticPr fontId="127" type="noConversion"/>
  </si>
  <si>
    <t>Ⅴ-石景山园南区</t>
    <phoneticPr fontId="127" type="noConversion"/>
  </si>
  <si>
    <t>Ⅵ-昌2</t>
  </si>
  <si>
    <t>Ⅶ-文化教育基地</t>
    <phoneticPr fontId="127" type="noConversion"/>
  </si>
  <si>
    <t>Ⅷ-良乡开发区A</t>
    <phoneticPr fontId="127" type="noConversion"/>
  </si>
  <si>
    <t>Ⅸ-密1</t>
    <phoneticPr fontId="127" type="noConversion"/>
  </si>
  <si>
    <r>
      <t>Ⅴ-石景山园北</t>
    </r>
    <r>
      <rPr>
        <sz val="10"/>
        <color indexed="8"/>
        <rFont val="宋体"/>
        <family val="3"/>
        <charset val="134"/>
      </rPr>
      <t>Ⅰ</t>
    </r>
    <phoneticPr fontId="127" type="noConversion"/>
  </si>
  <si>
    <t>Ⅵ-昌3</t>
  </si>
  <si>
    <r>
      <t>Ⅶ-苏家坨科技</t>
    </r>
    <r>
      <rPr>
        <sz val="10"/>
        <color indexed="8"/>
        <rFont val="宋体"/>
        <family val="3"/>
        <charset val="134"/>
      </rPr>
      <t>Ⅰ</t>
    </r>
    <phoneticPr fontId="127" type="noConversion"/>
  </si>
  <si>
    <t>Ⅷ-良乡开发区B</t>
    <phoneticPr fontId="127" type="noConversion"/>
  </si>
  <si>
    <t>Ⅸ-延1</t>
    <phoneticPr fontId="127" type="noConversion"/>
  </si>
  <si>
    <r>
      <t>Ⅴ-石景山园北</t>
    </r>
    <r>
      <rPr>
        <sz val="10"/>
        <color indexed="8"/>
        <rFont val="宋体"/>
        <family val="3"/>
        <charset val="134"/>
      </rPr>
      <t>Ⅱ</t>
    </r>
    <phoneticPr fontId="127" type="noConversion"/>
  </si>
  <si>
    <t>Ⅵ-昌4</t>
  </si>
  <si>
    <r>
      <t>Ⅶ-苏家坨科技</t>
    </r>
    <r>
      <rPr>
        <sz val="10"/>
        <color indexed="8"/>
        <rFont val="宋体"/>
        <family val="3"/>
        <charset val="134"/>
      </rPr>
      <t>Ⅱ</t>
    </r>
    <phoneticPr fontId="127" type="noConversion"/>
  </si>
  <si>
    <t>Ⅷ-良乡开发区C</t>
    <phoneticPr fontId="127" type="noConversion"/>
  </si>
  <si>
    <t>Ⅸ-亦1</t>
    <phoneticPr fontId="127" type="noConversion"/>
  </si>
  <si>
    <t>Ⅵ-亦1</t>
    <phoneticPr fontId="127" type="noConversion"/>
  </si>
  <si>
    <r>
      <t>Ⅶ-丰台园西</t>
    </r>
    <r>
      <rPr>
        <sz val="10"/>
        <color indexed="8"/>
        <rFont val="宋体"/>
        <family val="3"/>
        <charset val="134"/>
      </rPr>
      <t>Ⅰ</t>
    </r>
    <phoneticPr fontId="127" type="noConversion"/>
  </si>
  <si>
    <t>Ⅷ-通州环保园</t>
    <phoneticPr fontId="127" type="noConversion"/>
  </si>
  <si>
    <t>Ⅸ-房山工业园东</t>
    <phoneticPr fontId="127" type="noConversion"/>
  </si>
  <si>
    <t>Ⅵ-创新园</t>
    <phoneticPr fontId="127" type="noConversion"/>
  </si>
  <si>
    <r>
      <t>Ⅶ-丰台园西</t>
    </r>
    <r>
      <rPr>
        <sz val="10"/>
        <color indexed="8"/>
        <rFont val="宋体"/>
        <family val="3"/>
        <charset val="134"/>
      </rPr>
      <t>Ⅱ</t>
    </r>
    <phoneticPr fontId="127" type="noConversion"/>
  </si>
  <si>
    <t>Ⅷ-空港北区A</t>
    <phoneticPr fontId="127" type="noConversion"/>
  </si>
  <si>
    <t>Ⅸ-房山工业园西</t>
    <phoneticPr fontId="127" type="noConversion"/>
  </si>
  <si>
    <t>Ⅵ-海淀环保园</t>
    <phoneticPr fontId="127" type="noConversion"/>
  </si>
  <si>
    <t>Ⅶ-石龙开发区</t>
    <phoneticPr fontId="127" type="noConversion"/>
  </si>
  <si>
    <t>Ⅷ-空港北区B</t>
    <phoneticPr fontId="127" type="noConversion"/>
  </si>
  <si>
    <t>Ⅸ-通州开发区东</t>
    <phoneticPr fontId="127" type="noConversion"/>
  </si>
  <si>
    <r>
      <t>Ⅵ-温泉科技</t>
    </r>
    <r>
      <rPr>
        <sz val="10"/>
        <color indexed="8"/>
        <rFont val="宋体"/>
        <family val="3"/>
        <charset val="134"/>
      </rPr>
      <t>Ⅰ</t>
    </r>
    <phoneticPr fontId="127" type="noConversion"/>
  </si>
  <si>
    <t>Ⅶ-光机电</t>
    <phoneticPr fontId="127" type="noConversion"/>
  </si>
  <si>
    <t>Ⅷ-生物医药基地</t>
    <phoneticPr fontId="127" type="noConversion"/>
  </si>
  <si>
    <t>Ⅸ-永乐开发区</t>
    <phoneticPr fontId="127" type="noConversion"/>
  </si>
  <si>
    <r>
      <t>Ⅵ-温泉科技</t>
    </r>
    <r>
      <rPr>
        <sz val="10"/>
        <color indexed="8"/>
        <rFont val="宋体"/>
        <family val="3"/>
        <charset val="134"/>
      </rPr>
      <t>Ⅱ</t>
    </r>
    <phoneticPr fontId="127" type="noConversion"/>
  </si>
  <si>
    <t>Ⅶ-通州开发区西</t>
    <phoneticPr fontId="127" type="noConversion"/>
  </si>
  <si>
    <t>Ⅷ-小汤山工业园</t>
    <phoneticPr fontId="127" type="noConversion"/>
  </si>
  <si>
    <t>Ⅸ-采育开发区</t>
    <phoneticPr fontId="127" type="noConversion"/>
  </si>
  <si>
    <r>
      <t>Ⅵ-温泉科技</t>
    </r>
    <r>
      <rPr>
        <sz val="10"/>
        <color indexed="8"/>
        <rFont val="宋体"/>
        <family val="3"/>
        <charset val="134"/>
      </rPr>
      <t>Ⅲ</t>
    </r>
    <phoneticPr fontId="127" type="noConversion"/>
  </si>
  <si>
    <t>Ⅶ-林河开发区</t>
    <phoneticPr fontId="127" type="noConversion"/>
  </si>
  <si>
    <t>Ⅸ-兴谷开发区A</t>
    <phoneticPr fontId="127" type="noConversion"/>
  </si>
  <si>
    <t>Ⅵ-天竺保税区南</t>
    <phoneticPr fontId="127" type="noConversion"/>
  </si>
  <si>
    <t>Ⅶ-大兴开发区</t>
    <phoneticPr fontId="127" type="noConversion"/>
  </si>
  <si>
    <t>Ⅸ-兴谷开发区B</t>
    <phoneticPr fontId="127" type="noConversion"/>
  </si>
  <si>
    <t>Ⅵ-天竺保税区北1</t>
    <phoneticPr fontId="127" type="noConversion"/>
  </si>
  <si>
    <r>
      <t>Ⅶ-昌平园南</t>
    </r>
    <r>
      <rPr>
        <sz val="10"/>
        <color indexed="8"/>
        <rFont val="宋体"/>
        <family val="3"/>
        <charset val="134"/>
      </rPr>
      <t>Ⅰ</t>
    </r>
    <phoneticPr fontId="127" type="noConversion"/>
  </si>
  <si>
    <t>Ⅸ-雁栖开发区A</t>
    <phoneticPr fontId="127" type="noConversion"/>
  </si>
  <si>
    <t>Ⅵ-天竺保税区北2</t>
  </si>
  <si>
    <r>
      <t>Ⅶ-昌平园南</t>
    </r>
    <r>
      <rPr>
        <sz val="10"/>
        <color indexed="8"/>
        <rFont val="宋体"/>
        <family val="3"/>
        <charset val="134"/>
      </rPr>
      <t>Ⅱ</t>
    </r>
    <phoneticPr fontId="127" type="noConversion"/>
  </si>
  <si>
    <t>Ⅸ-雁栖开发区B</t>
    <phoneticPr fontId="127" type="noConversion"/>
  </si>
  <si>
    <t>Ⅵ-空港A</t>
    <phoneticPr fontId="127" type="noConversion"/>
  </si>
  <si>
    <r>
      <t>Ⅶ-昌平园北</t>
    </r>
    <r>
      <rPr>
        <sz val="10"/>
        <color indexed="8"/>
        <rFont val="宋体"/>
        <family val="3"/>
        <charset val="134"/>
      </rPr>
      <t>Ⅰ</t>
    </r>
    <phoneticPr fontId="127" type="noConversion"/>
  </si>
  <si>
    <t>Ⅸ-雁栖开发区C</t>
    <phoneticPr fontId="127" type="noConversion"/>
  </si>
  <si>
    <t>Ⅵ-空港B</t>
    <phoneticPr fontId="127" type="noConversion"/>
  </si>
  <si>
    <r>
      <t>Ⅶ-昌平园北</t>
    </r>
    <r>
      <rPr>
        <sz val="10"/>
        <color indexed="8"/>
        <rFont val="宋体"/>
        <family val="3"/>
        <charset val="134"/>
      </rPr>
      <t>Ⅱ</t>
    </r>
    <phoneticPr fontId="127" type="noConversion"/>
  </si>
  <si>
    <t>Ⅸ-密云开发区</t>
    <phoneticPr fontId="127" type="noConversion"/>
  </si>
  <si>
    <t>Ⅵ-生命科学园</t>
    <phoneticPr fontId="127" type="noConversion"/>
  </si>
  <si>
    <r>
      <t>Ⅶ-昌平园北</t>
    </r>
    <r>
      <rPr>
        <sz val="10"/>
        <color indexed="8"/>
        <rFont val="宋体"/>
        <family val="3"/>
        <charset val="134"/>
      </rPr>
      <t>Ⅲ</t>
    </r>
    <phoneticPr fontId="127" type="noConversion"/>
  </si>
  <si>
    <t>Ⅵ-昌三一光电</t>
    <phoneticPr fontId="127" type="noConversion"/>
  </si>
  <si>
    <t>Ⅶ-BDA东</t>
    <phoneticPr fontId="127" type="noConversion"/>
  </si>
  <si>
    <t>Ⅳ-01</t>
    <phoneticPr fontId="127" type="noConversion"/>
  </si>
  <si>
    <t>Ⅵ-BDA核心</t>
    <phoneticPr fontId="127" type="noConversion"/>
  </si>
  <si>
    <t>Ⅶ-BDA西</t>
    <phoneticPr fontId="127" type="noConversion"/>
  </si>
  <si>
    <t>五级</t>
  </si>
  <si>
    <t>Ⅴ-01</t>
    <phoneticPr fontId="127" type="noConversion"/>
  </si>
  <si>
    <t>六级</t>
  </si>
  <si>
    <t>Ⅵ-01</t>
    <phoneticPr fontId="127" type="noConversion"/>
  </si>
  <si>
    <t>七级</t>
  </si>
  <si>
    <t>Ⅶ-01</t>
    <phoneticPr fontId="127" type="noConversion"/>
  </si>
  <si>
    <t>八级</t>
  </si>
  <si>
    <t>Ⅷ-01</t>
    <phoneticPr fontId="127" type="noConversion"/>
  </si>
  <si>
    <t>九级</t>
  </si>
  <si>
    <t>Ⅸ-01</t>
    <phoneticPr fontId="127" type="noConversion"/>
  </si>
  <si>
    <t>Ⅸ-门1</t>
    <phoneticPr fontId="127" type="noConversion"/>
  </si>
  <si>
    <t>Ⅸ-门2</t>
    <phoneticPr fontId="127" type="noConversion"/>
  </si>
  <si>
    <t>十级</t>
  </si>
  <si>
    <t>Ⅹ-01</t>
    <phoneticPr fontId="127" type="noConversion"/>
  </si>
  <si>
    <t>Ⅹ-门1</t>
    <phoneticPr fontId="127" type="noConversion"/>
  </si>
  <si>
    <t>Ⅹ-门斋</t>
    <phoneticPr fontId="127" type="noConversion"/>
  </si>
  <si>
    <t>Ⅹ-房1</t>
    <phoneticPr fontId="127" type="noConversion"/>
  </si>
  <si>
    <t>Ⅺ-门1</t>
    <phoneticPr fontId="127" type="noConversion"/>
  </si>
  <si>
    <t>Ⅺ-门斋</t>
    <phoneticPr fontId="127" type="noConversion"/>
  </si>
  <si>
    <t>Ⅺ-房1</t>
    <phoneticPr fontId="127" type="noConversion"/>
  </si>
  <si>
    <t>Ⅻ-门1</t>
    <phoneticPr fontId="127" type="noConversion"/>
  </si>
  <si>
    <t>Ⅻ-房1</t>
    <phoneticPr fontId="127" type="noConversion"/>
  </si>
  <si>
    <t>Ⅻ-昌1</t>
    <phoneticPr fontId="127" type="noConversion"/>
  </si>
  <si>
    <t>Ⅻ-平1</t>
    <phoneticPr fontId="127" type="noConversion"/>
  </si>
  <si>
    <t>土地级别</t>
    <phoneticPr fontId="127" type="noConversion"/>
  </si>
  <si>
    <t>工业</t>
    <phoneticPr fontId="127" type="noConversion"/>
  </si>
  <si>
    <t>通路</t>
    <phoneticPr fontId="127" type="noConversion"/>
  </si>
  <si>
    <t>通电</t>
    <phoneticPr fontId="127" type="noConversion"/>
  </si>
  <si>
    <t>通讯</t>
    <phoneticPr fontId="127" type="noConversion"/>
  </si>
  <si>
    <t>通上水</t>
    <phoneticPr fontId="127" type="noConversion"/>
  </si>
  <si>
    <t>通下水</t>
    <phoneticPr fontId="127" type="noConversion"/>
  </si>
  <si>
    <t>通热</t>
    <phoneticPr fontId="127" type="noConversion"/>
  </si>
  <si>
    <t>燃气</t>
    <phoneticPr fontId="127" type="noConversion"/>
  </si>
  <si>
    <t>平整</t>
    <phoneticPr fontId="127" type="noConversion"/>
  </si>
  <si>
    <t>——</t>
    <phoneticPr fontId="127" type="noConversion"/>
  </si>
  <si>
    <t>北京市基准地价用途修正系数表</t>
    <phoneticPr fontId="127" type="noConversion"/>
  </si>
  <si>
    <t>用途</t>
    <phoneticPr fontId="127" type="noConversion"/>
  </si>
  <si>
    <t>用途类别划分</t>
    <phoneticPr fontId="127" type="noConversion"/>
  </si>
  <si>
    <t>用途修正  系数</t>
    <phoneticPr fontId="127" type="noConversion"/>
  </si>
  <si>
    <t>比准类别</t>
    <phoneticPr fontId="127" type="noConversion"/>
  </si>
  <si>
    <t>批发零售用地</t>
    <phoneticPr fontId="127" type="noConversion"/>
  </si>
  <si>
    <t>（指主要用于商品批发、零售的用地，包括商场、商店、超市、各类批发（零售）市场、加油站等及其附属的小型仓库、车间、工场等）</t>
    <phoneticPr fontId="127" type="noConversion"/>
  </si>
  <si>
    <t>其他类别</t>
    <phoneticPr fontId="127" type="noConversion"/>
  </si>
  <si>
    <t>住宿餐饮用地</t>
    <phoneticPr fontId="127" type="noConversion"/>
  </si>
  <si>
    <t>（指主要用于提供住宿、餐饮服务的用地，包括宾馆、酒店、饭店、旅馆、招待所、度假村、餐厅、酒吧等）</t>
    <phoneticPr fontId="127" type="noConversion"/>
  </si>
  <si>
    <t>商务金融用地（商业类）</t>
    <phoneticPr fontId="127" type="noConversion"/>
  </si>
  <si>
    <t>（指金融、证券、通讯、保险等营业网点用地）</t>
    <phoneticPr fontId="127" type="noConversion"/>
  </si>
  <si>
    <t>其他商服用地</t>
    <phoneticPr fontId="127" type="noConversion"/>
  </si>
  <si>
    <t>（指上述用地以外的其他商业、服务业用地，包括洗车场、洗染店、废旧物资回收站、维修网点、照相馆、理发美容店、洗浴场所、俱乐部、康乐中心、歌舞厅、赛车场、影视基地、影剧院、邮政、电信营业网点等）</t>
    <phoneticPr fontId="127" type="noConversion"/>
  </si>
  <si>
    <t>殡葬用地等特殊用地</t>
    <phoneticPr fontId="127" type="noConversion"/>
  </si>
  <si>
    <t>商务金融用地（办公类）</t>
    <phoneticPr fontId="127" type="noConversion"/>
  </si>
  <si>
    <t>（指企业、服务业等办公用地，以及经营性的办公场所用地，包括写字楼、商业性办公楼和企业厂区外独立的办公楼）</t>
    <phoneticPr fontId="127" type="noConversion"/>
  </si>
  <si>
    <t>其他商服用地（停车场、停车楼等用地）</t>
    <phoneticPr fontId="127" type="noConversion"/>
  </si>
  <si>
    <t>其他商服用地（指展览馆、会展中心等用地）</t>
    <phoneticPr fontId="127" type="noConversion"/>
  </si>
  <si>
    <t>机场航站楼用地</t>
    <phoneticPr fontId="127" type="noConversion"/>
  </si>
  <si>
    <t>科教用地</t>
    <phoneticPr fontId="127" type="noConversion"/>
  </si>
  <si>
    <t>（指用于各类教育，独立的科研、勘测、设计、技术推广、科普等的用地）</t>
    <phoneticPr fontId="127" type="noConversion"/>
  </si>
  <si>
    <t>新闻出版用地</t>
    <phoneticPr fontId="127" type="noConversion"/>
  </si>
  <si>
    <t>（指用于广播电台、电视台、电影厂、报社、杂志社、通讯社、出版社等的用地）、</t>
    <phoneticPr fontId="127" type="noConversion"/>
  </si>
  <si>
    <t>机关团体用地</t>
    <phoneticPr fontId="127" type="noConversion"/>
  </si>
  <si>
    <t>（指用于党政机关、社会团体、群众自治组织等的用地）</t>
    <phoneticPr fontId="127" type="noConversion"/>
  </si>
  <si>
    <t>医卫慈善用地</t>
    <phoneticPr fontId="127" type="noConversion"/>
  </si>
  <si>
    <t>（指用于医疗保健、卫生防疫、急救康复、医检药检、福利救助、养老设施等的用地）</t>
    <phoneticPr fontId="127" type="noConversion"/>
  </si>
  <si>
    <t>文体娱乐用地</t>
    <phoneticPr fontId="127" type="noConversion"/>
  </si>
  <si>
    <t>（指各类文化、体育及公共广场用地）</t>
    <phoneticPr fontId="127" type="noConversion"/>
  </si>
  <si>
    <t>产业用地</t>
    <phoneticPr fontId="127" type="noConversion"/>
  </si>
  <si>
    <t>（指高新技术产业研发与展示中心等产业用地）</t>
    <phoneticPr fontId="127" type="noConversion"/>
  </si>
  <si>
    <t>居住</t>
    <phoneticPr fontId="127" type="noConversion"/>
  </si>
  <si>
    <t>居住用地（指二类居住用地）</t>
    <phoneticPr fontId="127" type="noConversion"/>
  </si>
  <si>
    <t>（指二类居住用地（地上容积率≥１。）</t>
    <phoneticPr fontId="127" type="noConversion"/>
  </si>
  <si>
    <t>居住用地（指一类居住用地）</t>
    <phoneticPr fontId="127" type="noConversion"/>
  </si>
  <si>
    <t>（指一类居住用地（地上容积率＜１。）</t>
    <phoneticPr fontId="127" type="noConversion"/>
  </si>
  <si>
    <t>工业用地</t>
    <phoneticPr fontId="127" type="noConversion"/>
  </si>
  <si>
    <t>（指工业生产及直接为工业生产服务的附属设施用地）</t>
    <phoneticPr fontId="127" type="noConversion"/>
  </si>
  <si>
    <t>采矿用地</t>
    <phoneticPr fontId="127" type="noConversion"/>
  </si>
  <si>
    <t>（指采矿、采石、采砂（沙）场，盐田，砖瓦窑等地面生产设施及尾矿堆放地）</t>
    <phoneticPr fontId="127" type="noConversion"/>
  </si>
  <si>
    <t>仓储用地</t>
    <phoneticPr fontId="127" type="noConversion"/>
  </si>
  <si>
    <t>（指用于物资储备、中转的物流仓储场所等用地）</t>
    <phoneticPr fontId="127" type="noConversion"/>
  </si>
  <si>
    <t>公共设施用地</t>
    <phoneticPr fontId="127" type="noConversion"/>
  </si>
  <si>
    <t>（指用于城乡基础设施的用地，包括给排水、供电、供热、供气、邮政、电信、消防、环卫、公用设施维修等用地。）</t>
    <phoneticPr fontId="127" type="noConversion"/>
  </si>
  <si>
    <t>交通用地</t>
    <phoneticPr fontId="127" type="noConversion"/>
  </si>
  <si>
    <t>（指铁路用地、公路用地、机场用地、管道运输用地等，包括铁路、公路、机场、管道运输的地面线路、站场等用地以及城市道路、车站及其相应附属设施用地）</t>
    <phoneticPr fontId="127" type="noConversion"/>
  </si>
  <si>
    <t>备注：本用途修正系数仅适用于地上部分各类用途的修正，地下空间部分不适用上表中的用途修正，直接使用地下空间修正</t>
    <phoneticPr fontId="127" type="noConversion"/>
  </si>
  <si>
    <t>地下</t>
    <phoneticPr fontId="127" type="noConversion"/>
  </si>
  <si>
    <t>地下仓储</t>
    <phoneticPr fontId="127" type="noConversion"/>
  </si>
  <si>
    <t>车库</t>
    <phoneticPr fontId="127" type="noConversion"/>
  </si>
  <si>
    <t>—</t>
    <phoneticPr fontId="127" type="noConversion"/>
  </si>
  <si>
    <t>北京市商业路线价加价幅度表</t>
    <phoneticPr fontId="127" type="noConversion"/>
  </si>
  <si>
    <t>序号</t>
    <phoneticPr fontId="127" type="noConversion"/>
  </si>
  <si>
    <t>区县</t>
    <phoneticPr fontId="127" type="noConversion"/>
  </si>
  <si>
    <t>商业街名称</t>
    <phoneticPr fontId="127" type="noConversion"/>
  </si>
  <si>
    <t>起止点</t>
    <phoneticPr fontId="127" type="noConversion"/>
  </si>
  <si>
    <t>加价幅度</t>
    <phoneticPr fontId="127" type="noConversion"/>
  </si>
  <si>
    <t>标准深度（m）</t>
    <phoneticPr fontId="127" type="noConversion"/>
  </si>
  <si>
    <t>东城区</t>
    <phoneticPr fontId="127" type="noConversion"/>
  </si>
  <si>
    <t>东长安街</t>
    <phoneticPr fontId="127" type="noConversion"/>
  </si>
  <si>
    <t>天安门——东单</t>
    <phoneticPr fontId="127" type="noConversion"/>
  </si>
  <si>
    <t>建国门内大街</t>
    <phoneticPr fontId="127" type="noConversion"/>
  </si>
  <si>
    <t>建国门——东单</t>
    <phoneticPr fontId="127" type="noConversion"/>
  </si>
  <si>
    <t>王府井商业街</t>
    <phoneticPr fontId="127" type="noConversion"/>
  </si>
  <si>
    <t>东长安街——五四大街</t>
    <phoneticPr fontId="127" type="noConversion"/>
  </si>
  <si>
    <t>东单北大街</t>
    <phoneticPr fontId="127" type="noConversion"/>
  </si>
  <si>
    <t>金鱼胡同——东单路口</t>
    <phoneticPr fontId="127" type="noConversion"/>
  </si>
  <si>
    <t>东四南大街</t>
    <phoneticPr fontId="127" type="noConversion"/>
  </si>
  <si>
    <t>东四路口——金鱼胡同</t>
    <phoneticPr fontId="127" type="noConversion"/>
  </si>
  <si>
    <t>东直门内大街      （簋街）</t>
    <phoneticPr fontId="127" type="noConversion"/>
  </si>
  <si>
    <t>东直门桥——北新桥</t>
    <phoneticPr fontId="127" type="noConversion"/>
  </si>
  <si>
    <t>北京站东街</t>
    <phoneticPr fontId="127" type="noConversion"/>
  </si>
  <si>
    <t>建国门南大街——北京站</t>
    <phoneticPr fontId="127" type="noConversion"/>
  </si>
  <si>
    <t>北京站街</t>
    <phoneticPr fontId="127" type="noConversion"/>
  </si>
  <si>
    <t>建国门内大街——北京站</t>
    <phoneticPr fontId="127" type="noConversion"/>
  </si>
  <si>
    <t>东四十条</t>
    <phoneticPr fontId="127" type="noConversion"/>
  </si>
  <si>
    <t>东四十条桥——东四北大街</t>
    <phoneticPr fontId="127" type="noConversion"/>
  </si>
  <si>
    <t>张自忠路</t>
    <phoneticPr fontId="127" type="noConversion"/>
  </si>
  <si>
    <t>东四北大街——交道口南大街</t>
    <phoneticPr fontId="127" type="noConversion"/>
  </si>
  <si>
    <t>地安门东大街</t>
    <phoneticPr fontId="127" type="noConversion"/>
  </si>
  <si>
    <t>交道口南大街——地安门外大街</t>
    <phoneticPr fontId="127" type="noConversion"/>
  </si>
  <si>
    <t>前门商业街</t>
    <phoneticPr fontId="127" type="noConversion"/>
  </si>
  <si>
    <t>前门箭楼——珠市口</t>
    <phoneticPr fontId="127" type="noConversion"/>
  </si>
  <si>
    <t>崇外商业街</t>
    <phoneticPr fontId="127" type="noConversion"/>
  </si>
  <si>
    <t>崇文门——磁器口</t>
    <phoneticPr fontId="127" type="noConversion"/>
  </si>
  <si>
    <t>广渠门内大街</t>
    <phoneticPr fontId="127" type="noConversion"/>
  </si>
  <si>
    <t>广渠门——磁器口</t>
    <phoneticPr fontId="127" type="noConversion"/>
  </si>
  <si>
    <t>珠市口东大街</t>
    <phoneticPr fontId="127" type="noConversion"/>
  </si>
  <si>
    <t>磁器口——珠市口</t>
    <phoneticPr fontId="127" type="noConversion"/>
  </si>
  <si>
    <t>西城区</t>
    <phoneticPr fontId="127" type="noConversion"/>
  </si>
  <si>
    <t>西长安街</t>
    <phoneticPr fontId="127" type="noConversion"/>
  </si>
  <si>
    <t>天安门——西单</t>
    <phoneticPr fontId="127" type="noConversion"/>
  </si>
  <si>
    <t>复兴门内大街</t>
    <phoneticPr fontId="127" type="noConversion"/>
  </si>
  <si>
    <t>西单——复兴门</t>
    <phoneticPr fontId="127" type="noConversion"/>
  </si>
  <si>
    <t>复兴门外大街</t>
    <phoneticPr fontId="127" type="noConversion"/>
  </si>
  <si>
    <t>复兴门——木樨地</t>
    <phoneticPr fontId="127" type="noConversion"/>
  </si>
  <si>
    <t>西单商业街</t>
    <phoneticPr fontId="127" type="noConversion"/>
  </si>
  <si>
    <t>西单——辟才胡同</t>
    <phoneticPr fontId="127" type="noConversion"/>
  </si>
  <si>
    <t>西四商业街</t>
    <phoneticPr fontId="127" type="noConversion"/>
  </si>
  <si>
    <t>辟才胡同——平安里</t>
    <phoneticPr fontId="127" type="noConversion"/>
  </si>
  <si>
    <t>新街口商业街</t>
    <phoneticPr fontId="127" type="noConversion"/>
  </si>
  <si>
    <t>平安里——积水潭桥</t>
    <phoneticPr fontId="127" type="noConversion"/>
  </si>
  <si>
    <t>双旗杆西街       （福利特商业街）</t>
    <phoneticPr fontId="127" type="noConversion"/>
  </si>
  <si>
    <t>北三环中路——黄寺大街</t>
    <phoneticPr fontId="127" type="noConversion"/>
  </si>
  <si>
    <t>地安门西大街</t>
    <phoneticPr fontId="127" type="noConversion"/>
  </si>
  <si>
    <t>地安门外大街——新街口南大街</t>
    <phoneticPr fontId="127" type="noConversion"/>
  </si>
  <si>
    <t>平安里西大街</t>
    <phoneticPr fontId="127" type="noConversion"/>
  </si>
  <si>
    <t>新街口南大街——车公庄</t>
    <phoneticPr fontId="127" type="noConversion"/>
  </si>
  <si>
    <t>大栅栏商业街</t>
    <phoneticPr fontId="127" type="noConversion"/>
  </si>
  <si>
    <t>前门大街——煤市街</t>
    <phoneticPr fontId="127" type="noConversion"/>
  </si>
  <si>
    <t>珠市口西大街</t>
    <phoneticPr fontId="127" type="noConversion"/>
  </si>
  <si>
    <t>珠市口——南新华街</t>
    <phoneticPr fontId="127" type="noConversion"/>
  </si>
  <si>
    <t>骡马市大街</t>
    <phoneticPr fontId="127" type="noConversion"/>
  </si>
  <si>
    <t>南新华街——菜市口</t>
    <phoneticPr fontId="127" type="noConversion"/>
  </si>
  <si>
    <t>广安门内大街</t>
    <phoneticPr fontId="127" type="noConversion"/>
  </si>
  <si>
    <t>菜市口——广安门桥</t>
    <phoneticPr fontId="127" type="noConversion"/>
  </si>
  <si>
    <t>宣武门外大街</t>
    <phoneticPr fontId="127" type="noConversion"/>
  </si>
  <si>
    <t>宣武门——菜市口</t>
    <phoneticPr fontId="127" type="noConversion"/>
  </si>
  <si>
    <t>菜市口大街</t>
    <phoneticPr fontId="127" type="noConversion"/>
  </si>
  <si>
    <t>菜市口——开阳桥</t>
    <phoneticPr fontId="127" type="noConversion"/>
  </si>
  <si>
    <t>马连道路</t>
    <phoneticPr fontId="127" type="noConversion"/>
  </si>
  <si>
    <t>广安门外大街——红莲南路</t>
    <phoneticPr fontId="127" type="noConversion"/>
  </si>
  <si>
    <t>朝阳区</t>
    <phoneticPr fontId="127" type="noConversion"/>
  </si>
  <si>
    <t>朝外商业街</t>
    <phoneticPr fontId="127" type="noConversion"/>
  </si>
  <si>
    <t>朝阳门——东大桥</t>
    <phoneticPr fontId="127" type="noConversion"/>
  </si>
  <si>
    <t>安立路</t>
    <phoneticPr fontId="127" type="noConversion"/>
  </si>
  <si>
    <t>安慧桥——慧忠北路</t>
    <phoneticPr fontId="127" type="noConversion"/>
  </si>
  <si>
    <t>三里屯路</t>
    <phoneticPr fontId="127" type="noConversion"/>
  </si>
  <si>
    <t>工人体育场北路——东直门外大街</t>
    <phoneticPr fontId="127" type="noConversion"/>
  </si>
  <si>
    <t>秀水街</t>
    <phoneticPr fontId="127" type="noConversion"/>
  </si>
  <si>
    <t>建国门外大街——光华路</t>
    <phoneticPr fontId="127" type="noConversion"/>
  </si>
  <si>
    <t>大羊坊路         （十里河建材商业街）</t>
    <phoneticPr fontId="127" type="noConversion"/>
  </si>
  <si>
    <t>十里河桥——小武基路</t>
    <phoneticPr fontId="127" type="noConversion"/>
  </si>
  <si>
    <t>建国门外大街</t>
    <phoneticPr fontId="127" type="noConversion"/>
  </si>
  <si>
    <t>建国门桥——国贸桥</t>
    <phoneticPr fontId="127" type="noConversion"/>
  </si>
  <si>
    <t>建国路</t>
    <phoneticPr fontId="127" type="noConversion"/>
  </si>
  <si>
    <t>国贸桥——西大望路</t>
    <phoneticPr fontId="127" type="noConversion"/>
  </si>
  <si>
    <t>海淀区</t>
    <phoneticPr fontId="127" type="noConversion"/>
  </si>
  <si>
    <t>中关村大街</t>
    <phoneticPr fontId="127" type="noConversion"/>
  </si>
  <si>
    <t>海淀南路——北四环</t>
    <phoneticPr fontId="127" type="noConversion"/>
  </si>
  <si>
    <t>复兴路</t>
    <phoneticPr fontId="127" type="noConversion"/>
  </si>
  <si>
    <t>木樨地——万寿路</t>
    <phoneticPr fontId="127" type="noConversion"/>
  </si>
  <si>
    <t>海淀中路</t>
    <phoneticPr fontId="127" type="noConversion"/>
  </si>
  <si>
    <t>丰台区</t>
    <phoneticPr fontId="127" type="noConversion"/>
  </si>
  <si>
    <t>蒲芳路、紫芳路    （方庄商业街）</t>
    <phoneticPr fontId="127" type="noConversion"/>
  </si>
  <si>
    <t>蒲黄榆路——方庄东路</t>
    <phoneticPr fontId="127" type="noConversion"/>
  </si>
  <si>
    <t>石景山区</t>
    <phoneticPr fontId="127" type="noConversion"/>
  </si>
  <si>
    <t>石景山路</t>
    <phoneticPr fontId="127" type="noConversion"/>
  </si>
  <si>
    <t>八宝山——八角桥</t>
    <phoneticPr fontId="127" type="noConversion"/>
  </si>
  <si>
    <t>门头沟区</t>
    <phoneticPr fontId="127" type="noConversion"/>
  </si>
  <si>
    <t>新桥大街</t>
    <phoneticPr fontId="127" type="noConversion"/>
  </si>
  <si>
    <t>门头沟路——双峪路</t>
    <phoneticPr fontId="127" type="noConversion"/>
  </si>
  <si>
    <t>房山区</t>
    <phoneticPr fontId="127" type="noConversion"/>
  </si>
  <si>
    <t>南关大街</t>
    <phoneticPr fontId="127" type="noConversion"/>
  </si>
  <si>
    <t>房山东大街——南关立交桥</t>
    <phoneticPr fontId="127" type="noConversion"/>
  </si>
  <si>
    <t>拱辰大街</t>
    <phoneticPr fontId="127" type="noConversion"/>
  </si>
  <si>
    <t>良乡中路——月华大街</t>
    <phoneticPr fontId="127" type="noConversion"/>
  </si>
  <si>
    <t>通州区</t>
    <phoneticPr fontId="127" type="noConversion"/>
  </si>
  <si>
    <t>新华大街</t>
    <phoneticPr fontId="127" type="noConversion"/>
  </si>
  <si>
    <t>车站路——通惠南路</t>
    <phoneticPr fontId="127" type="noConversion"/>
  </si>
  <si>
    <t>云景东路</t>
    <phoneticPr fontId="127" type="noConversion"/>
  </si>
  <si>
    <t>地铁八通线——云景南大街</t>
    <phoneticPr fontId="127" type="noConversion"/>
  </si>
  <si>
    <t>顺义区</t>
    <phoneticPr fontId="127" type="noConversion"/>
  </si>
  <si>
    <t>新顺大街</t>
    <phoneticPr fontId="127" type="noConversion"/>
  </si>
  <si>
    <t>幸福西街——站前街</t>
    <phoneticPr fontId="127" type="noConversion"/>
  </si>
  <si>
    <t>大兴区</t>
    <phoneticPr fontId="127" type="noConversion"/>
  </si>
  <si>
    <t>兴华大街</t>
    <phoneticPr fontId="127" type="noConversion"/>
  </si>
  <si>
    <t>金星西路——黄村火车站</t>
    <phoneticPr fontId="127" type="noConversion"/>
  </si>
  <si>
    <t>昌平区</t>
    <phoneticPr fontId="127" type="noConversion"/>
  </si>
  <si>
    <t>回龙观西大街</t>
    <phoneticPr fontId="127" type="noConversion"/>
  </si>
  <si>
    <t>京藏高速公路——文华西路</t>
    <phoneticPr fontId="127" type="noConversion"/>
  </si>
  <si>
    <t>鼓楼东、西街</t>
    <phoneticPr fontId="127" type="noConversion"/>
  </si>
  <si>
    <t>东环路——西环路</t>
    <phoneticPr fontId="127" type="noConversion"/>
  </si>
  <si>
    <t>鼓楼南、北街</t>
    <phoneticPr fontId="127" type="noConversion"/>
  </si>
  <si>
    <t>北环路——府学路</t>
    <phoneticPr fontId="127" type="noConversion"/>
  </si>
  <si>
    <t>平谷区</t>
    <phoneticPr fontId="127" type="noConversion"/>
  </si>
  <si>
    <t>步行街</t>
    <phoneticPr fontId="127" type="noConversion"/>
  </si>
  <si>
    <t>文化北街——向阳北街</t>
    <phoneticPr fontId="127" type="noConversion"/>
  </si>
  <si>
    <t>怀柔区</t>
    <phoneticPr fontId="127" type="noConversion"/>
  </si>
  <si>
    <t>商业街</t>
    <phoneticPr fontId="127" type="noConversion"/>
  </si>
  <si>
    <t>迎宾路——青春路</t>
    <phoneticPr fontId="127" type="noConversion"/>
  </si>
  <si>
    <t>密云县</t>
    <phoneticPr fontId="127" type="noConversion"/>
  </si>
  <si>
    <t>鼓楼东、西大街</t>
    <phoneticPr fontId="127" type="noConversion"/>
  </si>
  <si>
    <t>新中街——南更道</t>
    <phoneticPr fontId="127" type="noConversion"/>
  </si>
  <si>
    <t>鼓楼大街</t>
    <phoneticPr fontId="127" type="noConversion"/>
  </si>
  <si>
    <t>西大桥路——康复路</t>
    <phoneticPr fontId="127" type="noConversion"/>
  </si>
  <si>
    <t>延庆县</t>
    <phoneticPr fontId="127" type="noConversion"/>
  </si>
  <si>
    <t>东外大街</t>
    <phoneticPr fontId="127" type="noConversion"/>
  </si>
  <si>
    <t>香苑街——东顺城街</t>
    <phoneticPr fontId="127" type="noConversion"/>
  </si>
  <si>
    <t>不临58条商业街</t>
    <phoneticPr fontId="127" type="noConversion"/>
  </si>
  <si>
    <t>北京市基准地价商业用途楼层修正系数表</t>
    <phoneticPr fontId="127" type="noConversion"/>
  </si>
  <si>
    <t>所在楼层</t>
    <phoneticPr fontId="127" type="noConversion"/>
  </si>
  <si>
    <t>楼层修正系数</t>
    <phoneticPr fontId="127" type="noConversion"/>
  </si>
  <si>
    <t>7层及以上</t>
    <phoneticPr fontId="127" type="noConversion"/>
  </si>
  <si>
    <r>
      <t>商业R</t>
    </r>
    <r>
      <rPr>
        <sz val="10"/>
        <color indexed="8"/>
        <rFont val="宋体"/>
        <family val="3"/>
        <charset val="134"/>
      </rPr>
      <t>&lt;1</t>
    </r>
    <phoneticPr fontId="127" type="noConversion"/>
  </si>
  <si>
    <t>地上第7层及以上各层</t>
    <phoneticPr fontId="127" type="noConversion"/>
  </si>
  <si>
    <t>说明：R为宗地地上容积率</t>
    <phoneticPr fontId="127" type="noConversion"/>
  </si>
  <si>
    <t>基准地价</t>
    <phoneticPr fontId="16" type="noConversion"/>
  </si>
  <si>
    <t>*</t>
    <phoneticPr fontId="16" type="noConversion"/>
  </si>
  <si>
    <t>无</t>
    <phoneticPr fontId="126" type="noConversion"/>
  </si>
  <si>
    <t>二级分类</t>
    <phoneticPr fontId="127"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</si>
  <si>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</si>
  <si>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</si>
  <si>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</si>
  <si>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</si>
  <si>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</si>
  <si>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</si>
  <si>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</si>
  <si>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</si>
  <si>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</si>
  <si>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</si>
  <si>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</si>
  <si>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</si>
  <si>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</si>
  <si>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</si>
  <si>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</si>
  <si>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</si>
  <si>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</si>
  <si>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</si>
  <si>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</si>
  <si>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</si>
  <si>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</si>
  <si>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</si>
  <si>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</si>
  <si>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</si>
  <si>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</si>
  <si>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</si>
  <si>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</si>
  <si>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</si>
  <si>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</si>
  <si>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</si>
  <si>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</si>
  <si>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</si>
  <si>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6"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</si>
  <si>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</si>
  <si>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</si>
  <si>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</si>
  <si>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</si>
  <si>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</si>
  <si>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</si>
  <si>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</si>
  <si>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</si>
  <si>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</si>
  <si>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</si>
  <si>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7"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</si>
  <si>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</si>
  <si>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</si>
  <si>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</si>
  <si>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</si>
  <si>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</si>
  <si>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</si>
  <si>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7" type="noConversion"/>
  </si>
  <si>
    <r>
      <rPr>
        <sz val="10"/>
        <color indexed="10"/>
        <rFont val="仿宋_GB2312"/>
        <family val="3"/>
        <charset val="134"/>
      </rPr>
      <t>依据《北京市区片基准地价表》，能否通过用途和级别筛选？</t>
    </r>
    <phoneticPr fontId="127" type="noConversion"/>
  </si>
  <si>
    <r>
      <rPr>
        <sz val="10"/>
        <color indexed="8"/>
        <rFont val="仿宋_GB2312"/>
        <family val="3"/>
        <charset val="134"/>
      </rPr>
      <t>特殊情况</t>
    </r>
    <phoneticPr fontId="127" type="noConversion"/>
  </si>
  <si>
    <r>
      <rPr>
        <sz val="10"/>
        <color indexed="8"/>
        <rFont val="仿宋_GB2312"/>
        <family val="3"/>
        <charset val="134"/>
      </rPr>
      <t>公园</t>
    </r>
    <phoneticPr fontId="127" type="noConversion"/>
  </si>
  <si>
    <r>
      <rPr>
        <sz val="10"/>
        <color indexed="8"/>
        <rFont val="仿宋_GB2312"/>
        <family val="3"/>
        <charset val="134"/>
      </rPr>
      <t>水系</t>
    </r>
    <phoneticPr fontId="127" type="noConversion"/>
  </si>
  <si>
    <r>
      <rPr>
        <sz val="10"/>
        <color indexed="8"/>
        <rFont val="仿宋_GB2312"/>
        <family val="3"/>
        <charset val="134"/>
      </rPr>
      <t>中小学名校</t>
    </r>
    <phoneticPr fontId="127" type="noConversion"/>
  </si>
  <si>
    <r>
      <rPr>
        <sz val="10"/>
        <color indexed="8"/>
        <rFont val="仿宋_GB2312"/>
        <family val="3"/>
        <charset val="134"/>
      </rPr>
      <t>修正系数</t>
    </r>
    <phoneticPr fontId="127"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</si>
  <si>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7" type="noConversion"/>
  </si>
  <si>
    <r>
      <t>R</t>
    </r>
    <r>
      <rPr>
        <sz val="11"/>
        <rFont val="仿宋_GB2312"/>
        <family val="3"/>
        <charset val="134"/>
      </rPr>
      <t>≤</t>
    </r>
    <r>
      <rPr>
        <sz val="11"/>
        <rFont val="Arial"/>
        <family val="2"/>
      </rPr>
      <t>10</t>
    </r>
    <phoneticPr fontId="127" type="noConversion"/>
  </si>
  <si>
    <r>
      <rPr>
        <sz val="10"/>
        <rFont val="仿宋_GB2312"/>
        <family val="3"/>
        <charset val="134"/>
      </rPr>
      <t>政府土地出让收益比例</t>
    </r>
    <phoneticPr fontId="127" type="noConversion"/>
  </si>
  <si>
    <r>
      <rPr>
        <sz val="10"/>
        <rFont val="仿宋_GB2312"/>
        <family val="3"/>
        <charset val="134"/>
      </rPr>
      <t>工业</t>
    </r>
    <phoneticPr fontId="127"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</si>
  <si>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7"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</si>
  <si>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</si>
  <si>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</si>
  <si>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</si>
  <si>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</si>
  <si>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</si>
  <si>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</si>
  <si>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</si>
  <si>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</si>
  <si>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</si>
  <si>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</si>
  <si>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</si>
  <si>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</si>
  <si>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</si>
  <si>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</si>
  <si>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</si>
  <si>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</si>
  <si>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33" type="noConversion"/>
  </si>
  <si>
    <t>外省市地下修正系数请自行录入</t>
    <phoneticPr fontId="133"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</si>
  <si>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</si>
  <si>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</si>
  <si>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</si>
  <si>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</si>
  <si>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</si>
  <si>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</si>
  <si>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</si>
  <si>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</si>
  <si>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</si>
  <si>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</si>
  <si>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</si>
  <si>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</si>
  <si>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</si>
  <si>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</si>
  <si>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</si>
  <si>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</si>
  <si>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</si>
  <si>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</si>
  <si>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</si>
  <si>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</si>
  <si>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</si>
  <si>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</si>
  <si>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</si>
  <si>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</si>
  <si>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</si>
  <si>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</si>
  <si>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</si>
  <si>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</si>
  <si>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</si>
  <si>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</si>
  <si>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</si>
  <si>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</si>
  <si>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</si>
  <si>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</si>
  <si>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</si>
  <si>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</si>
  <si>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</si>
  <si>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</si>
  <si>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</si>
  <si>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</si>
  <si>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</si>
  <si>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</si>
  <si>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</si>
  <si>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</si>
  <si>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</si>
  <si>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</si>
  <si>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</si>
  <si>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</si>
  <si>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</si>
  <si>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</si>
  <si>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</si>
  <si>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</si>
  <si>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</si>
  <si>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</si>
  <si>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</si>
  <si>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</si>
  <si>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</si>
  <si>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</si>
  <si>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</si>
  <si>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</si>
  <si>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</si>
  <si>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</si>
  <si>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</si>
  <si>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</si>
  <si>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</si>
  <si>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</si>
  <si>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</si>
  <si>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</si>
  <si>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</si>
  <si>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</si>
  <si>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</si>
  <si>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</si>
  <si>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</si>
  <si>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</si>
  <si>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</si>
  <si>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</si>
  <si>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</si>
  <si>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</si>
  <si>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</si>
  <si>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</si>
  <si>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</si>
  <si>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</si>
  <si>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</si>
  <si>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</si>
  <si>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</si>
  <si>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</si>
  <si>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</si>
  <si>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</si>
  <si>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</si>
  <si>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</si>
  <si>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</si>
  <si>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</si>
  <si>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</si>
  <si>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</si>
  <si>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</si>
  <si>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</si>
  <si>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</si>
  <si>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</si>
  <si>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</si>
  <si>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</si>
  <si>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</si>
  <si>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</si>
  <si>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</si>
  <si>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</si>
  <si>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</si>
  <si>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</si>
  <si>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</si>
  <si>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</si>
  <si>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</si>
  <si>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</si>
  <si>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</si>
  <si>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</si>
  <si>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</si>
  <si>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</si>
  <si>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</si>
  <si>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</si>
  <si>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</si>
  <si>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</si>
  <si>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</si>
  <si>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</si>
  <si>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</si>
  <si>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</si>
  <si>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</si>
  <si>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</si>
  <si>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</si>
  <si>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</si>
  <si>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</si>
  <si>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</si>
  <si>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</si>
  <si>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</si>
  <si>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</si>
  <si>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</si>
  <si>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</si>
  <si>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</si>
  <si>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</si>
  <si>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</si>
  <si>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</si>
  <si>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</si>
  <si>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</si>
  <si>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</si>
  <si>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</si>
  <si>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3" type="noConversion"/>
  </si>
  <si>
    <r>
      <t xml:space="preserve">4. </t>
    </r>
    <r>
      <rPr>
        <b/>
        <sz val="11"/>
        <color indexed="8"/>
        <rFont val="仿宋_GB2312"/>
        <family val="3"/>
        <charset val="134"/>
      </rPr>
      <t>土地价格</t>
    </r>
    <phoneticPr fontId="17" type="noConversion"/>
  </si>
  <si>
    <t>（6）</t>
    <phoneticPr fontId="43" type="noConversion"/>
  </si>
  <si>
    <t>（7）</t>
  </si>
  <si>
    <t>（8）</t>
  </si>
  <si>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</si>
  <si>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</si>
  <si>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</si>
  <si>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</si>
  <si>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</si>
  <si>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</si>
  <si>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</si>
  <si>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</si>
  <si>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</si>
  <si>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</si>
  <si>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</si>
  <si>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</si>
  <si>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</si>
  <si>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</si>
  <si>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</si>
  <si>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</si>
  <si>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</si>
  <si>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</si>
  <si>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</si>
  <si>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</si>
  <si>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</si>
  <si>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</si>
  <si>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</si>
  <si>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</si>
  <si>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</si>
  <si>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</si>
  <si>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</si>
  <si>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</si>
  <si>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</si>
  <si>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</si>
  <si>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工业</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</si>
  <si>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</si>
  <si>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</si>
  <si>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</si>
  <si>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</si>
  <si>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</si>
  <si>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</si>
  <si>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</si>
  <si>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</si>
  <si>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</si>
  <si>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</si>
  <si>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</si>
  <si>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</si>
  <si>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</si>
  <si>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</si>
  <si>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</si>
  <si>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</si>
  <si>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</si>
  <si>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</si>
  <si>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</si>
  <si>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</si>
  <si>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</si>
  <si>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</si>
  <si>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</si>
  <si>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</si>
  <si>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</si>
  <si>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</si>
  <si>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</si>
  <si>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</si>
  <si>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</si>
  <si>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</si>
  <si>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</si>
  <si>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</si>
  <si>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</si>
  <si>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</si>
  <si>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</si>
  <si>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</si>
  <si>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</si>
  <si>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</si>
  <si>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</si>
  <si>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</si>
  <si>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</si>
  <si>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</si>
  <si>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</si>
  <si>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</si>
  <si>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</si>
  <si>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</si>
  <si>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</si>
  <si>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</si>
  <si>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</si>
  <si>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</si>
  <si>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</si>
  <si>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</si>
  <si>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办公</t>
    <phoneticPr fontId="5" type="noConversion"/>
  </si>
  <si>
    <t>车库</t>
    <phoneticPr fontId="5" type="noConversion"/>
  </si>
  <si>
    <t>仓储</t>
    <phoneticPr fontId="5" type="noConversion"/>
  </si>
  <si>
    <t>工业</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</si>
  <si>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</si>
  <si>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</si>
  <si>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</si>
  <si>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</si>
  <si>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</si>
  <si>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</si>
  <si>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</si>
  <si>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</si>
  <si>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</si>
  <si>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</si>
  <si>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</si>
  <si>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</si>
  <si>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</si>
  <si>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</si>
  <si>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</si>
  <si>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</si>
  <si>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</si>
  <si>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</si>
  <si>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</si>
  <si>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</si>
  <si>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</si>
  <si>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</si>
  <si>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</si>
  <si>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</si>
  <si>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</si>
  <si>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</si>
  <si>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</si>
  <si>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</si>
  <si>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</si>
  <si>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</si>
  <si>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</si>
  <si>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</si>
  <si>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</si>
  <si>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</si>
  <si>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</si>
  <si>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</si>
  <si>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</si>
  <si>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</si>
  <si>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</si>
  <si>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</si>
  <si>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</si>
  <si>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</si>
  <si>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</si>
  <si>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</si>
  <si>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</si>
  <si>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</si>
  <si>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</si>
  <si>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</si>
  <si>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</si>
  <si>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</si>
  <si>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</si>
  <si>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</si>
  <si>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</si>
  <si>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</si>
  <si>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</si>
  <si>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</si>
  <si>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</si>
  <si>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</si>
  <si>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</si>
  <si>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</si>
  <si>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</si>
  <si>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</si>
  <si>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</si>
  <si>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</si>
  <si>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</si>
  <si>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</si>
  <si>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</si>
  <si>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</si>
  <si>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</si>
  <si>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</si>
  <si>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</si>
  <si>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</si>
  <si>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</si>
  <si>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9"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</si>
  <si>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</si>
  <si>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</si>
  <si>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</si>
  <si>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</si>
  <si>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</si>
  <si>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</si>
  <si>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</si>
  <si>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</si>
  <si>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</si>
  <si>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9" type="noConversion"/>
  </si>
  <si>
    <t>估价机构：北京康正宏基房地产评估有限公司</t>
  </si>
  <si>
    <t>估价机构：北京康正宏基房地产评估有限公司</t>
    <phoneticPr fontId="139" type="noConversion"/>
  </si>
  <si>
    <t>币种：人民币</t>
    <phoneticPr fontId="139" type="noConversion"/>
  </si>
  <si>
    <t>证载（或批准）</t>
    <phoneticPr fontId="139" type="noConversion"/>
  </si>
  <si>
    <t>单位面积地价/元/㎡</t>
    <phoneticPr fontId="139" type="noConversion"/>
  </si>
  <si>
    <t>二、其他需要说明的事项：</t>
    <phoneticPr fontId="139"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</si>
  <si>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</si>
  <si>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</si>
  <si>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</si>
  <si>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</si>
  <si>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</si>
  <si>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</si>
  <si>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</si>
  <si>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</si>
  <si>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9" type="noConversion"/>
  </si>
  <si>
    <t>宗地内平整情况设定为：</t>
    <phoneticPr fontId="8" type="noConversion"/>
  </si>
  <si>
    <t>估价结果（过程）</t>
    <phoneticPr fontId="144" type="noConversion"/>
  </si>
  <si>
    <t>估价对象范围</t>
    <phoneticPr fontId="144" type="noConversion"/>
  </si>
  <si>
    <t>估价对象状态</t>
    <phoneticPr fontId="144"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</si>
  <si>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</si>
  <si>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</si>
  <si>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</si>
  <si>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</si>
  <si>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</si>
  <si>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</si>
  <si>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</si>
  <si>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9" type="noConversion"/>
  </si>
  <si>
    <t>4.影响价格的其他限定条件：无。</t>
    <phoneticPr fontId="139"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</si>
  <si>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</si>
  <si>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9"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</si>
  <si>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</si>
  <si>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</si>
  <si>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</si>
  <si>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9" type="noConversion"/>
  </si>
  <si>
    <t>3.规划利用条件</t>
    <phoneticPr fontId="139" type="noConversion"/>
  </si>
  <si>
    <t>4.土地使用年限</t>
    <phoneticPr fontId="139" type="noConversion"/>
  </si>
  <si>
    <t>5.地价定义</t>
    <phoneticPr fontId="139" type="noConversion"/>
  </si>
  <si>
    <t>车位数</t>
    <phoneticPr fontId="29" type="noConversion"/>
  </si>
  <si>
    <t>成交单价</t>
    <phoneticPr fontId="5" type="noConversion"/>
  </si>
  <si>
    <t>元/平方米</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</si>
  <si>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</si>
  <si>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</si>
  <si>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</si>
  <si>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</si>
  <si>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</si>
  <si>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</si>
  <si>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</si>
  <si>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</si>
  <si>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</si>
  <si>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</si>
  <si>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</si>
  <si>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</si>
  <si>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</si>
  <si>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</si>
  <si>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</si>
  <si>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</si>
  <si>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</si>
  <si>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</si>
  <si>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</si>
  <si>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</si>
  <si>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</si>
  <si>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</si>
  <si>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</si>
  <si>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</si>
  <si>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</si>
  <si>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</si>
  <si>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</si>
  <si>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</si>
  <si>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</si>
  <si>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</si>
  <si>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</si>
  <si>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</si>
  <si>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</si>
  <si>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</si>
  <si>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</si>
  <si>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</si>
  <si>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</si>
  <si>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</si>
  <si>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</si>
  <si>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</si>
  <si>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</si>
  <si>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</si>
  <si>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</si>
  <si>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</si>
  <si>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</si>
  <si>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</si>
  <si>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</si>
  <si>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</si>
  <si>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</si>
  <si>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</si>
  <si>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</si>
  <si>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</si>
  <si>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</si>
  <si>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</si>
  <si>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</si>
  <si>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</si>
  <si>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</si>
  <si>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</si>
  <si>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</si>
  <si>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</si>
  <si>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</si>
  <si>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</si>
  <si>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</si>
  <si>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</si>
  <si>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</si>
  <si>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</si>
  <si>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</si>
  <si>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</si>
  <si>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</si>
  <si>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</si>
  <si>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</si>
  <si>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</si>
  <si>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</si>
  <si>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</si>
  <si>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</si>
  <si>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</si>
  <si>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</si>
  <si>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</si>
  <si>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</si>
  <si>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</si>
  <si>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</si>
  <si>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</si>
  <si>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</si>
  <si>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</si>
  <si>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</si>
  <si>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</si>
  <si>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</si>
  <si>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</si>
  <si>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</si>
  <si>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</si>
  <si>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</si>
  <si>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</si>
  <si>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</si>
  <si>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</si>
  <si>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</si>
  <si>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</si>
  <si>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</si>
  <si>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</si>
  <si>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</si>
  <si>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</si>
  <si>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</si>
  <si>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</si>
  <si>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</si>
  <si>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</si>
  <si>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</si>
  <si>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</si>
  <si>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</si>
  <si>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</si>
  <si>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</si>
  <si>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</si>
  <si>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</si>
  <si>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</si>
  <si>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</si>
  <si>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</si>
  <si>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</si>
  <si>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</si>
  <si>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</si>
  <si>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</si>
  <si>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</si>
  <si>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</si>
  <si>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</si>
  <si>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</si>
  <si>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</si>
  <si>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</si>
  <si>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</si>
  <si>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</si>
  <si>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</si>
  <si>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</si>
  <si>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</si>
  <si>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</si>
  <si>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</si>
  <si>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</si>
  <si>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</si>
  <si>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</si>
  <si>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</si>
  <si>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</si>
  <si>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</si>
  <si>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</si>
  <si>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</si>
  <si>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</si>
  <si>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</si>
  <si>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</si>
  <si>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</si>
  <si>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</si>
  <si>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</si>
  <si>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</si>
  <si>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</si>
  <si>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</si>
  <si>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</si>
  <si>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</si>
  <si>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</si>
  <si>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</si>
  <si>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</si>
  <si>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</si>
  <si>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十二级</t>
    <phoneticPr fontId="5" type="noConversion"/>
  </si>
  <si>
    <t>Ⅻ-平1</t>
    <phoneticPr fontId="5" type="noConversion"/>
  </si>
  <si>
    <t>Ⅻ-怀1</t>
    <phoneticPr fontId="5" type="noConversion"/>
  </si>
  <si>
    <t>Ⅻ-密1</t>
    <phoneticPr fontId="5" type="noConversion"/>
  </si>
  <si>
    <t>Ⅻ-延1</t>
    <phoneticPr fontId="5"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</si>
  <si>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</si>
  <si>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</si>
  <si>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</si>
  <si>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</si>
  <si>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</si>
  <si>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</si>
  <si>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</si>
  <si>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</si>
  <si>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</si>
  <si>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</si>
  <si>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</si>
  <si>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</si>
  <si>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</si>
  <si>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</si>
  <si>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</si>
  <si>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</si>
  <si>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6" type="noConversion"/>
  </si>
  <si>
    <t>万元/亩</t>
    <phoneticPr fontId="126"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</si>
  <si>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</si>
  <si>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</si>
  <si>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</si>
  <si>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</si>
  <si>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</si>
  <si>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</si>
  <si>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</si>
  <si>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</si>
  <si>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</si>
  <si>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</si>
  <si>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</si>
  <si>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</si>
  <si>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</si>
  <si>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</si>
  <si>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</si>
  <si>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</si>
  <si>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</si>
  <si>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</si>
  <si>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</si>
  <si>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</si>
  <si>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</si>
  <si>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</si>
  <si>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</si>
  <si>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企业提供(在右侧录入)</t>
  </si>
  <si>
    <t>单位面积地价</t>
    <phoneticPr fontId="126"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</si>
  <si>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</si>
  <si>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</si>
  <si>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</si>
  <si>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</si>
  <si>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</si>
  <si>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</si>
  <si>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</si>
  <si>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</si>
  <si>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</si>
  <si>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</si>
  <si>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t>按在建建筑物或建筑物价值(1+5%)的一定比率</t>
    <phoneticPr fontId="43"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</si>
  <si>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</si>
  <si>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</si>
  <si>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</si>
  <si>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</si>
  <si>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</si>
  <si>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</si>
  <si>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</si>
  <si>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</si>
  <si>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</si>
  <si>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</si>
  <si>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</si>
  <si>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</si>
  <si>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</si>
  <si>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</si>
  <si>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</si>
  <si>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</si>
  <si>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</si>
  <si>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</si>
  <si>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</si>
  <si>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</si>
  <si>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</si>
  <si>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</si>
  <si>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</si>
  <si>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</si>
  <si>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</si>
  <si>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</si>
  <si>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</si>
  <si>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</si>
  <si>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</si>
  <si>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</si>
  <si>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</si>
  <si>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</si>
  <si>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</si>
  <si>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</si>
  <si>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</si>
  <si>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</si>
  <si>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</si>
  <si>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</si>
  <si>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</si>
  <si>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</si>
  <si>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</si>
  <si>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</si>
  <si>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</si>
  <si>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</si>
  <si>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t>默认为已完成的土地开发期</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</si>
  <si>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</si>
  <si>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</si>
  <si>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</si>
  <si>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</si>
  <si>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5" type="noConversion"/>
  </si>
  <si>
    <r>
      <rPr>
        <sz val="11"/>
        <color theme="1"/>
        <rFont val="楷体_GB2312"/>
        <family val="3"/>
        <charset val="134"/>
      </rPr>
      <t>请录依据文件名称：</t>
    </r>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</si>
  <si>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</si>
  <si>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</si>
  <si>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</si>
  <si>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</si>
  <si>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</si>
  <si>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</si>
  <si>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</si>
  <si>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</si>
  <si>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</si>
  <si>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</si>
  <si>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</si>
  <si>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</si>
  <si>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</si>
  <si>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</si>
  <si>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</si>
  <si>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</si>
  <si>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</si>
  <si>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</si>
  <si>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</si>
  <si>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</si>
  <si>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</si>
  <si>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</si>
  <si>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</si>
  <si>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</si>
  <si>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</si>
  <si>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</si>
  <si>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</si>
  <si>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</si>
  <si>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</si>
  <si>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</si>
  <si>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</si>
  <si>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</si>
  <si>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</si>
  <si>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</si>
  <si>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</si>
  <si>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</si>
  <si>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</si>
  <si>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</si>
  <si>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</si>
  <si>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</si>
  <si>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</si>
  <si>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</si>
  <si>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</si>
  <si>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</si>
  <si>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</si>
  <si>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</si>
  <si>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</si>
  <si>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</si>
  <si>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</si>
  <si>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</si>
  <si>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</si>
  <si>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</si>
  <si>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</si>
  <si>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</si>
  <si>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</si>
  <si>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</si>
  <si>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</si>
  <si>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</si>
  <si>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</si>
  <si>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</si>
  <si>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</si>
  <si>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</si>
  <si>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</si>
  <si>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</si>
  <si>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</si>
  <si>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</si>
  <si>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</si>
  <si>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</si>
  <si>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</si>
  <si>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</si>
  <si>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</si>
  <si>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</si>
  <si>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</si>
  <si>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</si>
  <si>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</si>
  <si>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</si>
  <si>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</si>
  <si>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</si>
  <si>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</si>
  <si>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Ⅷ-延1</t>
    <phoneticPr fontId="127" type="noConversion"/>
  </si>
  <si>
    <t>Ⅷ-延1</t>
    <phoneticPr fontId="127" type="noConversion"/>
  </si>
  <si>
    <t>宗地开发程度</t>
    <phoneticPr fontId="28" type="noConversion"/>
  </si>
  <si>
    <t>宗地开发程度</t>
    <phoneticPr fontId="5" type="noConversion"/>
  </si>
  <si>
    <t>建筑面积</t>
    <phoneticPr fontId="127" type="noConversion"/>
  </si>
  <si>
    <t>土地面积</t>
    <phoneticPr fontId="127" type="noConversion"/>
  </si>
  <si>
    <t>不含增值税，仅附加税</t>
    <phoneticPr fontId="31"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</si>
  <si>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</si>
  <si>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</si>
  <si>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</si>
  <si>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</si>
  <si>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5" type="noConversion"/>
  </si>
  <si>
    <r>
      <rPr>
        <b/>
        <sz val="10"/>
        <rFont val="仿宋_GB2312"/>
        <family val="3"/>
        <charset val="134"/>
      </rPr>
      <t>前述</t>
    </r>
    <r>
      <rPr>
        <b/>
        <sz val="10"/>
        <rFont val="Arial"/>
        <family val="2"/>
      </rPr>
      <t>6</t>
    </r>
    <r>
      <rPr>
        <b/>
        <sz val="10"/>
        <rFont val="仿宋_GB2312"/>
        <family val="3"/>
        <charset val="134"/>
      </rPr>
      <t>项之和</t>
    </r>
    <phoneticPr fontId="4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</si>
  <si>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</si>
  <si>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</si>
  <si>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</si>
  <si>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</si>
  <si>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t>出让金+开发费</t>
  </si>
  <si>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</si>
  <si>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</si>
  <si>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</si>
  <si>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</si>
  <si>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</si>
  <si>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</si>
  <si>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</si>
  <si>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</si>
  <si>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</si>
  <si>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</si>
  <si>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</si>
  <si>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</si>
  <si>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</si>
  <si>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</si>
  <si>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</si>
  <si>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个人住宅</t>
  </si>
  <si>
    <t>一年期存款利率</t>
    <phoneticPr fontId="5" type="noConversion"/>
  </si>
  <si>
    <t>贷款利息</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</si>
  <si>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</si>
  <si>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</si>
  <si>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</si>
  <si>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</si>
  <si>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</si>
  <si>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</si>
  <si>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</si>
  <si>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</si>
  <si>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</si>
  <si>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</si>
  <si>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</si>
  <si>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</si>
  <si>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</si>
  <si>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</si>
  <si>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</si>
  <si>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</si>
  <si>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</si>
  <si>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</si>
  <si>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</si>
  <si>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</si>
  <si>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</si>
  <si>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</si>
  <si>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</si>
  <si>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</si>
  <si>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</si>
  <si>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</si>
  <si>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</si>
  <si>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</si>
  <si>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</si>
  <si>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</si>
  <si>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</si>
  <si>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</si>
  <si>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</si>
  <si>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</si>
  <si>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</si>
  <si>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天数</t>
    <phoneticPr fontId="5" type="noConversion"/>
  </si>
  <si>
    <t>——</t>
    <phoneticPr fontId="5" type="noConversion"/>
  </si>
  <si>
    <t>年收入</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</si>
  <si>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</si>
  <si>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</si>
  <si>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</si>
  <si>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</si>
  <si>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</si>
  <si>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间数</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</si>
  <si>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</si>
  <si>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</si>
  <si>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</si>
  <si>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</si>
  <si>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</si>
  <si>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</si>
  <si>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</si>
  <si>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</si>
  <si>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</si>
  <si>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</si>
  <si>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</si>
  <si>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</si>
  <si>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</si>
  <si>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</si>
  <si>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</si>
  <si>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</si>
  <si>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</si>
  <si>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</si>
  <si>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</si>
  <si>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</si>
  <si>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</si>
  <si>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</si>
  <si>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</si>
  <si>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</si>
  <si>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</si>
  <si>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</si>
  <si>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</si>
  <si>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</si>
  <si>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</si>
  <si>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</si>
  <si>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</si>
  <si>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</si>
  <si>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</si>
  <si>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</si>
  <si>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</si>
  <si>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</si>
  <si>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</si>
  <si>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</si>
  <si>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</si>
  <si>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</si>
  <si>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</si>
  <si>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</si>
  <si>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</si>
  <si>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</si>
  <si>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</si>
  <si>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</si>
  <si>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</si>
  <si>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</si>
  <si>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</si>
  <si>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</si>
  <si>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</si>
  <si>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</si>
  <si>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</si>
  <si>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</si>
  <si>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</si>
  <si>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</si>
  <si>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</si>
  <si>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</si>
  <si>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</si>
  <si>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</si>
  <si>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</si>
  <si>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</si>
  <si>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</si>
  <si>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</si>
  <si>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</si>
  <si>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</si>
  <si>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</si>
  <si>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</si>
  <si>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</si>
  <si>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</si>
  <si>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</si>
  <si>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</si>
  <si>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t>杨红英</t>
    <phoneticPr fontId="5" type="noConversion"/>
  </si>
  <si>
    <r>
      <t>1</t>
    </r>
    <r>
      <rPr>
        <sz val="12"/>
        <color indexed="8"/>
        <rFont val="仿宋_GB2312"/>
        <family val="3"/>
        <charset val="134"/>
      </rPr>
      <t>.本《评估意见函》中所列估价结果为初评结果，准确金额以本公司出具的正式《土地估价报告》为准。</t>
    </r>
    <phoneticPr fontId="139" type="noConversion"/>
  </si>
  <si>
    <t>公示地价指数</t>
    <phoneticPr fontId="242" type="noConversion"/>
  </si>
  <si>
    <r>
      <rPr>
        <b/>
        <sz val="10"/>
        <color theme="1"/>
        <rFont val="楷体_GB2312"/>
        <family val="2"/>
        <charset val="134"/>
      </rPr>
      <t>公示增长率</t>
    </r>
    <phoneticPr fontId="242" type="noConversion"/>
  </si>
  <si>
    <r>
      <rPr>
        <b/>
        <sz val="10"/>
        <color theme="1"/>
        <rFont val="楷体_GB2312"/>
        <family val="2"/>
        <charset val="134"/>
      </rPr>
      <t>核算至百分数</t>
    </r>
    <phoneticPr fontId="242" type="noConversion"/>
  </si>
  <si>
    <r>
      <rPr>
        <b/>
        <sz val="10"/>
        <color theme="1"/>
        <rFont val="楷体_GB2312"/>
        <family val="2"/>
        <charset val="134"/>
      </rPr>
      <t>验证</t>
    </r>
    <phoneticPr fontId="242" type="noConversion"/>
  </si>
  <si>
    <t>综合</t>
    <phoneticPr fontId="5" type="noConversion"/>
  </si>
  <si>
    <t>2017-2</t>
    <phoneticPr fontId="5" type="noConversion"/>
  </si>
  <si>
    <t>2017-1</t>
    <phoneticPr fontId="5" type="noConversion"/>
  </si>
  <si>
    <t>2013-4</t>
    <phoneticPr fontId="235" type="noConversion"/>
  </si>
  <si>
    <t>2013-3</t>
    <phoneticPr fontId="235" type="noConversion"/>
  </si>
  <si>
    <t>2013-2</t>
    <phoneticPr fontId="235" type="noConversion"/>
  </si>
  <si>
    <t>2013-1</t>
    <phoneticPr fontId="235" type="noConversion"/>
  </si>
  <si>
    <r>
      <t>2</t>
    </r>
    <r>
      <rPr>
        <sz val="10"/>
        <color theme="1"/>
        <rFont val="Arial"/>
        <family val="2"/>
      </rPr>
      <t>012-4</t>
    </r>
    <phoneticPr fontId="235" type="noConversion"/>
  </si>
  <si>
    <r>
      <t>2</t>
    </r>
    <r>
      <rPr>
        <sz val="10"/>
        <color theme="1"/>
        <rFont val="Arial"/>
        <family val="2"/>
      </rPr>
      <t>012-3</t>
    </r>
    <phoneticPr fontId="235" type="noConversion"/>
  </si>
  <si>
    <r>
      <t>2</t>
    </r>
    <r>
      <rPr>
        <sz val="10"/>
        <color theme="1"/>
        <rFont val="Arial"/>
        <family val="2"/>
      </rPr>
      <t>012-2</t>
    </r>
    <phoneticPr fontId="235" type="noConversion"/>
  </si>
  <si>
    <r>
      <t>2</t>
    </r>
    <r>
      <rPr>
        <sz val="10"/>
        <color theme="1"/>
        <rFont val="Arial"/>
        <family val="2"/>
      </rPr>
      <t>012-1</t>
    </r>
    <phoneticPr fontId="235" type="noConversion"/>
  </si>
  <si>
    <r>
      <t>2</t>
    </r>
    <r>
      <rPr>
        <sz val="10"/>
        <color theme="1"/>
        <rFont val="Arial"/>
        <family val="2"/>
      </rPr>
      <t>011-4</t>
    </r>
    <phoneticPr fontId="235" type="noConversion"/>
  </si>
  <si>
    <r>
      <t>2</t>
    </r>
    <r>
      <rPr>
        <sz val="10"/>
        <color theme="1"/>
        <rFont val="Arial"/>
        <family val="2"/>
      </rPr>
      <t>011-3</t>
    </r>
    <phoneticPr fontId="235" type="noConversion"/>
  </si>
  <si>
    <r>
      <t>2</t>
    </r>
    <r>
      <rPr>
        <sz val="10"/>
        <color theme="1"/>
        <rFont val="Arial"/>
        <family val="2"/>
      </rPr>
      <t>011-2</t>
    </r>
    <phoneticPr fontId="235" type="noConversion"/>
  </si>
  <si>
    <r>
      <t>2</t>
    </r>
    <r>
      <rPr>
        <sz val="10"/>
        <color theme="1"/>
        <rFont val="Arial"/>
        <family val="2"/>
      </rPr>
      <t>011-1</t>
    </r>
    <phoneticPr fontId="235" type="noConversion"/>
  </si>
  <si>
    <r>
      <t>2</t>
    </r>
    <r>
      <rPr>
        <sz val="10"/>
        <color theme="1"/>
        <rFont val="Arial"/>
        <family val="2"/>
      </rPr>
      <t>010-4</t>
    </r>
    <phoneticPr fontId="235" type="noConversion"/>
  </si>
  <si>
    <r>
      <t>2</t>
    </r>
    <r>
      <rPr>
        <sz val="10"/>
        <color theme="1"/>
        <rFont val="Arial"/>
        <family val="2"/>
      </rPr>
      <t>010-3</t>
    </r>
    <phoneticPr fontId="235" type="noConversion"/>
  </si>
  <si>
    <r>
      <t>2</t>
    </r>
    <r>
      <rPr>
        <sz val="10"/>
        <color theme="1"/>
        <rFont val="Arial"/>
        <family val="2"/>
      </rPr>
      <t>010-2</t>
    </r>
    <phoneticPr fontId="235" type="noConversion"/>
  </si>
  <si>
    <r>
      <t>2</t>
    </r>
    <r>
      <rPr>
        <sz val="10"/>
        <color theme="1"/>
        <rFont val="Arial"/>
        <family val="2"/>
      </rPr>
      <t>010-1</t>
    </r>
    <phoneticPr fontId="235" type="noConversion"/>
  </si>
  <si>
    <r>
      <t>2</t>
    </r>
    <r>
      <rPr>
        <sz val="10"/>
        <color theme="1"/>
        <rFont val="Arial"/>
        <family val="2"/>
      </rPr>
      <t>009-4</t>
    </r>
    <phoneticPr fontId="235" type="noConversion"/>
  </si>
  <si>
    <r>
      <t>2</t>
    </r>
    <r>
      <rPr>
        <sz val="10"/>
        <color theme="1"/>
        <rFont val="Arial"/>
        <family val="2"/>
      </rPr>
      <t>009-3</t>
    </r>
    <phoneticPr fontId="235" type="noConversion"/>
  </si>
  <si>
    <r>
      <t>2</t>
    </r>
    <r>
      <rPr>
        <sz val="10"/>
        <color theme="1"/>
        <rFont val="Arial"/>
        <family val="2"/>
      </rPr>
      <t>009-2</t>
    </r>
    <phoneticPr fontId="235" type="noConversion"/>
  </si>
  <si>
    <r>
      <t>2</t>
    </r>
    <r>
      <rPr>
        <sz val="10"/>
        <color theme="1"/>
        <rFont val="Arial"/>
        <family val="2"/>
      </rPr>
      <t>009-1</t>
    </r>
    <phoneticPr fontId="235" type="noConversion"/>
  </si>
  <si>
    <r>
      <t>2</t>
    </r>
    <r>
      <rPr>
        <sz val="10"/>
        <color theme="1"/>
        <rFont val="Arial"/>
        <family val="2"/>
      </rPr>
      <t>008-4</t>
    </r>
    <phoneticPr fontId="235" type="noConversion"/>
  </si>
  <si>
    <r>
      <t>2</t>
    </r>
    <r>
      <rPr>
        <sz val="10"/>
        <color theme="1"/>
        <rFont val="Arial"/>
        <family val="2"/>
      </rPr>
      <t>008-3</t>
    </r>
    <phoneticPr fontId="235" type="noConversion"/>
  </si>
  <si>
    <r>
      <t>2</t>
    </r>
    <r>
      <rPr>
        <sz val="10"/>
        <color theme="1"/>
        <rFont val="Arial"/>
        <family val="2"/>
      </rPr>
      <t>008-2</t>
    </r>
    <phoneticPr fontId="235" type="noConversion"/>
  </si>
  <si>
    <r>
      <t>2</t>
    </r>
    <r>
      <rPr>
        <sz val="10"/>
        <color theme="1"/>
        <rFont val="Arial"/>
        <family val="2"/>
      </rPr>
      <t>008-1</t>
    </r>
    <phoneticPr fontId="235" type="noConversion"/>
  </si>
  <si>
    <r>
      <t>2</t>
    </r>
    <r>
      <rPr>
        <sz val="10"/>
        <color theme="1"/>
        <rFont val="Arial"/>
        <family val="2"/>
      </rPr>
      <t>007-4</t>
    </r>
    <phoneticPr fontId="235" type="noConversion"/>
  </si>
  <si>
    <r>
      <t>2</t>
    </r>
    <r>
      <rPr>
        <sz val="10"/>
        <color theme="1"/>
        <rFont val="Arial"/>
        <family val="2"/>
      </rPr>
      <t>007-3</t>
    </r>
    <phoneticPr fontId="235" type="noConversion"/>
  </si>
  <si>
    <r>
      <t>2</t>
    </r>
    <r>
      <rPr>
        <sz val="10"/>
        <color theme="1"/>
        <rFont val="Arial"/>
        <family val="2"/>
      </rPr>
      <t>007-2</t>
    </r>
    <phoneticPr fontId="235" type="noConversion"/>
  </si>
  <si>
    <r>
      <t>2</t>
    </r>
    <r>
      <rPr>
        <sz val="10"/>
        <color theme="1"/>
        <rFont val="Arial"/>
        <family val="2"/>
      </rPr>
      <t>007-1</t>
    </r>
    <phoneticPr fontId="235" type="noConversion"/>
  </si>
  <si>
    <r>
      <t>2</t>
    </r>
    <r>
      <rPr>
        <sz val="10"/>
        <color theme="1"/>
        <rFont val="Arial"/>
        <family val="2"/>
      </rPr>
      <t>006-4</t>
    </r>
    <phoneticPr fontId="235" type="noConversion"/>
  </si>
  <si>
    <t>2006-3</t>
    <phoneticPr fontId="235" type="noConversion"/>
  </si>
  <si>
    <t>2006-2</t>
    <phoneticPr fontId="235" type="noConversion"/>
  </si>
  <si>
    <t>2006-1</t>
    <phoneticPr fontId="235" type="noConversion"/>
  </si>
  <si>
    <r>
      <t>2</t>
    </r>
    <r>
      <rPr>
        <sz val="10"/>
        <color theme="1"/>
        <rFont val="Arial"/>
        <family val="2"/>
      </rPr>
      <t>005-4</t>
    </r>
    <phoneticPr fontId="235" type="noConversion"/>
  </si>
  <si>
    <r>
      <t>2</t>
    </r>
    <r>
      <rPr>
        <sz val="10"/>
        <color theme="1"/>
        <rFont val="Arial"/>
        <family val="2"/>
      </rPr>
      <t>005-3</t>
    </r>
    <phoneticPr fontId="235" type="noConversion"/>
  </si>
  <si>
    <r>
      <t>2</t>
    </r>
    <r>
      <rPr>
        <sz val="10"/>
        <color theme="1"/>
        <rFont val="Arial"/>
        <family val="2"/>
      </rPr>
      <t>005-2</t>
    </r>
    <phoneticPr fontId="235" type="noConversion"/>
  </si>
  <si>
    <r>
      <t>2</t>
    </r>
    <r>
      <rPr>
        <sz val="10"/>
        <color theme="1"/>
        <rFont val="Arial"/>
        <family val="2"/>
      </rPr>
      <t>005-1</t>
    </r>
    <phoneticPr fontId="235" type="noConversion"/>
  </si>
  <si>
    <r>
      <t>2</t>
    </r>
    <r>
      <rPr>
        <sz val="10"/>
        <color theme="1"/>
        <rFont val="Arial"/>
        <family val="2"/>
      </rPr>
      <t>004-4</t>
    </r>
    <phoneticPr fontId="235" type="noConversion"/>
  </si>
  <si>
    <r>
      <t>2</t>
    </r>
    <r>
      <rPr>
        <sz val="10"/>
        <color theme="1"/>
        <rFont val="Arial"/>
        <family val="2"/>
      </rPr>
      <t>004-3</t>
    </r>
    <phoneticPr fontId="235" type="noConversion"/>
  </si>
  <si>
    <r>
      <t>2</t>
    </r>
    <r>
      <rPr>
        <sz val="10"/>
        <color theme="1"/>
        <rFont val="Arial"/>
        <family val="2"/>
      </rPr>
      <t>004-2</t>
    </r>
    <phoneticPr fontId="235" type="noConversion"/>
  </si>
  <si>
    <r>
      <t>2</t>
    </r>
    <r>
      <rPr>
        <sz val="10"/>
        <color theme="1"/>
        <rFont val="Arial"/>
        <family val="2"/>
      </rPr>
      <t>004-1</t>
    </r>
    <phoneticPr fontId="235" type="noConversion"/>
  </si>
  <si>
    <r>
      <t>2</t>
    </r>
    <r>
      <rPr>
        <sz val="10"/>
        <color theme="1"/>
        <rFont val="Arial"/>
        <family val="2"/>
      </rPr>
      <t>003-4</t>
    </r>
    <phoneticPr fontId="235" type="noConversion"/>
  </si>
  <si>
    <r>
      <t>2</t>
    </r>
    <r>
      <rPr>
        <sz val="10"/>
        <color theme="1"/>
        <rFont val="Arial"/>
        <family val="2"/>
      </rPr>
      <t>003-3</t>
    </r>
    <phoneticPr fontId="235" type="noConversion"/>
  </si>
  <si>
    <r>
      <t>2</t>
    </r>
    <r>
      <rPr>
        <sz val="10"/>
        <color theme="1"/>
        <rFont val="Arial"/>
        <family val="2"/>
      </rPr>
      <t>003-2</t>
    </r>
    <phoneticPr fontId="235" type="noConversion"/>
  </si>
  <si>
    <r>
      <t>2</t>
    </r>
    <r>
      <rPr>
        <sz val="10"/>
        <color theme="1"/>
        <rFont val="Arial"/>
        <family val="2"/>
      </rPr>
      <t>003-1</t>
    </r>
    <phoneticPr fontId="235" type="noConversion"/>
  </si>
  <si>
    <r>
      <t>2</t>
    </r>
    <r>
      <rPr>
        <sz val="10"/>
        <color theme="1"/>
        <rFont val="Arial"/>
        <family val="2"/>
      </rPr>
      <t>002-4</t>
    </r>
    <phoneticPr fontId="235" type="noConversion"/>
  </si>
  <si>
    <r>
      <t>2</t>
    </r>
    <r>
      <rPr>
        <sz val="10"/>
        <color theme="1"/>
        <rFont val="Arial"/>
        <family val="2"/>
      </rPr>
      <t>002-3</t>
    </r>
    <phoneticPr fontId="235" type="noConversion"/>
  </si>
  <si>
    <r>
      <t>2</t>
    </r>
    <r>
      <rPr>
        <sz val="10"/>
        <color theme="1"/>
        <rFont val="Arial"/>
        <family val="2"/>
      </rPr>
      <t>002-2</t>
    </r>
    <phoneticPr fontId="235" type="noConversion"/>
  </si>
  <si>
    <r>
      <t>2</t>
    </r>
    <r>
      <rPr>
        <sz val="10"/>
        <color theme="1"/>
        <rFont val="Arial"/>
        <family val="2"/>
      </rPr>
      <t>002-1</t>
    </r>
    <phoneticPr fontId="235" type="noConversion"/>
  </si>
  <si>
    <t>说明</t>
    <phoneticPr fontId="2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</si>
  <si>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</si>
  <si>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</si>
  <si>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</si>
  <si>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</si>
  <si>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</si>
  <si>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</si>
  <si>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</si>
  <si>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5" type="noConversion"/>
  </si>
  <si>
    <t>基准季度</t>
    <phoneticPr fontId="235"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</si>
  <si>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</si>
  <si>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</si>
  <si>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35" type="noConversion"/>
  </si>
  <si>
    <t>自定义涨幅</t>
    <phoneticPr fontId="127" type="noConversion"/>
  </si>
  <si>
    <t>季度增幅</t>
    <phoneticPr fontId="1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</si>
  <si>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</si>
  <si>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</si>
  <si>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7" type="noConversion"/>
  </si>
  <si>
    <t>工业</t>
    <phoneticPr fontId="30" type="noConversion"/>
  </si>
  <si>
    <t>平均季度涨幅（公示）</t>
    <phoneticPr fontId="127" type="noConversion"/>
  </si>
  <si>
    <t>万元</t>
    <phoneticPr fontId="5" type="noConversion"/>
  </si>
  <si>
    <r>
      <t>1 .</t>
    </r>
    <r>
      <rPr>
        <b/>
        <sz val="12"/>
        <color indexed="8"/>
        <rFont val="仿宋_GB2312"/>
        <family val="3"/>
        <charset val="134"/>
      </rPr>
      <t>不动产总价</t>
    </r>
    <phoneticPr fontId="16" type="noConversion"/>
  </si>
  <si>
    <t>11111111111</t>
    <phoneticPr fontId="139" type="noConversion"/>
  </si>
  <si>
    <t>京国土字第111号</t>
    <phoneticPr fontId="139" type="noConversion"/>
  </si>
  <si>
    <t>中信开发</t>
    <phoneticPr fontId="139" type="noConversion"/>
  </si>
  <si>
    <t>顺序</t>
    <phoneticPr fontId="235" type="noConversion"/>
  </si>
  <si>
    <t>致函-估价对象-1</t>
    <phoneticPr fontId="235" type="noConversion"/>
  </si>
  <si>
    <t>致函-估价对象-2</t>
  </si>
  <si>
    <t>致函-估价期日</t>
    <phoneticPr fontId="235"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</si>
  <si>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</si>
  <si>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</si>
  <si>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</si>
  <si>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</si>
  <si>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5" type="noConversion"/>
  </si>
  <si>
    <t>致函-地价定义-用途-1</t>
    <phoneticPr fontId="235" type="noConversion"/>
  </si>
  <si>
    <t>致函-地价定义-用途-2</t>
    <phoneticPr fontId="235" type="noConversion"/>
  </si>
  <si>
    <t>致函-地价定义-开发程度-1</t>
    <phoneticPr fontId="235" type="noConversion"/>
  </si>
  <si>
    <t>致函-地价定义-开发程度-2</t>
    <phoneticPr fontId="235" type="noConversion"/>
  </si>
  <si>
    <t>致函-地价定义-年限-1</t>
    <phoneticPr fontId="235" type="noConversion"/>
  </si>
  <si>
    <t>致函-地价定义-年限-2</t>
    <phoneticPr fontId="235" type="noConversion"/>
  </si>
  <si>
    <t>致函-地价定义-1</t>
    <phoneticPr fontId="235" type="noConversion"/>
  </si>
  <si>
    <t>致函-地价定义-2</t>
    <phoneticPr fontId="235" type="noConversion"/>
  </si>
  <si>
    <t>致函-地价定义-3</t>
    <phoneticPr fontId="235" type="noConversion"/>
  </si>
  <si>
    <t>致函-地价定义-4</t>
    <phoneticPr fontId="235" type="noConversion"/>
  </si>
  <si>
    <t>致函-估价结果</t>
    <phoneticPr fontId="235" type="noConversion"/>
  </si>
  <si>
    <t>致函-估价结果-表-1</t>
    <phoneticPr fontId="235" type="noConversion"/>
  </si>
  <si>
    <t>致函-估价结果-表-2</t>
  </si>
  <si>
    <t>致函-限定条件-1</t>
    <phoneticPr fontId="246" type="noConversion"/>
  </si>
  <si>
    <t>致函-限定条件-2</t>
  </si>
  <si>
    <t>致函-限定条件-3</t>
  </si>
  <si>
    <t>致函-其他事项-1</t>
    <phoneticPr fontId="235" type="noConversion"/>
  </si>
  <si>
    <t>致函-其他事项-2</t>
  </si>
  <si>
    <t>致函-其他事项-优先受偿-1</t>
    <phoneticPr fontId="235" type="noConversion"/>
  </si>
  <si>
    <t>致函-其他事项-优先受偿</t>
    <phoneticPr fontId="235" type="noConversion"/>
  </si>
  <si>
    <t>致函-其他事项-优先受偿-2</t>
  </si>
  <si>
    <t>致函-其他事项-优先受偿-3</t>
  </si>
  <si>
    <t>致函-其他事项-优先受偿-4</t>
  </si>
  <si>
    <t>致函-其他事项-4</t>
    <phoneticPr fontId="235" type="noConversion"/>
  </si>
  <si>
    <t>致函-其他事项-5</t>
  </si>
  <si>
    <t>致函-估价师签字-1</t>
    <phoneticPr fontId="235" type="noConversion"/>
  </si>
  <si>
    <t>致函-估价师签字-2</t>
    <phoneticPr fontId="235" type="noConversion"/>
  </si>
  <si>
    <t>致函-出具日期</t>
    <phoneticPr fontId="235"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</si>
  <si>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</si>
  <si>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</si>
  <si>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</si>
  <si>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</si>
  <si>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</si>
  <si>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</si>
  <si>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</si>
  <si>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</si>
  <si>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</si>
  <si>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9" type="noConversion"/>
  </si>
  <si>
    <t xml:space="preserve">  年   月   日</t>
    <phoneticPr fontId="139" type="noConversion"/>
  </si>
  <si>
    <t xml:space="preserve">  年   月   日</t>
    <phoneticPr fontId="139" type="noConversion"/>
  </si>
  <si>
    <t>致函-委托事项</t>
    <phoneticPr fontId="246" type="noConversion"/>
  </si>
  <si>
    <r>
      <t>金融机构</t>
    </r>
    <r>
      <rPr>
        <sz val="10"/>
        <color indexed="8"/>
        <rFont val="仿宋_GB2312"/>
        <family val="3"/>
        <charset val="134"/>
      </rPr>
      <t>(贷款方)</t>
    </r>
    <phoneticPr fontId="5" type="noConversion"/>
  </si>
  <si>
    <t>借款方</t>
    <phoneticPr fontId="8" type="noConversion"/>
  </si>
  <si>
    <t>致函-估价目的</t>
    <phoneticPr fontId="235"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</si>
  <si>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</si>
  <si>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</si>
  <si>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</si>
  <si>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</si>
  <si>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</si>
  <si>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</si>
  <si>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</si>
  <si>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</si>
  <si>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</si>
  <si>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</si>
  <si>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</si>
  <si>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</si>
  <si>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</si>
  <si>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</si>
  <si>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</si>
  <si>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</si>
  <si>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</si>
  <si>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</si>
  <si>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</si>
  <si>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</si>
  <si>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</si>
  <si>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</si>
  <si>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9" type="noConversion"/>
  </si>
  <si>
    <t>（剩余）土地使用年限/年</t>
    <phoneticPr fontId="139" type="noConversion"/>
  </si>
  <si>
    <t>致函-估价结果-表-使用者(标题）</t>
    <phoneticPr fontId="246" type="noConversion"/>
  </si>
  <si>
    <t>致函-估价结果-表-地号(标题）</t>
    <phoneticPr fontId="246" type="noConversion"/>
  </si>
  <si>
    <t>土地使用证编号/不动产权证书编号</t>
    <phoneticPr fontId="139"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</si>
  <si>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</si>
  <si>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</si>
  <si>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</si>
  <si>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</si>
  <si>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</si>
  <si>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</si>
  <si>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</si>
  <si>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</si>
  <si>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r>
      <t>实际</t>
    </r>
    <r>
      <rPr>
        <i/>
        <sz val="10.5"/>
        <color theme="3" tint="0.39997558519241921"/>
        <rFont val="仿宋_GB2312"/>
        <family val="3"/>
        <charset val="134"/>
      </rPr>
      <t>（证载）</t>
    </r>
    <phoneticPr fontId="139" type="noConversion"/>
  </si>
  <si>
    <r>
      <t>实际</t>
    </r>
    <r>
      <rPr>
        <i/>
        <sz val="10.5"/>
        <color theme="3" tint="0.39997558519241921"/>
        <rFont val="仿宋_GB2312"/>
        <family val="3"/>
        <charset val="134"/>
      </rPr>
      <t>（工程规划）</t>
    </r>
    <phoneticPr fontId="139" type="noConversion"/>
  </si>
  <si>
    <t>（3）。</t>
    <phoneticPr fontId="139"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</si>
  <si>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</si>
  <si>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9"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</si>
  <si>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</si>
  <si>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</si>
  <si>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</si>
  <si>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</si>
  <si>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2"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</si>
  <si>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</si>
  <si>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</si>
  <si>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</si>
  <si>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</si>
  <si>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</si>
  <si>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</si>
  <si>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</si>
  <si>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7" type="noConversion"/>
  </si>
  <si>
    <t>楼层修正系数</t>
    <phoneticPr fontId="127" type="noConversion"/>
  </si>
  <si>
    <r>
      <t>商业R</t>
    </r>
    <r>
      <rPr>
        <sz val="10"/>
        <color indexed="8"/>
        <rFont val="仿宋_GB2312"/>
        <family val="3"/>
        <charset val="134"/>
      </rPr>
      <t>≥</t>
    </r>
    <r>
      <rPr>
        <sz val="10"/>
        <color indexed="8"/>
        <rFont val="宋体"/>
        <family val="3"/>
        <charset val="134"/>
      </rPr>
      <t>1</t>
    </r>
    <phoneticPr fontId="127" type="noConversion"/>
  </si>
  <si>
    <r>
      <rPr>
        <sz val="10"/>
        <rFont val="仿宋_GB2312"/>
        <family val="3"/>
        <charset val="134"/>
      </rPr>
      <t>估价对象级别</t>
    </r>
    <phoneticPr fontId="127" type="noConversion"/>
  </si>
  <si>
    <r>
      <rPr>
        <sz val="10"/>
        <rFont val="仿宋_GB2312"/>
        <family val="3"/>
        <charset val="134"/>
      </rPr>
      <t>容积率</t>
    </r>
    <phoneticPr fontId="127" type="noConversion"/>
  </si>
  <si>
    <r>
      <rPr>
        <sz val="10"/>
        <color theme="1"/>
        <rFont val="宋体"/>
        <family val="3"/>
        <charset val="134"/>
      </rPr>
      <t>一级</t>
    </r>
    <phoneticPr fontId="127" type="noConversion"/>
  </si>
  <si>
    <r>
      <rPr>
        <sz val="10"/>
        <color theme="1"/>
        <rFont val="宋体"/>
        <family val="3"/>
        <charset val="134"/>
      </rPr>
      <t>二级</t>
    </r>
    <phoneticPr fontId="127" type="noConversion"/>
  </si>
  <si>
    <r>
      <rPr>
        <sz val="10"/>
        <color theme="1"/>
        <rFont val="宋体"/>
        <family val="3"/>
        <charset val="134"/>
      </rPr>
      <t>三级</t>
    </r>
    <phoneticPr fontId="127" type="noConversion"/>
  </si>
  <si>
    <r>
      <rPr>
        <sz val="10"/>
        <color theme="1"/>
        <rFont val="宋体"/>
        <family val="3"/>
        <charset val="134"/>
      </rPr>
      <t>四级</t>
    </r>
    <phoneticPr fontId="127" type="noConversion"/>
  </si>
  <si>
    <r>
      <rPr>
        <sz val="10"/>
        <color theme="1"/>
        <rFont val="宋体"/>
        <family val="3"/>
        <charset val="134"/>
      </rPr>
      <t>五级</t>
    </r>
    <phoneticPr fontId="127" type="noConversion"/>
  </si>
  <si>
    <r>
      <rPr>
        <sz val="10"/>
        <color theme="1"/>
        <rFont val="宋体"/>
        <family val="3"/>
        <charset val="134"/>
      </rPr>
      <t>六级</t>
    </r>
    <phoneticPr fontId="127" type="noConversion"/>
  </si>
  <si>
    <r>
      <rPr>
        <sz val="10"/>
        <color theme="1"/>
        <rFont val="宋体"/>
        <family val="3"/>
        <charset val="134"/>
      </rPr>
      <t>七级</t>
    </r>
    <phoneticPr fontId="127" type="noConversion"/>
  </si>
  <si>
    <r>
      <rPr>
        <sz val="10"/>
        <color theme="1"/>
        <rFont val="宋体"/>
        <family val="3"/>
        <charset val="134"/>
      </rPr>
      <t>八级</t>
    </r>
    <phoneticPr fontId="127" type="noConversion"/>
  </si>
  <si>
    <r>
      <rPr>
        <sz val="10"/>
        <color theme="1"/>
        <rFont val="宋体"/>
        <family val="3"/>
        <charset val="134"/>
      </rPr>
      <t>九级</t>
    </r>
    <phoneticPr fontId="127" type="noConversion"/>
  </si>
  <si>
    <r>
      <rPr>
        <sz val="10"/>
        <color theme="1"/>
        <rFont val="宋体"/>
        <family val="3"/>
        <charset val="134"/>
      </rPr>
      <t>十级</t>
    </r>
    <phoneticPr fontId="127" type="noConversion"/>
  </si>
  <si>
    <r>
      <rPr>
        <sz val="10"/>
        <color theme="1"/>
        <rFont val="宋体"/>
        <family val="3"/>
        <charset val="134"/>
      </rPr>
      <t>十一级</t>
    </r>
    <phoneticPr fontId="127" type="noConversion"/>
  </si>
  <si>
    <r>
      <rPr>
        <sz val="10"/>
        <color theme="1"/>
        <rFont val="宋体"/>
        <family val="3"/>
        <charset val="134"/>
      </rPr>
      <t>十二级</t>
    </r>
    <phoneticPr fontId="127"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</si>
  <si>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7" type="noConversion"/>
  </si>
  <si>
    <r>
      <t>7</t>
    </r>
    <r>
      <rPr>
        <sz val="10"/>
        <color theme="1"/>
        <rFont val="宋体"/>
        <family val="3"/>
        <charset val="134"/>
      </rPr>
      <t>层及以上</t>
    </r>
    <phoneticPr fontId="127" type="noConversion"/>
  </si>
  <si>
    <r>
      <rPr>
        <sz val="10"/>
        <rFont val="仿宋_GB2312"/>
        <family val="3"/>
        <charset val="134"/>
      </rPr>
      <t>商业</t>
    </r>
    <r>
      <rPr>
        <sz val="10"/>
        <rFont val="Arial"/>
        <family val="2"/>
      </rPr>
      <t>R&lt;1</t>
    </r>
    <phoneticPr fontId="12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</si>
  <si>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7" type="noConversion"/>
  </si>
  <si>
    <t>容积率             级别</t>
    <phoneticPr fontId="127" type="noConversion"/>
  </si>
  <si>
    <t>楼面熟地单价</t>
    <phoneticPr fontId="127" type="noConversion"/>
  </si>
  <si>
    <t>层面积</t>
    <phoneticPr fontId="127" type="noConversion"/>
  </si>
  <si>
    <t>总额</t>
    <phoneticPr fontId="127" type="noConversion"/>
  </si>
  <si>
    <t>致函-其他专业人员</t>
    <phoneticPr fontId="246" type="noConversion"/>
  </si>
  <si>
    <t>价值时点</t>
    <phoneticPr fontId="5" type="noConversion"/>
  </si>
  <si>
    <t>贷款利率</t>
    <phoneticPr fontId="5" type="noConversion"/>
  </si>
  <si>
    <t>贷款利率</t>
    <phoneticPr fontId="235" type="noConversion"/>
  </si>
  <si>
    <t>存款利率</t>
    <phoneticPr fontId="23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</si>
  <si>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</si>
  <si>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</si>
  <si>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</si>
  <si>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</si>
  <si>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</si>
  <si>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</si>
  <si>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</si>
  <si>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</si>
  <si>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</si>
  <si>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</si>
  <si>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</si>
  <si>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</si>
  <si>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</si>
  <si>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</si>
  <si>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</si>
  <si>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</si>
  <si>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</si>
  <si>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</si>
  <si>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</si>
  <si>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</si>
  <si>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</si>
  <si>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</si>
  <si>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</si>
  <si>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</si>
  <si>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</si>
  <si>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</si>
  <si>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</si>
  <si>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35" type="noConversion"/>
  </si>
  <si>
    <t>1年期存款利率</t>
    <phoneticPr fontId="5" type="noConversion"/>
  </si>
  <si>
    <t>土地开发期</t>
    <phoneticPr fontId="235"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</si>
  <si>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</si>
  <si>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</si>
  <si>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</si>
  <si>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</si>
  <si>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</si>
  <si>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</si>
  <si>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t>工程进度</t>
  </si>
  <si>
    <r>
      <t>P</t>
    </r>
    <r>
      <rPr>
        <b/>
        <vertAlign val="subscript"/>
        <sz val="11"/>
        <color indexed="8"/>
        <rFont val="仿宋_GB2312"/>
        <family val="3"/>
        <charset val="134"/>
      </rPr>
      <t>土</t>
    </r>
    <phoneticPr fontId="16" type="noConversion"/>
  </si>
  <si>
    <r>
      <t>P</t>
    </r>
    <r>
      <rPr>
        <b/>
        <vertAlign val="subscript"/>
        <sz val="11"/>
        <color indexed="8"/>
        <rFont val="仿宋_GB2312"/>
        <family val="3"/>
        <charset val="134"/>
      </rPr>
      <t>建</t>
    </r>
    <phoneticPr fontId="43"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</si>
  <si>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</si>
  <si>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</si>
  <si>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</si>
  <si>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</si>
  <si>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</si>
  <si>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</si>
  <si>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</si>
  <si>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</si>
  <si>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</si>
  <si>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</si>
  <si>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</si>
  <si>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</si>
  <si>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此处对应不动产收益法中未来第一年总收益</t>
    <phoneticPr fontId="23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</si>
  <si>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</si>
  <si>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</si>
  <si>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</si>
  <si>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</si>
  <si>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</si>
  <si>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</si>
  <si>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</si>
  <si>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</si>
  <si>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</si>
  <si>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</si>
  <si>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</si>
  <si>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</si>
  <si>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</si>
  <si>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</si>
  <si>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</si>
  <si>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</si>
  <si>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</si>
  <si>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</si>
  <si>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</si>
  <si>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</si>
  <si>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</si>
  <si>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</si>
  <si>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</si>
  <si>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</si>
  <si>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</si>
  <si>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</si>
  <si>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5" type="noConversion"/>
  </si>
  <si>
    <t>楼面单价（元/平方米）</t>
    <phoneticPr fontId="235" type="noConversion"/>
  </si>
  <si>
    <t>项目名称</t>
    <phoneticPr fontId="235" type="noConversion"/>
  </si>
  <si>
    <t>重置成新价</t>
    <phoneticPr fontId="23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</si>
  <si>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</si>
  <si>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</si>
  <si>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</si>
  <si>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</si>
  <si>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</si>
  <si>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</si>
  <si>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</si>
  <si>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</si>
  <si>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</si>
  <si>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</si>
  <si>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t>个人非住宅</t>
  </si>
  <si>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</si>
  <si>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</si>
  <si>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</si>
  <si>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</si>
  <si>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</si>
  <si>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</si>
  <si>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</si>
  <si>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</si>
  <si>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r>
      <rPr>
        <sz val="10"/>
        <color theme="1"/>
        <rFont val="楷体_GB2312"/>
        <family val="3"/>
        <charset val="134"/>
      </rPr>
      <t>范围：</t>
    </r>
    <r>
      <rPr>
        <sz val="10"/>
        <color theme="1"/>
        <rFont val="Arial"/>
        <family val="2"/>
      </rPr>
      <t>3%-5%</t>
    </r>
    <phoneticPr fontId="5" type="noConversion"/>
  </si>
  <si>
    <r>
      <rPr>
        <sz val="10"/>
        <color theme="1"/>
        <rFont val="楷体_GB2312"/>
        <family val="3"/>
        <charset val="134"/>
      </rPr>
      <t>范围：</t>
    </r>
    <r>
      <rPr>
        <sz val="10"/>
        <color theme="1"/>
        <rFont val="Arial"/>
        <family val="2"/>
      </rPr>
      <t>0-10%</t>
    </r>
    <phoneticPr fontId="5" type="noConversion"/>
  </si>
  <si>
    <r>
      <rPr>
        <sz val="10"/>
        <color theme="1"/>
        <rFont val="楷体_GB2312"/>
        <family val="3"/>
        <charset val="134"/>
      </rPr>
      <t>变化</t>
    </r>
    <phoneticPr fontId="5" type="noConversion"/>
  </si>
  <si>
    <r>
      <rPr>
        <sz val="10"/>
        <color theme="1"/>
        <rFont val="楷体_GB2312"/>
        <family val="3"/>
        <charset val="134"/>
      </rPr>
      <t>定值：</t>
    </r>
    <r>
      <rPr>
        <sz val="10"/>
        <color theme="1"/>
        <rFont val="Arial"/>
        <family val="2"/>
      </rPr>
      <t>1.5%</t>
    </r>
    <phoneticPr fontId="5" type="noConversion"/>
  </si>
  <si>
    <r>
      <rPr>
        <sz val="10"/>
        <color theme="1"/>
        <rFont val="楷体_GB2312"/>
        <family val="3"/>
        <charset val="134"/>
      </rPr>
      <t>范围：</t>
    </r>
    <r>
      <rPr>
        <sz val="10"/>
        <color theme="1"/>
        <rFont val="Arial"/>
        <family val="2"/>
      </rPr>
      <t>1%-3%</t>
    </r>
    <phoneticPr fontId="5"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</si>
  <si>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5" type="noConversion"/>
  </si>
  <si>
    <r>
      <rPr>
        <sz val="11"/>
        <color theme="1"/>
        <rFont val="楷体_GB2312"/>
        <family val="3"/>
        <charset val="134"/>
      </rPr>
      <t>北京：</t>
    </r>
    <r>
      <rPr>
        <sz val="11"/>
        <color theme="1"/>
        <rFont val="Arial"/>
        <family val="2"/>
      </rPr>
      <t>3%</t>
    </r>
    <phoneticPr fontId="5" type="noConversion"/>
  </si>
  <si>
    <r>
      <rPr>
        <sz val="11"/>
        <color theme="1"/>
        <rFont val="楷体_GB2312"/>
        <family val="3"/>
        <charset val="134"/>
      </rPr>
      <t>北京：</t>
    </r>
    <r>
      <rPr>
        <sz val="11"/>
        <color theme="1"/>
        <rFont val="Arial"/>
        <family val="2"/>
      </rPr>
      <t>2%</t>
    </r>
    <phoneticPr fontId="5" type="noConversion"/>
  </si>
  <si>
    <t>请录依据文件名称：</t>
    <phoneticPr fontId="5" type="noConversion"/>
  </si>
  <si>
    <r>
      <rPr>
        <sz val="11"/>
        <color indexed="8"/>
        <rFont val="楷体_GB2312"/>
        <family val="3"/>
        <charset val="134"/>
      </rPr>
      <t>北京：</t>
    </r>
    <r>
      <rPr>
        <sz val="11"/>
        <color indexed="8"/>
        <rFont val="Arial"/>
        <family val="2"/>
      </rPr>
      <t>3%</t>
    </r>
    <phoneticPr fontId="5" type="noConversion"/>
  </si>
  <si>
    <r>
      <rPr>
        <sz val="11"/>
        <color indexed="8"/>
        <rFont val="楷体_GB2312"/>
        <family val="3"/>
        <charset val="134"/>
      </rPr>
      <t>北京：</t>
    </r>
    <r>
      <rPr>
        <sz val="11"/>
        <color indexed="8"/>
        <rFont val="Arial"/>
        <family val="2"/>
      </rPr>
      <t>0.05%</t>
    </r>
    <phoneticPr fontId="5" type="noConversion"/>
  </si>
  <si>
    <t>北京</t>
    <phoneticPr fontId="5" type="noConversion"/>
  </si>
  <si>
    <t>其他省市请录依据文件名称：</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</si>
  <si>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</si>
  <si>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</si>
  <si>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</si>
  <si>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</si>
  <si>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</si>
  <si>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</si>
  <si>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</si>
  <si>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</si>
  <si>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</si>
  <si>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</si>
  <si>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</si>
  <si>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</si>
  <si>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</si>
  <si>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</si>
  <si>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</si>
  <si>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</si>
  <si>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</si>
  <si>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</si>
  <si>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</si>
  <si>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</si>
  <si>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</si>
  <si>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</si>
  <si>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</si>
  <si>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</si>
  <si>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</si>
  <si>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</si>
  <si>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</si>
  <si>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</si>
  <si>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</si>
  <si>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</si>
  <si>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</si>
  <si>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</si>
  <si>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</si>
  <si>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</si>
  <si>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</si>
  <si>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</si>
  <si>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2017A-006</t>
    <phoneticPr fontId="139" type="noConversion"/>
  </si>
  <si>
    <t>总价</t>
  </si>
  <si>
    <t>万元</t>
  </si>
  <si>
    <t>汇总建筑面积</t>
  </si>
  <si>
    <t>估价结果</t>
  </si>
  <si>
    <t>建筑面积</t>
  </si>
  <si>
    <t>基准地价（汇总）</t>
    <phoneticPr fontId="5" type="noConversion"/>
  </si>
  <si>
    <t>本次评估所采用的基准地价系数修正法</t>
    <phoneticPr fontId="235" type="noConversion"/>
  </si>
  <si>
    <t>基准地价</t>
  </si>
  <si>
    <t>土地面积</t>
    <phoneticPr fontId="235" type="noConversion"/>
  </si>
  <si>
    <t>单位面积地价</t>
    <phoneticPr fontId="235" type="noConversion"/>
  </si>
  <si>
    <t>汇总土地面积</t>
    <phoneticPr fontId="235"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</si>
  <si>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</si>
  <si>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</si>
  <si>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</si>
  <si>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</si>
  <si>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</si>
  <si>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</si>
  <si>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地下商业不考虑路线价修正</t>
    <phoneticPr fontId="5" type="noConversion"/>
  </si>
  <si>
    <t>建筑物资本化率</t>
    <phoneticPr fontId="63"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</si>
  <si>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</si>
  <si>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</si>
  <si>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</si>
  <si>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</si>
  <si>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</si>
  <si>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</si>
  <si>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本行不参与计算</t>
    <phoneticPr fontId="2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</si>
  <si>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5"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</si>
  <si>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</si>
  <si>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</si>
  <si>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</si>
  <si>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</si>
  <si>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</si>
  <si>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</si>
  <si>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白景生</t>
    <phoneticPr fontId="5" type="noConversion"/>
  </si>
  <si>
    <t>楼面地价</t>
    <phoneticPr fontId="235" type="noConversion"/>
  </si>
  <si>
    <t>收益期（按照规范取最低值，住宅取高）</t>
    <phoneticPr fontId="5" type="noConversion"/>
  </si>
  <si>
    <t>2018-3</t>
    <phoneticPr fontId="5" type="noConversion"/>
  </si>
  <si>
    <t>2018-2</t>
    <phoneticPr fontId="5" type="noConversion"/>
  </si>
  <si>
    <t>陈颖</t>
  </si>
  <si>
    <t>叶凌</t>
  </si>
  <si>
    <t>北京捷宸阳光科技发展有限公司</t>
    <phoneticPr fontId="8" type="noConversion"/>
  </si>
  <si>
    <t>市场价格</t>
  </si>
  <si>
    <t>核定资产</t>
  </si>
  <si>
    <t>通州区马驹桥镇金桥科技产业基地</t>
    <phoneticPr fontId="8" type="noConversion"/>
  </si>
  <si>
    <t>企业</t>
  </si>
  <si>
    <t>工业</t>
    <phoneticPr fontId="8" type="noConversion"/>
  </si>
  <si>
    <t>出让</t>
  </si>
  <si>
    <t>1#电池厂房</t>
    <phoneticPr fontId="5" type="noConversion"/>
  </si>
  <si>
    <t>生产检测车间</t>
    <phoneticPr fontId="5" type="noConversion"/>
  </si>
  <si>
    <t>地上</t>
  </si>
  <si>
    <t>地下</t>
  </si>
  <si>
    <t>标准厂房</t>
  </si>
  <si>
    <t>Ⅷ-通州环保园</t>
  </si>
  <si>
    <t>工业项目</t>
  </si>
  <si>
    <t>通路</t>
  </si>
  <si>
    <t>通电</t>
  </si>
  <si>
    <t>通讯</t>
  </si>
  <si>
    <t>通上水</t>
  </si>
  <si>
    <t>通下水</t>
  </si>
  <si>
    <t>燃气</t>
  </si>
  <si>
    <t>平整</t>
  </si>
  <si>
    <t>无</t>
  </si>
  <si>
    <t>京通国用（2008出）第061号</t>
    <phoneticPr fontId="5" type="noConversion"/>
  </si>
  <si>
    <t>京通国用（2008出）第062号</t>
    <phoneticPr fontId="5" type="noConversion"/>
  </si>
  <si>
    <t>2009规（通）建字0020号</t>
    <phoneticPr fontId="5" type="noConversion"/>
  </si>
  <si>
    <t>2009规（通）建字0019号</t>
    <phoneticPr fontId="5" type="noConversion"/>
  </si>
  <si>
    <t>1#标准厂房</t>
    <phoneticPr fontId="5" type="noConversion"/>
  </si>
  <si>
    <t>1#单身宿舍</t>
    <phoneticPr fontId="5" type="noConversion"/>
  </si>
  <si>
    <t>2#标准厂房</t>
    <phoneticPr fontId="5" type="noConversion"/>
  </si>
  <si>
    <r>
      <t>2#</t>
    </r>
    <r>
      <rPr>
        <sz val="11"/>
        <color indexed="8"/>
        <rFont val="宋体"/>
        <family val="3"/>
        <charset val="134"/>
      </rPr>
      <t>单身宿舍</t>
    </r>
    <phoneticPr fontId="5" type="noConversion"/>
  </si>
  <si>
    <t>门卫1</t>
    <phoneticPr fontId="5" type="noConversion"/>
  </si>
  <si>
    <t>门卫2</t>
    <phoneticPr fontId="5" type="noConversion"/>
  </si>
  <si>
    <t>连廊</t>
    <phoneticPr fontId="5" type="noConversion"/>
  </si>
  <si>
    <t>1#废水处理区操作间</t>
    <phoneticPr fontId="5" type="noConversion"/>
  </si>
  <si>
    <t>特殊厂房</t>
  </si>
  <si>
    <t>标准厂房</t>
    <phoneticPr fontId="9" type="noConversion"/>
  </si>
  <si>
    <t>特殊厂房</t>
    <phoneticPr fontId="9" type="noConversion"/>
  </si>
  <si>
    <t>工业用地</t>
  </si>
  <si>
    <t>六通一平</t>
  </si>
  <si>
    <t>增加</t>
  </si>
  <si>
    <t>容积率修正</t>
  </si>
  <si>
    <t>自定义容积率</t>
  </si>
  <si>
    <t>较好</t>
  </si>
  <si>
    <t>一般</t>
  </si>
  <si>
    <t>估价对象位于北京市通州区马驹桥镇金桥产业基地，园区建设成熟，产业集聚程度较好</t>
    <phoneticPr fontId="5" type="noConversion"/>
  </si>
  <si>
    <t>估价对象紧邻六环高速路、公共交通通达情况较好、综合评价交通便捷度较好</t>
    <phoneticPr fontId="5" type="noConversion"/>
  </si>
  <si>
    <t>估价对象所在区域公共配套设施齐备情况一般；基础设施水平一般；综合评价公用设施及基础设施水平一般</t>
    <phoneticPr fontId="5" type="noConversion"/>
  </si>
  <si>
    <t>该园区内无污染型企业，绿化条件一般，卫生条件一般，整体环境状况一般</t>
    <phoneticPr fontId="5" type="noConversion"/>
  </si>
  <si>
    <t>零星有其他用地，基本不影响本宗地</t>
  </si>
  <si>
    <t>城市高速路——六环路</t>
    <phoneticPr fontId="5" type="noConversion"/>
  </si>
  <si>
    <t>8级</t>
    <phoneticPr fontId="5" type="noConversion"/>
  </si>
  <si>
    <t>多面临街</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</si>
  <si>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</si>
  <si>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</si>
  <si>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</si>
  <si>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</si>
  <si>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</si>
  <si>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</si>
  <si>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</si>
  <si>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</si>
  <si>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</si>
  <si>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</si>
  <si>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</si>
  <si>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</si>
  <si>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</si>
  <si>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</si>
  <si>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</si>
  <si>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</si>
  <si>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</si>
  <si>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</si>
  <si>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</si>
  <si>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</si>
  <si>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</si>
  <si>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</si>
  <si>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</si>
  <si>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</si>
  <si>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</si>
  <si>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</si>
  <si>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</si>
  <si>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</si>
  <si>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</si>
  <si>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</si>
  <si>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</si>
  <si>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</si>
  <si>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</si>
  <si>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</si>
  <si>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</si>
  <si>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</si>
  <si>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</si>
  <si>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</si>
  <si>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</si>
  <si>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</si>
  <si>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</si>
  <si>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</si>
  <si>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</si>
  <si>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通州区</t>
  </si>
  <si>
    <t>通州区驹桥镇</t>
  </si>
  <si>
    <t>挂牌</t>
  </si>
  <si>
    <t>京土整储挂(通)工业[2015]001号</t>
  </si>
  <si>
    <t>W1物流用地</t>
  </si>
  <si>
    <t>开工中</t>
  </si>
  <si>
    <t>2015-09-30</t>
  </si>
  <si>
    <t>2015-10-20</t>
  </si>
  <si>
    <t>2015-11-03</t>
  </si>
  <si>
    <t>已成交</t>
  </si>
  <si>
    <t>北京北建通成国际物流有限公司</t>
  </si>
  <si>
    <t>50年</t>
  </si>
  <si>
    <t>通州物流基地YZ00-0606-0019地块W1物流用地</t>
  </si>
  <si>
    <t>京土整储挂(通)工业[2015]002号</t>
  </si>
  <si>
    <t>大兴区</t>
  </si>
  <si>
    <t>中关村科技园区大兴生物医药产业基地</t>
  </si>
  <si>
    <t>京土整储挂(兴)工业【2015】004号</t>
  </si>
  <si>
    <t>工业厂房用地</t>
  </si>
  <si>
    <t>≤1.4</t>
  </si>
  <si>
    <t>2015-08-04</t>
  </si>
  <si>
    <t>2015-08-24</t>
  </si>
  <si>
    <t>北京京孚徵慈工贸有限公司</t>
  </si>
  <si>
    <r>
      <rPr>
        <sz val="10"/>
        <rFont val="宋体"/>
        <family val="3"/>
        <charset val="134"/>
      </rPr>
      <t>北京经济技术开发区河西区</t>
    </r>
    <r>
      <rPr>
        <sz val="11"/>
        <color theme="1"/>
        <rFont val="宋体"/>
        <family val="3"/>
        <charset val="134"/>
        <scheme val="minor"/>
      </rPr>
      <t>X6-1M3</t>
    </r>
    <r>
      <rPr>
        <sz val="10"/>
        <rFont val="宋体"/>
        <family val="3"/>
        <charset val="134"/>
      </rPr>
      <t>地块</t>
    </r>
    <phoneticPr fontId="5" type="noConversion"/>
  </si>
  <si>
    <t>北京经济技术开发区河西区X6-1M3地块</t>
  </si>
  <si>
    <t>京开国土挂[2017]5号</t>
  </si>
  <si>
    <t>未开工</t>
  </si>
  <si>
    <t>2017-11-27</t>
  </si>
  <si>
    <t>2017-12-18</t>
  </si>
  <si>
    <t>2018-01-03</t>
  </si>
  <si>
    <t>北京佳讯云创科技有限公司</t>
  </si>
  <si>
    <t>顺义新城第14街区SY00-0014-6001M1一类工业用地项目</t>
  </si>
  <si>
    <t>顺义区</t>
  </si>
  <si>
    <t>顺义新城第14街区</t>
  </si>
  <si>
    <t>京土整储挂(顺)工业[2017]004号</t>
  </si>
  <si>
    <t>M1一类工业用地</t>
  </si>
  <si>
    <t>2017-11-20</t>
  </si>
  <si>
    <t>2017-12-11</t>
  </si>
  <si>
    <t>2017-12-25</t>
  </si>
  <si>
    <t>北京星汉特种印刷有限公司</t>
  </si>
  <si>
    <t>大兴新城东南片区DX00-0605-0013地块工业用地</t>
  </si>
  <si>
    <t>大兴区黄村镇</t>
  </si>
  <si>
    <t>京土整储挂(兴)工业[2017]002号</t>
  </si>
  <si>
    <t>2017-08-30</t>
  </si>
  <si>
    <t>2017-09-19</t>
  </si>
  <si>
    <t>2017-10-10</t>
  </si>
  <si>
    <t>北京航天控制仪器研究所</t>
  </si>
  <si>
    <t>北京经济技术开发区路南区N31M2地块工业项目</t>
  </si>
  <si>
    <t>北京经济技术开发区路南区N31M2地块</t>
  </si>
  <si>
    <t>京开国土挂[2017]4号</t>
  </si>
  <si>
    <t>2017-10-09</t>
  </si>
  <si>
    <t>北京奔驰汽车有限公司</t>
  </si>
  <si>
    <t>北京经济技术开发区核心区55M4-2地块</t>
  </si>
  <si>
    <t>京开国土挂[2017]3号</t>
  </si>
  <si>
    <t>2017-07-14</t>
  </si>
  <si>
    <t>2017-08-03</t>
  </si>
  <si>
    <t>2017-08-17</t>
  </si>
  <si>
    <t>北京京东方光电科技有限公司</t>
  </si>
  <si>
    <t>大兴区黄村镇孙村组团</t>
  </si>
  <si>
    <t>京土整储挂(兴)工业[2017]001号</t>
  </si>
  <si>
    <t>工业厂房</t>
  </si>
  <si>
    <t>2017-04-18</t>
  </si>
  <si>
    <t>2017-05-08</t>
  </si>
  <si>
    <t>2017-05-22</t>
  </si>
  <si>
    <t>呷哺呷哺餐饮管理有限公司</t>
  </si>
  <si>
    <r>
      <rPr>
        <sz val="10"/>
        <rFont val="宋体"/>
        <family val="3"/>
        <charset val="134"/>
      </rPr>
      <t>顺义区天竺综合保税区</t>
    </r>
    <r>
      <rPr>
        <sz val="10"/>
        <rFont val="Arial"/>
        <family val="2"/>
      </rPr>
      <t>3-4(C12</t>
    </r>
    <r>
      <rPr>
        <sz val="10"/>
        <rFont val="宋体"/>
        <family val="3"/>
        <charset val="134"/>
      </rPr>
      <t>地块局部</t>
    </r>
    <r>
      <rPr>
        <sz val="10"/>
        <rFont val="Arial"/>
        <family val="2"/>
      </rPr>
      <t>)</t>
    </r>
    <r>
      <rPr>
        <sz val="10"/>
        <rFont val="宋体"/>
        <family val="3"/>
        <charset val="134"/>
      </rPr>
      <t>地块</t>
    </r>
    <phoneticPr fontId="5" type="noConversion"/>
  </si>
  <si>
    <t>顺义区天竺综合保税区(即顺义新城第26街区南部)</t>
  </si>
  <si>
    <t>京土整储挂(顺)工业[2017]002</t>
  </si>
  <si>
    <t>W2普通仓储用地</t>
  </si>
  <si>
    <t>2017-03-21</t>
  </si>
  <si>
    <t>2017-04-10</t>
  </si>
  <si>
    <t>2017-05-04</t>
  </si>
  <si>
    <t>经纬供应链管理(北京)有限公司</t>
  </si>
  <si>
    <r>
      <rPr>
        <sz val="10"/>
        <rFont val="宋体"/>
        <family val="3"/>
        <charset val="134"/>
      </rPr>
      <t>顺义区新城第</t>
    </r>
    <r>
      <rPr>
        <sz val="10"/>
        <rFont val="Arial"/>
        <family val="2"/>
      </rPr>
      <t>26</t>
    </r>
    <r>
      <rPr>
        <sz val="10"/>
        <rFont val="宋体"/>
        <family val="3"/>
        <charset val="134"/>
      </rPr>
      <t>街区</t>
    </r>
    <r>
      <rPr>
        <sz val="10"/>
        <rFont val="Arial"/>
        <family val="2"/>
      </rPr>
      <t>C-19(</t>
    </r>
    <r>
      <rPr>
        <sz val="10"/>
        <rFont val="宋体"/>
        <family val="3"/>
        <charset val="134"/>
      </rPr>
      <t>网内</t>
    </r>
    <r>
      <rPr>
        <sz val="10"/>
        <rFont val="Arial"/>
        <family val="2"/>
      </rPr>
      <t>8</t>
    </r>
    <r>
      <rPr>
        <sz val="10"/>
        <rFont val="宋体"/>
        <family val="3"/>
        <charset val="134"/>
      </rPr>
      <t>号地</t>
    </r>
    <r>
      <rPr>
        <sz val="10"/>
        <rFont val="Arial"/>
        <family val="2"/>
      </rPr>
      <t>)</t>
    </r>
    <phoneticPr fontId="5" type="noConversion"/>
  </si>
  <si>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</si>
  <si>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</si>
  <si>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</si>
  <si>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</si>
  <si>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</si>
  <si>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</si>
  <si>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</si>
  <si>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</si>
  <si>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北京经济技术开发区路东区B15M1地块</t>
  </si>
  <si>
    <t>京开国土挂[2017]2号</t>
  </si>
  <si>
    <t>1-1.5</t>
  </si>
  <si>
    <t>2017-02-20</t>
  </si>
  <si>
    <t>2017-03-13</t>
  </si>
  <si>
    <t>2017-03-23</t>
  </si>
  <si>
    <t>北京燕东微电子科技有限公司</t>
  </si>
  <si>
    <t>北京经济技术开发区路东区C8M3地块</t>
  </si>
  <si>
    <t>京开国土挂[2017]1号</t>
  </si>
  <si>
    <t>≤1.5</t>
  </si>
  <si>
    <t>华卓精科(北京)精密运动系统科技有限公司</t>
  </si>
  <si>
    <t>北京市高端制造业(房山)基地01街区01-03地块部分用地项目</t>
  </si>
  <si>
    <t>房山区</t>
  </si>
  <si>
    <t>房山区窦店镇</t>
  </si>
  <si>
    <t>京土整储挂(房)工业[2017]001号</t>
  </si>
  <si>
    <t>一类工业用地</t>
  </si>
  <si>
    <t>≤1.2</t>
  </si>
  <si>
    <t>北京天仁道和新材料有限公司</t>
  </si>
  <si>
    <t>北京经济技术开发区路东区B11M1地块</t>
  </si>
  <si>
    <t>京开国土挂[2016]7号</t>
  </si>
  <si>
    <t>2016-11-30</t>
  </si>
  <si>
    <t>2016-12-20</t>
  </si>
  <si>
    <t>2017-01-23</t>
  </si>
  <si>
    <t>纳微矽磊国际科技(北京)有限公司</t>
  </si>
  <si>
    <t>北京高端制造业(房山)基地03街区F区工业用地项目</t>
  </si>
  <si>
    <t>北京市房山区窦店镇</t>
  </si>
  <si>
    <t>京土整储挂(房)工业[2016]001号</t>
  </si>
  <si>
    <t>2016-10-24</t>
  </si>
  <si>
    <t>2016-11-14</t>
  </si>
  <si>
    <t>2016-11-24</t>
  </si>
  <si>
    <t>北京中关村前沿技术产业发展有限公司</t>
  </si>
  <si>
    <t>北京石化新材料科技产业基地核心区东区B5-10(2)地块工业用地项目</t>
  </si>
  <si>
    <t>北京市房山区城关街道前朱各庄村</t>
  </si>
  <si>
    <t>京土整储挂(房)工业[2016]002号</t>
  </si>
  <si>
    <t>≤1.0</t>
  </si>
  <si>
    <t>北京环宇京辉京城气体科技有限公司</t>
  </si>
  <si>
    <t>顺义区金马工业区D1-01-1地块</t>
  </si>
  <si>
    <t>顺义区高丽营镇东马各庄村南</t>
  </si>
  <si>
    <t>京土整储挂(顺)工业【2016】001号</t>
  </si>
  <si>
    <t>2016-09-20</t>
  </si>
  <si>
    <t>2016-10-11</t>
  </si>
  <si>
    <t>2016-10-25</t>
  </si>
  <si>
    <t>北京世纪澄通电子有限公司</t>
  </si>
  <si>
    <t>北京经济技术开发区路东区B10M1地块</t>
  </si>
  <si>
    <t>京开国土挂[2016]6号</t>
  </si>
  <si>
    <t>2016-09-13</t>
  </si>
  <si>
    <t>2016-10-10</t>
  </si>
  <si>
    <t>北京屹唐集成电路科技有限公司</t>
  </si>
  <si>
    <t>北京经济技术开发区河西区X52M1地块</t>
  </si>
  <si>
    <t>京开国土挂[2016]5号</t>
  </si>
  <si>
    <t>≤2</t>
  </si>
  <si>
    <t>2016-08-12</t>
  </si>
  <si>
    <t>2016-09-01</t>
  </si>
  <si>
    <t>2016-09-18</t>
  </si>
  <si>
    <t>中国机动车辆安全鉴定检测中心</t>
  </si>
  <si>
    <t>北京经济技术开发区77M1-a地块</t>
  </si>
  <si>
    <t>京开国土挂[2016]4号</t>
  </si>
  <si>
    <t>2016-05-10</t>
  </si>
  <si>
    <t>2016-05-30</t>
  </si>
  <si>
    <t>2016-06-17</t>
  </si>
  <si>
    <t>北京市机动车排放管理中心</t>
  </si>
  <si>
    <t>北京经济技术开发区80M10-2地块</t>
  </si>
  <si>
    <t>京开国土挂[2016]2号</t>
  </si>
  <si>
    <t>2016-06-14</t>
  </si>
  <si>
    <t>北京惠买控股集团有限公司</t>
  </si>
  <si>
    <t>北京经济技术开发区路东区C4M-1地块</t>
  </si>
  <si>
    <t>京开国土挂[2016]3号</t>
  </si>
  <si>
    <t>东方雨虹民用建材有限责任公司</t>
  </si>
  <si>
    <t>平谷区新城北部产业用地F13地块用地项目</t>
  </si>
  <si>
    <t>平谷区</t>
  </si>
  <si>
    <t>市平谷区兴谷经济开发区内</t>
  </si>
  <si>
    <t>京土整储挂(平)工业【2016】001号</t>
  </si>
  <si>
    <t>M2二类工业用地</t>
  </si>
  <si>
    <t>北京兴谷中心企业创新投资管理有限公司</t>
  </si>
  <si>
    <t>北京经济技术开发区河西区X18-1M2地块工业项目</t>
  </si>
  <si>
    <t>北京经济技术开发区河西区X18-1M2地块</t>
  </si>
  <si>
    <t>京开国土挂[2016]1号</t>
  </si>
  <si>
    <t>2016-01-05</t>
  </si>
  <si>
    <t>2016-01-25</t>
  </si>
  <si>
    <t>2016-02-06</t>
  </si>
  <si>
    <t>阿尔特置业(北京)有限公司</t>
  </si>
  <si>
    <t>北京高端制造业基地03街区R区二期工业用地项目</t>
  </si>
  <si>
    <t>京土整储挂(房)工业[2015]006号</t>
  </si>
  <si>
    <t>2015-12-22</t>
  </si>
  <si>
    <t>2016-01-11</t>
  </si>
  <si>
    <t>2016-02-01</t>
  </si>
  <si>
    <t>北京凯达恒业农业技术开发有限公司</t>
  </si>
  <si>
    <t>北京高端制造业基地03街区R区一期工业用地项目</t>
  </si>
  <si>
    <t>京土整储挂(房)工业[2015]005号</t>
  </si>
  <si>
    <t>2016-01-28</t>
  </si>
  <si>
    <t>北京德信致远科技有限公司</t>
  </si>
  <si>
    <t>北京石化新材料科技产业基地核心区东区B5-01地块(部分用地)工业用地项目</t>
  </si>
  <si>
    <t>房山区城关街道前朱各庄村</t>
  </si>
  <si>
    <t>京土整储挂(房)工业[2015]004号</t>
  </si>
  <si>
    <t>北京中植医药科技有限公司</t>
  </si>
  <si>
    <t>北京经济技术开发区路南区N13M1地块</t>
  </si>
  <si>
    <t>京开国土挂[2015]5号</t>
  </si>
  <si>
    <t>2015-11-20</t>
  </si>
  <si>
    <t>2015-12-10</t>
  </si>
  <si>
    <t>2015-12-24</t>
  </si>
  <si>
    <t>北京石化新材料科技产业基地核心区东区B2-24-04地块</t>
  </si>
  <si>
    <t>北京石化新材料科技产业基地核心区东区B2街区内</t>
  </si>
  <si>
    <t>京土整储挂(房)工业[2015]003号</t>
  </si>
  <si>
    <t>北京迅邦润泽物流有限公司</t>
  </si>
  <si>
    <r>
      <rPr>
        <sz val="10"/>
        <rFont val="宋体"/>
        <family val="3"/>
        <charset val="134"/>
      </rPr>
      <t>中关村科技园区大兴生物医药产业基地</t>
    </r>
    <r>
      <rPr>
        <sz val="11"/>
        <color theme="1"/>
        <rFont val="宋体"/>
        <family val="3"/>
        <charset val="134"/>
        <scheme val="minor"/>
      </rPr>
      <t>0501-57-2</t>
    </r>
    <r>
      <rPr>
        <sz val="10"/>
        <rFont val="宋体"/>
        <family val="3"/>
        <charset val="134"/>
      </rPr>
      <t>地块</t>
    </r>
    <phoneticPr fontId="5" type="noConversion"/>
  </si>
  <si>
    <t>工业</t>
    <phoneticPr fontId="30" type="noConversion"/>
  </si>
  <si>
    <t>物流</t>
  </si>
  <si>
    <t>物流</t>
    <phoneticPr fontId="30" type="noConversion"/>
  </si>
  <si>
    <t>正常</t>
  </si>
  <si>
    <t>六通</t>
  </si>
  <si>
    <t>高速路</t>
  </si>
  <si>
    <t>高速路</t>
    <phoneticPr fontId="30" type="noConversion"/>
  </si>
  <si>
    <t>快速路</t>
    <phoneticPr fontId="30" type="noConversion"/>
  </si>
  <si>
    <t>主干道</t>
  </si>
  <si>
    <t>主干道</t>
    <phoneticPr fontId="30" type="noConversion"/>
  </si>
  <si>
    <t>较规则</t>
  </si>
  <si>
    <t>较规则</t>
    <phoneticPr fontId="30" type="noConversion"/>
  </si>
  <si>
    <t>七通</t>
    <phoneticPr fontId="30" type="noConversion"/>
  </si>
  <si>
    <t>六通</t>
    <phoneticPr fontId="30" type="noConversion"/>
  </si>
  <si>
    <t>五通</t>
  </si>
  <si>
    <t>五通</t>
    <phoneticPr fontId="30" type="noConversion"/>
  </si>
  <si>
    <t>平整</t>
    <phoneticPr fontId="30" type="noConversion"/>
  </si>
  <si>
    <t>五通</t>
    <phoneticPr fontId="5" type="noConversion"/>
  </si>
  <si>
    <r>
      <t>8</t>
    </r>
    <r>
      <rPr>
        <sz val="11"/>
        <rFont val="宋体"/>
        <family val="3"/>
        <charset val="134"/>
      </rPr>
      <t>级</t>
    </r>
    <phoneticPr fontId="30" type="noConversion"/>
  </si>
  <si>
    <t>8级</t>
  </si>
  <si>
    <t>通州物流基地YZ00-0606-0015地块W1物流用地</t>
    <phoneticPr fontId="235" type="noConversion"/>
  </si>
  <si>
    <t>单位面积地价</t>
  </si>
  <si>
    <t>大兴区黄村镇孙村组团D-07B1地块</t>
    <phoneticPr fontId="235" type="noConversion"/>
  </si>
  <si>
    <t>合计（万元）</t>
    <phoneticPr fontId="235" type="noConversion"/>
  </si>
  <si>
    <t>合计</t>
    <phoneticPr fontId="235" type="noConversion"/>
  </si>
  <si>
    <t>用于生产经营的非住宅房屋的月租金</t>
    <phoneticPr fontId="235" type="noConversion"/>
  </si>
  <si>
    <t>日租金（元/平方米）</t>
    <phoneticPr fontId="235" type="noConversion"/>
  </si>
  <si>
    <t>天数（天）</t>
    <phoneticPr fontId="235" type="noConversion"/>
  </si>
  <si>
    <t>面积（平方米）</t>
    <phoneticPr fontId="235" type="noConversion"/>
  </si>
  <si>
    <t>月净利润</t>
    <phoneticPr fontId="235" type="noConversion"/>
  </si>
  <si>
    <t>年度</t>
    <phoneticPr fontId="235" type="noConversion"/>
  </si>
  <si>
    <t>1-5月</t>
    <phoneticPr fontId="235" type="noConversion"/>
  </si>
  <si>
    <t>月度</t>
    <phoneticPr fontId="235" type="noConversion"/>
  </si>
  <si>
    <r>
      <t>2</t>
    </r>
    <r>
      <rPr>
        <sz val="11"/>
        <color theme="1"/>
        <rFont val="宋体"/>
        <family val="3"/>
        <charset val="134"/>
        <scheme val="minor"/>
      </rPr>
      <t>017年净利润</t>
    </r>
    <phoneticPr fontId="235" type="noConversion"/>
  </si>
  <si>
    <t>——</t>
    <phoneticPr fontId="235" type="noConversion"/>
  </si>
  <si>
    <t>2018年1-5月净利润</t>
    <phoneticPr fontId="235" type="noConversion"/>
  </si>
  <si>
    <r>
      <t>前12个月</t>
    </r>
    <r>
      <rPr>
        <sz val="11"/>
        <color theme="1"/>
        <rFont val="宋体"/>
        <family val="3"/>
        <charset val="134"/>
        <scheme val="minor"/>
      </rPr>
      <t>平均净利润</t>
    </r>
    <phoneticPr fontId="235" type="noConversion"/>
  </si>
  <si>
    <t>修正系数</t>
    <phoneticPr fontId="235" type="noConversion"/>
  </si>
  <si>
    <t>员工月生活补助</t>
    <phoneticPr fontId="235" type="noConversion"/>
  </si>
  <si>
    <t>人数</t>
    <phoneticPr fontId="235" type="noConversion"/>
  </si>
  <si>
    <t>补偿金额(元/月）</t>
    <phoneticPr fontId="235" type="noConversion"/>
  </si>
  <si>
    <t>停产停业补偿期限</t>
    <phoneticPr fontId="235" type="noConversion"/>
  </si>
  <si>
    <t>期限（月）</t>
    <phoneticPr fontId="235" type="noConversion"/>
  </si>
  <si>
    <t>被征收房屋容积率小于0.5的修正</t>
    <phoneticPr fontId="235" type="noConversion"/>
  </si>
  <si>
    <t>停产停业损失补偿费=（用于生产经营的非住宅房屋的月租金+月净利润×修正系数+员工月生活补助）×停产停业补偿期限</t>
    <phoneticPr fontId="235" type="noConversion"/>
  </si>
  <si>
    <t>搬迁费</t>
    <phoneticPr fontId="235" type="noConversion"/>
  </si>
  <si>
    <t>建筑面积</t>
    <phoneticPr fontId="235" type="noConversion"/>
  </si>
  <si>
    <t>补偿标准（元/平方米）</t>
    <phoneticPr fontId="235" type="noConversion"/>
  </si>
  <si>
    <t>合计（万元）</t>
    <phoneticPr fontId="235" type="noConversion"/>
  </si>
  <si>
    <t>比较法-工业</t>
  </si>
  <si>
    <r>
      <rPr>
        <sz val="9"/>
        <color theme="1"/>
        <rFont val="宋体"/>
        <family val="3"/>
        <charset val="134"/>
      </rPr>
      <t>用途</t>
    </r>
  </si>
  <si>
    <r>
      <rPr>
        <sz val="9"/>
        <color theme="1"/>
        <rFont val="宋体"/>
        <family val="3"/>
        <charset val="134"/>
      </rPr>
      <t>幢号</t>
    </r>
  </si>
  <si>
    <r>
      <rPr>
        <sz val="9"/>
        <color theme="1"/>
        <rFont val="宋体"/>
        <family val="3"/>
        <charset val="134"/>
      </rPr>
      <t>结构</t>
    </r>
  </si>
  <si>
    <r>
      <rPr>
        <sz val="9"/>
        <color theme="1"/>
        <rFont val="宋体"/>
        <family val="3"/>
        <charset val="134"/>
      </rPr>
      <t>所在层次</t>
    </r>
    <phoneticPr fontId="235" type="noConversion"/>
  </si>
  <si>
    <r>
      <rPr>
        <sz val="9"/>
        <color theme="1"/>
        <rFont val="宋体"/>
        <family val="3"/>
        <charset val="134"/>
      </rPr>
      <t>建筑面积（㎡）</t>
    </r>
  </si>
  <si>
    <r>
      <rPr>
        <sz val="9"/>
        <color theme="1"/>
        <rFont val="宋体"/>
        <family val="3"/>
        <charset val="134"/>
      </rPr>
      <t>建安工程费（元</t>
    </r>
    <r>
      <rPr>
        <sz val="9"/>
        <color theme="1"/>
        <rFont val="Arial"/>
        <family val="2"/>
      </rPr>
      <t>/</t>
    </r>
    <r>
      <rPr>
        <sz val="9"/>
        <color theme="1"/>
        <rFont val="宋体"/>
        <family val="3"/>
        <charset val="134"/>
      </rPr>
      <t>㎡）</t>
    </r>
  </si>
  <si>
    <r>
      <rPr>
        <sz val="9"/>
        <color theme="1"/>
        <rFont val="宋体"/>
        <family val="3"/>
        <charset val="134"/>
      </rPr>
      <t>室外工程费（元</t>
    </r>
    <r>
      <rPr>
        <sz val="9"/>
        <color theme="1"/>
        <rFont val="Arial"/>
        <family val="2"/>
      </rPr>
      <t>/</t>
    </r>
    <r>
      <rPr>
        <sz val="9"/>
        <color theme="1"/>
        <rFont val="宋体"/>
        <family val="3"/>
        <charset val="134"/>
      </rPr>
      <t>㎡）</t>
    </r>
  </si>
  <si>
    <r>
      <rPr>
        <sz val="9"/>
        <color theme="1"/>
        <rFont val="宋体"/>
        <family val="3"/>
        <charset val="134"/>
      </rPr>
      <t>建造成本（元</t>
    </r>
    <r>
      <rPr>
        <sz val="9"/>
        <color theme="1"/>
        <rFont val="Arial"/>
        <family val="2"/>
      </rPr>
      <t>/</t>
    </r>
    <r>
      <rPr>
        <sz val="9"/>
        <color theme="1"/>
        <rFont val="宋体"/>
        <family val="3"/>
        <charset val="134"/>
      </rPr>
      <t>㎡）</t>
    </r>
  </si>
  <si>
    <r>
      <rPr>
        <sz val="9"/>
        <color theme="1"/>
        <rFont val="宋体"/>
        <family val="3"/>
        <charset val="134"/>
      </rPr>
      <t>专业人士费（元</t>
    </r>
    <r>
      <rPr>
        <sz val="9"/>
        <color theme="1"/>
        <rFont val="Arial"/>
        <family val="2"/>
      </rPr>
      <t>/</t>
    </r>
    <r>
      <rPr>
        <sz val="9"/>
        <color theme="1"/>
        <rFont val="宋体"/>
        <family val="3"/>
        <charset val="134"/>
      </rPr>
      <t>㎡）</t>
    </r>
  </si>
  <si>
    <r>
      <rPr>
        <sz val="9"/>
        <color theme="1"/>
        <rFont val="宋体"/>
        <family val="3"/>
        <charset val="134"/>
      </rPr>
      <t>管理费（元</t>
    </r>
    <r>
      <rPr>
        <sz val="9"/>
        <color theme="1"/>
        <rFont val="Arial"/>
        <family val="2"/>
      </rPr>
      <t>/</t>
    </r>
    <r>
      <rPr>
        <sz val="9"/>
        <color theme="1"/>
        <rFont val="宋体"/>
        <family val="3"/>
        <charset val="134"/>
      </rPr>
      <t>㎡）</t>
    </r>
  </si>
  <si>
    <r>
      <rPr>
        <sz val="9"/>
        <color theme="1"/>
        <rFont val="宋体"/>
        <family val="3"/>
        <charset val="134"/>
      </rPr>
      <t>利息（元</t>
    </r>
    <r>
      <rPr>
        <sz val="9"/>
        <color theme="1"/>
        <rFont val="Arial"/>
        <family val="2"/>
      </rPr>
      <t>/</t>
    </r>
    <r>
      <rPr>
        <sz val="9"/>
        <color theme="1"/>
        <rFont val="宋体"/>
        <family val="3"/>
        <charset val="134"/>
      </rPr>
      <t>㎡）</t>
    </r>
  </si>
  <si>
    <r>
      <rPr>
        <sz val="9"/>
        <color theme="1"/>
        <rFont val="宋体"/>
        <family val="3"/>
        <charset val="134"/>
      </rPr>
      <t>利润（元</t>
    </r>
    <r>
      <rPr>
        <sz val="9"/>
        <color theme="1"/>
        <rFont val="Arial"/>
        <family val="2"/>
      </rPr>
      <t>/</t>
    </r>
    <r>
      <rPr>
        <sz val="9"/>
        <color theme="1"/>
        <rFont val="宋体"/>
        <family val="3"/>
        <charset val="134"/>
      </rPr>
      <t>㎡）</t>
    </r>
  </si>
  <si>
    <r>
      <rPr>
        <sz val="9"/>
        <color theme="1"/>
        <rFont val="宋体"/>
        <family val="3"/>
        <charset val="134"/>
      </rPr>
      <t>单方重置全价（元</t>
    </r>
    <r>
      <rPr>
        <sz val="9"/>
        <color theme="1"/>
        <rFont val="Arial"/>
        <family val="2"/>
      </rPr>
      <t>/</t>
    </r>
    <r>
      <rPr>
        <sz val="9"/>
        <color theme="1"/>
        <rFont val="宋体"/>
        <family val="3"/>
        <charset val="134"/>
      </rPr>
      <t>㎡）</t>
    </r>
  </si>
  <si>
    <t>单方重置现价（元）</t>
    <phoneticPr fontId="235" type="noConversion"/>
  </si>
  <si>
    <r>
      <rPr>
        <sz val="9"/>
        <color theme="1"/>
        <rFont val="宋体"/>
        <family val="3"/>
        <charset val="134"/>
      </rPr>
      <t>重置现价评估总值（万元）</t>
    </r>
  </si>
  <si>
    <t>投资利润</t>
    <phoneticPr fontId="235" type="noConversion"/>
  </si>
  <si>
    <t>合计</t>
    <phoneticPr fontId="235" type="noConversion"/>
  </si>
  <si>
    <t>钢混</t>
    <phoneticPr fontId="235" type="noConversion"/>
  </si>
  <si>
    <t>2</t>
    <phoneticPr fontId="235" type="noConversion"/>
  </si>
  <si>
    <t>8</t>
    <phoneticPr fontId="235" type="noConversion"/>
  </si>
  <si>
    <t>4</t>
    <phoneticPr fontId="235" type="noConversion"/>
  </si>
  <si>
    <t>6</t>
    <phoneticPr fontId="235" type="noConversion"/>
  </si>
  <si>
    <t>6</t>
    <phoneticPr fontId="235" type="noConversion"/>
  </si>
  <si>
    <t>1</t>
    <phoneticPr fontId="235" type="noConversion"/>
  </si>
  <si>
    <t>1</t>
    <phoneticPr fontId="235" type="noConversion"/>
  </si>
  <si>
    <t>砖混</t>
    <phoneticPr fontId="235" type="noConversion"/>
  </si>
  <si>
    <r>
      <rPr>
        <sz val="9"/>
        <color theme="1"/>
        <rFont val="宋体"/>
        <family val="3"/>
        <charset val="134"/>
      </rPr>
      <t>工程进度（</t>
    </r>
    <r>
      <rPr>
        <sz val="9"/>
        <color theme="1"/>
        <rFont val="Arial"/>
        <family val="2"/>
      </rPr>
      <t>%</t>
    </r>
    <r>
      <rPr>
        <sz val="9"/>
        <color theme="1"/>
        <rFont val="宋体"/>
        <family val="3"/>
        <charset val="134"/>
      </rPr>
      <t>）</t>
    </r>
    <phoneticPr fontId="235" type="noConversion"/>
  </si>
  <si>
    <t>框架</t>
    <phoneticPr fontId="235" type="noConversion"/>
  </si>
  <si>
    <r>
      <rPr>
        <b/>
        <sz val="11"/>
        <rFont val="仿宋_GB2312"/>
        <family val="3"/>
        <charset val="134"/>
      </rPr>
      <t>估价对象</t>
    </r>
    <r>
      <rPr>
        <b/>
        <sz val="11"/>
        <color theme="9" tint="-0.249977111117893"/>
        <rFont val="仿宋_GB2312"/>
        <family val="3"/>
        <charset val="134"/>
      </rPr>
      <t>工业用房的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</si>
  <si>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按公示增长率计算</t>
  </si>
  <si>
    <t>好</t>
  </si>
  <si>
    <t>序号</t>
    <phoneticPr fontId="235" type="noConversion"/>
  </si>
  <si>
    <t>项目</t>
    <phoneticPr fontId="235" type="noConversion"/>
  </si>
  <si>
    <t>基数</t>
    <phoneticPr fontId="235" type="noConversion"/>
  </si>
  <si>
    <t>总价（万元）</t>
    <phoneticPr fontId="235" type="noConversion"/>
  </si>
  <si>
    <t>备注</t>
    <phoneticPr fontId="235" type="noConversion"/>
  </si>
  <si>
    <t>土地使用权价格</t>
    <phoneticPr fontId="235" type="noConversion"/>
  </si>
  <si>
    <t>基准地价修正系数法、比较法</t>
    <phoneticPr fontId="235" type="noConversion"/>
  </si>
  <si>
    <t>建（构）筑物价格</t>
    <phoneticPr fontId="235" type="noConversion"/>
  </si>
  <si>
    <t>补偿价格参照《房地产估价规范》[GB/T 50291-2015]、《北京市房屋重置成新价评估技术标准》[北估秘（2016）001号]进行评估。</t>
    <phoneticPr fontId="235" type="noConversion"/>
  </si>
  <si>
    <t>附属物价格</t>
    <phoneticPr fontId="235" type="noConversion"/>
  </si>
  <si>
    <t>——</t>
    <phoneticPr fontId="235" type="noConversion"/>
  </si>
  <si>
    <t>补偿价格参照《北京市房屋重置成新价评估技术标准》[北估秘（2016）001号]进行评估。</t>
    <phoneticPr fontId="235" type="noConversion"/>
  </si>
  <si>
    <t>无法恢复使用的设施设备补偿价</t>
    <phoneticPr fontId="235" type="noConversion"/>
  </si>
  <si>
    <t>——</t>
    <phoneticPr fontId="235" type="noConversion"/>
  </si>
  <si>
    <t>无法恢复使用的设施设备应为委托估价方或不动产权利人提供的全部设备资料清单，于估价期日的重置成新价格。</t>
    <phoneticPr fontId="235" type="noConversion"/>
  </si>
  <si>
    <t>因土地收购造成的停产停业损失补偿费用</t>
    <phoneticPr fontId="235" type="noConversion"/>
  </si>
  <si>
    <t>停产停业损失补偿费=（用于生产经营的非住宅房屋的月租金+月净利润×修正系数+员工月生活补助）×停产停业补偿期限，参照《北京市国有土地上房屋征收停产停业损失补偿暂行办法》[京建法（2011）18号 ]确定。</t>
    <phoneticPr fontId="235" type="noConversion"/>
  </si>
  <si>
    <t>搬迁补偿费用</t>
    <phoneticPr fontId="235" type="noConversion"/>
  </si>
  <si>
    <t>补偿费用参照《关于国有土地上房屋征收与补偿中有关事项的通
知》[京建法（2012）19号]确定。非住宅按50元/建筑平方米搬迁、临时安置补偿费确定，需要搬迁重新安装的空调、电话移机费。</t>
    <phoneticPr fontId="235" type="noConversion"/>
  </si>
  <si>
    <t>合计</t>
    <phoneticPr fontId="235" type="noConversion"/>
  </si>
  <si>
    <t>土地收购补偿价格</t>
    <phoneticPr fontId="235" type="noConversion"/>
  </si>
  <si>
    <t>【1】至【6】项之和</t>
    <phoneticPr fontId="235" type="noConversion"/>
  </si>
  <si>
    <t>序号</t>
    <phoneticPr fontId="235" type="noConversion"/>
  </si>
  <si>
    <t>名称</t>
    <phoneticPr fontId="235" type="noConversion"/>
  </si>
  <si>
    <t>单位</t>
    <phoneticPr fontId="235" type="noConversion"/>
  </si>
  <si>
    <t>数量</t>
    <phoneticPr fontId="235" type="noConversion"/>
  </si>
  <si>
    <t>分数</t>
    <phoneticPr fontId="235" type="noConversion"/>
  </si>
  <si>
    <t>成新率</t>
    <phoneticPr fontId="235" type="noConversion"/>
  </si>
  <si>
    <t>金额（万元）</t>
    <phoneticPr fontId="235" type="noConversion"/>
  </si>
  <si>
    <t>树木</t>
    <phoneticPr fontId="235" type="noConversion"/>
  </si>
  <si>
    <t>棵</t>
    <phoneticPr fontId="235" type="noConversion"/>
  </si>
  <si>
    <t>道路（沥青）</t>
    <phoneticPr fontId="235" type="noConversion"/>
  </si>
  <si>
    <t>平方米</t>
    <phoneticPr fontId="235" type="noConversion"/>
  </si>
  <si>
    <t>水泥格砖</t>
    <phoneticPr fontId="235" type="noConversion"/>
  </si>
  <si>
    <t>围栏</t>
    <phoneticPr fontId="235" type="noConversion"/>
  </si>
  <si>
    <t>米</t>
    <phoneticPr fontId="235" type="noConversion"/>
  </si>
  <si>
    <t>伸缩门</t>
    <phoneticPr fontId="235" type="noConversion"/>
  </si>
  <si>
    <t>篮球场地面</t>
    <phoneticPr fontId="235" type="noConversion"/>
  </si>
  <si>
    <t>旗杆</t>
    <phoneticPr fontId="235" type="noConversion"/>
  </si>
  <si>
    <t>路灯</t>
    <phoneticPr fontId="235" type="noConversion"/>
  </si>
  <si>
    <t>个</t>
    <phoneticPr fontId="235" type="noConversion"/>
  </si>
  <si>
    <t>板式太阳能</t>
    <phoneticPr fontId="235" type="noConversion"/>
  </si>
  <si>
    <t>合计</t>
    <phoneticPr fontId="235" type="noConversion"/>
  </si>
  <si>
    <t>分值</t>
    <phoneticPr fontId="235" type="noConversion"/>
  </si>
  <si>
    <t>胸径（cm）</t>
    <phoneticPr fontId="235" type="noConversion"/>
  </si>
  <si>
    <t>数量</t>
    <phoneticPr fontId="235" type="noConversion"/>
  </si>
  <si>
    <t>单价</t>
    <phoneticPr fontId="5" type="noConversion"/>
  </si>
  <si>
    <t>总价</t>
    <phoneticPr fontId="5" type="noConversion"/>
  </si>
  <si>
    <t>杨树</t>
    <phoneticPr fontId="5" type="noConversion"/>
  </si>
  <si>
    <t>柳树</t>
    <phoneticPr fontId="5" type="noConversion"/>
  </si>
  <si>
    <t>榆树</t>
    <phoneticPr fontId="5" type="noConversion"/>
  </si>
  <si>
    <t>桑树</t>
    <phoneticPr fontId="5" type="noConversion"/>
  </si>
  <si>
    <t>椿树</t>
    <phoneticPr fontId="5" type="noConversion"/>
  </si>
  <si>
    <t>桃树</t>
    <phoneticPr fontId="5" type="noConversion"/>
  </si>
  <si>
    <t>合计</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</si>
</sst>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2"/>
      <color indexed="12"/>
      <name val="宋体"/>
      <family val="3"/>
      <charset val="134"/>
    </font>
    <font>
      <sz val="9"/>
      <color theme="1"/>
      <name val="宋体"/>
      <family val="3"/>
      <charset val="134"/>
    </font>
    <font>
      <sz val="12"/>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4.9989318521683403E-2"/>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style="double">
        <color indexed="64"/>
      </bottom>
      <diagonal/>
    </border>
  </borders>
  <cellStyleXfs count="20">
    <xf numFmtId="0" fontId="0" fillId="0" borderId="0">
      <alignment vertical="center"/>
    </xf>
    <xf numFmtId="0" fontId="147" fillId="0" borderId="0">
      <alignment vertical="center"/>
    </xf>
    <xf numFmtId="0" fontId="147" fillId="0" borderId="0">
      <alignment vertical="center"/>
    </xf>
    <xf numFmtId="0" fontId="147" fillId="0" borderId="0">
      <alignment vertical="center"/>
    </xf>
    <xf numFmtId="0" fontId="147" fillId="0" borderId="0"/>
    <xf numFmtId="0" fontId="147" fillId="0" borderId="0">
      <alignment vertical="center"/>
    </xf>
    <xf numFmtId="0" fontId="34" fillId="0" borderId="0"/>
    <xf numFmtId="0" fontId="147" fillId="0" borderId="0">
      <alignment vertical="center"/>
    </xf>
    <xf numFmtId="0" fontId="147" fillId="0" borderId="0"/>
    <xf numFmtId="0" fontId="147" fillId="0" borderId="0">
      <alignment vertical="center"/>
    </xf>
    <xf numFmtId="0" fontId="4" fillId="0" borderId="0">
      <alignment vertical="center"/>
    </xf>
    <xf numFmtId="9" fontId="34" fillId="0" borderId="0" applyFont="0" applyFill="0" applyBorder="0" applyAlignment="0" applyProtection="0">
      <alignment vertical="center"/>
    </xf>
    <xf numFmtId="0" fontId="147" fillId="0" borderId="0">
      <alignment vertical="center"/>
    </xf>
    <xf numFmtId="0" fontId="3" fillId="0" borderId="0">
      <alignment vertical="center"/>
    </xf>
    <xf numFmtId="0" fontId="263" fillId="0" borderId="0"/>
    <xf numFmtId="0" fontId="2" fillId="0" borderId="0">
      <alignment vertical="center"/>
    </xf>
    <xf numFmtId="0" fontId="2" fillId="0" borderId="0">
      <alignment vertical="center"/>
    </xf>
    <xf numFmtId="0" fontId="2" fillId="0" borderId="0">
      <alignment vertical="center"/>
    </xf>
    <xf numFmtId="0" fontId="279" fillId="0" borderId="0" applyNumberFormat="0" applyFill="0" applyBorder="0" applyAlignment="0" applyProtection="0">
      <alignment vertical="top"/>
      <protection locked="0"/>
    </xf>
    <xf numFmtId="0" fontId="1" fillId="0" borderId="0">
      <alignment vertical="center"/>
    </xf>
  </cellStyleXfs>
  <cellXfs count="3594">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50" fillId="0" borderId="2" xfId="0" applyFont="1" applyBorder="1" applyAlignment="1">
      <alignment vertical="center" wrapText="1"/>
    </xf>
    <xf numFmtId="0" fontId="150" fillId="0" borderId="2" xfId="0" applyFont="1" applyBorder="1" applyAlignment="1">
      <alignment horizontal="center" vertical="center" wrapText="1"/>
    </xf>
    <xf numFmtId="0" fontId="151" fillId="5" borderId="3" xfId="0" applyFont="1" applyFill="1" applyBorder="1" applyAlignment="1" applyProtection="1">
      <alignment horizontal="center" vertical="center" wrapText="1"/>
    </xf>
    <xf numFmtId="0" fontId="151" fillId="5" borderId="0" xfId="0"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wrapText="1"/>
    </xf>
    <xf numFmtId="0" fontId="151" fillId="0" borderId="2" xfId="0" applyFont="1" applyBorder="1" applyAlignment="1" applyProtection="1">
      <alignment horizontal="center" vertical="center"/>
      <protection locked="0"/>
    </xf>
    <xf numFmtId="0" fontId="151" fillId="5" borderId="0" xfId="0" applyFont="1" applyFill="1" applyAlignment="1" applyProtection="1">
      <alignment horizontal="center" vertical="center"/>
    </xf>
    <xf numFmtId="0" fontId="151" fillId="0" borderId="0" xfId="0" applyFont="1" applyAlignment="1" applyProtection="1">
      <alignment horizontal="center" vertical="center"/>
      <protection locked="0"/>
    </xf>
    <xf numFmtId="0" fontId="151" fillId="5" borderId="0" xfId="0" applyFont="1" applyFill="1" applyProtection="1">
      <alignment vertical="center"/>
    </xf>
    <xf numFmtId="0" fontId="78" fillId="0" borderId="2" xfId="0" applyFont="1" applyBorder="1" applyAlignment="1" applyProtection="1">
      <alignment horizontal="center" vertical="center" wrapText="1"/>
      <protection locked="0"/>
    </xf>
    <xf numFmtId="0" fontId="152" fillId="5" borderId="0" xfId="0" applyFont="1" applyFill="1" applyAlignment="1" applyProtection="1">
      <alignment horizontal="left" vertical="center"/>
    </xf>
    <xf numFmtId="0" fontId="73" fillId="5" borderId="0" xfId="0" applyFont="1" applyFill="1" applyAlignment="1" applyProtection="1">
      <alignment horizontal="center" vertical="center" wrapText="1"/>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8" fillId="5" borderId="2" xfId="0" applyFont="1" applyFill="1" applyBorder="1" applyAlignment="1" applyProtection="1">
      <alignment horizontal="center" vertical="center" wrapText="1"/>
    </xf>
    <xf numFmtId="0" fontId="78" fillId="0" borderId="0" xfId="0" applyFont="1" applyAlignment="1" applyProtection="1">
      <alignment horizontal="center" vertical="center" wrapText="1"/>
      <protection locked="0"/>
    </xf>
    <xf numFmtId="0" fontId="153" fillId="5" borderId="0" xfId="0" applyFont="1" applyFill="1" applyAlignment="1" applyProtection="1">
      <alignment horizontal="left" vertical="center"/>
    </xf>
    <xf numFmtId="0" fontId="78" fillId="5" borderId="4" xfId="0" applyFont="1" applyFill="1" applyBorder="1" applyAlignment="1" applyProtection="1">
      <alignment horizontal="center" vertical="center" wrapText="1"/>
    </xf>
    <xf numFmtId="179" fontId="78" fillId="0" borderId="2" xfId="0" applyNumberFormat="1" applyFont="1" applyBorder="1" applyAlignment="1" applyProtection="1">
      <alignment horizontal="center" vertical="center" wrapText="1"/>
      <protection locked="0"/>
    </xf>
    <xf numFmtId="179" fontId="154" fillId="5" borderId="2"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center" vertical="center" wrapText="1"/>
      <protection locked="0"/>
    </xf>
    <xf numFmtId="0" fontId="78" fillId="3" borderId="5" xfId="0" applyFont="1" applyFill="1" applyBorder="1" applyAlignment="1" applyProtection="1">
      <alignment horizontal="center" vertical="center" wrapText="1"/>
      <protection locked="0"/>
    </xf>
    <xf numFmtId="0" fontId="78" fillId="0" borderId="0" xfId="0" applyFont="1" applyFill="1" applyAlignment="1" applyProtection="1">
      <alignment horizontal="center" vertical="center" wrapText="1"/>
      <protection locked="0"/>
    </xf>
    <xf numFmtId="0" fontId="78" fillId="5" borderId="5" xfId="0" applyFont="1" applyFill="1" applyBorder="1" applyAlignment="1" applyProtection="1">
      <alignment horizontal="left" vertical="center"/>
    </xf>
    <xf numFmtId="176" fontId="78" fillId="5" borderId="2" xfId="0" applyNumberFormat="1" applyFont="1" applyFill="1" applyBorder="1" applyAlignment="1" applyProtection="1">
      <alignment horizontal="center" vertical="center" wrapText="1"/>
    </xf>
    <xf numFmtId="0" fontId="78" fillId="5" borderId="1" xfId="0" applyFont="1" applyFill="1" applyBorder="1" applyAlignment="1" applyProtection="1">
      <alignment horizontal="center" vertical="center" wrapText="1"/>
    </xf>
    <xf numFmtId="176" fontId="78" fillId="5" borderId="6" xfId="0" applyNumberFormat="1" applyFont="1" applyFill="1" applyBorder="1" applyAlignment="1" applyProtection="1">
      <alignment horizontal="center" vertical="center" wrapText="1"/>
    </xf>
    <xf numFmtId="176" fontId="78" fillId="5" borderId="7" xfId="0" applyNumberFormat="1" applyFont="1" applyFill="1" applyBorder="1" applyAlignment="1" applyProtection="1">
      <alignment horizontal="center" vertical="center" wrapText="1"/>
    </xf>
    <xf numFmtId="176" fontId="78" fillId="5" borderId="8" xfId="0" applyNumberFormat="1" applyFont="1" applyFill="1" applyBorder="1" applyAlignment="1" applyProtection="1">
      <alignment horizontal="center" vertical="center" wrapText="1"/>
    </xf>
    <xf numFmtId="176" fontId="78" fillId="5" borderId="9" xfId="0" applyNumberFormat="1" applyFont="1" applyFill="1" applyBorder="1" applyAlignment="1" applyProtection="1">
      <alignment horizontal="center" vertical="center" wrapText="1"/>
    </xf>
    <xf numFmtId="176" fontId="78" fillId="5" borderId="10" xfId="0" applyNumberFormat="1" applyFont="1" applyFill="1" applyBorder="1" applyAlignment="1" applyProtection="1">
      <alignment horizontal="center" vertical="center" wrapText="1"/>
    </xf>
    <xf numFmtId="176" fontId="78" fillId="5" borderId="5" xfId="0" applyNumberFormat="1" applyFont="1" applyFill="1" applyBorder="1" applyAlignment="1" applyProtection="1">
      <alignment horizontal="center" vertical="center" wrapText="1"/>
    </xf>
    <xf numFmtId="176" fontId="78" fillId="5" borderId="11" xfId="0" applyNumberFormat="1" applyFont="1" applyFill="1" applyBorder="1" applyAlignment="1" applyProtection="1">
      <alignment horizontal="center" vertical="center" wrapText="1"/>
    </xf>
    <xf numFmtId="176" fontId="78" fillId="5" borderId="12" xfId="0" applyNumberFormat="1" applyFont="1" applyFill="1" applyBorder="1" applyAlignment="1" applyProtection="1">
      <alignment horizontal="center" vertical="center" wrapText="1"/>
    </xf>
    <xf numFmtId="176" fontId="78" fillId="0" borderId="0" xfId="0" applyNumberFormat="1" applyFont="1" applyAlignment="1" applyProtection="1">
      <alignment horizontal="center" vertical="center" wrapText="1"/>
      <protection locked="0"/>
    </xf>
    <xf numFmtId="0" fontId="78" fillId="5" borderId="13" xfId="0" applyFont="1" applyFill="1" applyBorder="1" applyAlignment="1" applyProtection="1">
      <alignment horizontal="center" vertical="center" wrapText="1"/>
    </xf>
    <xf numFmtId="0" fontId="78" fillId="5" borderId="4" xfId="0" applyFont="1" applyFill="1" applyBorder="1" applyAlignment="1" applyProtection="1">
      <alignment horizontal="left" vertical="center"/>
    </xf>
    <xf numFmtId="0" fontId="78" fillId="5" borderId="14" xfId="0" applyFont="1" applyFill="1" applyBorder="1" applyAlignment="1" applyProtection="1">
      <alignment horizontal="center" vertical="center" wrapText="1"/>
    </xf>
    <xf numFmtId="0" fontId="78" fillId="5" borderId="10" xfId="0" applyFont="1" applyFill="1" applyBorder="1" applyAlignment="1" applyProtection="1">
      <alignment horizontal="center" vertical="center" wrapText="1"/>
    </xf>
    <xf numFmtId="0" fontId="78" fillId="5" borderId="0" xfId="0" applyFont="1" applyFill="1" applyBorder="1" applyAlignment="1" applyProtection="1">
      <alignment horizontal="center" vertical="center" wrapText="1"/>
    </xf>
    <xf numFmtId="0" fontId="78" fillId="5" borderId="14" xfId="0" applyFont="1" applyFill="1" applyBorder="1" applyAlignment="1" applyProtection="1">
      <alignment horizontal="center" vertical="center"/>
    </xf>
    <xf numFmtId="0" fontId="78" fillId="5" borderId="15" xfId="0" applyFont="1" applyFill="1" applyBorder="1" applyAlignment="1" applyProtection="1">
      <alignment horizontal="center" vertical="center" wrapText="1"/>
    </xf>
    <xf numFmtId="0" fontId="78" fillId="5" borderId="13" xfId="0" applyFont="1" applyFill="1" applyBorder="1" applyAlignment="1" applyProtection="1">
      <alignment horizontal="center" vertical="center"/>
    </xf>
    <xf numFmtId="0" fontId="78" fillId="5" borderId="4" xfId="0" applyFont="1" applyFill="1" applyBorder="1" applyAlignment="1" applyProtection="1">
      <alignment horizontal="center" vertical="center"/>
    </xf>
    <xf numFmtId="179" fontId="78" fillId="5" borderId="5" xfId="0" applyNumberFormat="1" applyFont="1" applyFill="1" applyBorder="1" applyAlignment="1" applyProtection="1">
      <alignment horizontal="left" vertical="center"/>
    </xf>
    <xf numFmtId="0" fontId="81" fillId="5" borderId="8" xfId="0" applyFont="1" applyFill="1" applyBorder="1" applyAlignment="1" applyProtection="1">
      <alignment horizontal="center" vertical="center"/>
    </xf>
    <xf numFmtId="179" fontId="78" fillId="5" borderId="8" xfId="0" applyNumberFormat="1" applyFont="1" applyFill="1" applyBorder="1" applyAlignment="1" applyProtection="1">
      <alignment horizontal="center" vertical="center"/>
    </xf>
    <xf numFmtId="179" fontId="78" fillId="5" borderId="9" xfId="0" applyNumberFormat="1" applyFont="1" applyFill="1" applyBorder="1" applyAlignment="1" applyProtection="1">
      <alignment horizontal="center" vertical="center"/>
    </xf>
    <xf numFmtId="0" fontId="78" fillId="5" borderId="8" xfId="0" applyFont="1" applyFill="1" applyBorder="1" applyAlignment="1" applyProtection="1">
      <alignment horizontal="left" vertical="center"/>
    </xf>
    <xf numFmtId="0" fontId="81" fillId="5" borderId="14"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16" xfId="0" applyFont="1" applyFill="1" applyBorder="1" applyAlignment="1" applyProtection="1">
      <alignment horizontal="center" vertical="center"/>
    </xf>
    <xf numFmtId="0" fontId="78" fillId="0" borderId="0" xfId="0" applyFont="1" applyAlignment="1" applyProtection="1">
      <alignment horizontal="center" vertical="center"/>
      <protection locked="0"/>
    </xf>
    <xf numFmtId="179" fontId="78" fillId="5" borderId="0" xfId="0" applyNumberFormat="1" applyFont="1" applyFill="1" applyBorder="1" applyAlignment="1" applyProtection="1">
      <alignment horizontal="center" vertical="center"/>
    </xf>
    <xf numFmtId="0" fontId="78" fillId="2" borderId="17" xfId="0" applyFont="1" applyFill="1" applyBorder="1" applyAlignment="1" applyProtection="1">
      <alignment horizontal="left" vertical="center"/>
      <protection locked="0"/>
    </xf>
    <xf numFmtId="0" fontId="81" fillId="5" borderId="8"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5" borderId="18" xfId="0" applyFont="1" applyFill="1" applyBorder="1" applyAlignment="1" applyProtection="1">
      <alignment horizontal="center" vertical="center"/>
    </xf>
    <xf numFmtId="179" fontId="78" fillId="5" borderId="17" xfId="0" applyNumberFormat="1"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179" fontId="78" fillId="5" borderId="20" xfId="0" applyNumberFormat="1" applyFont="1" applyFill="1" applyBorder="1" applyAlignment="1" applyProtection="1">
      <alignment horizontal="center" vertical="center"/>
    </xf>
    <xf numFmtId="0" fontId="78" fillId="2" borderId="5" xfId="0" applyFont="1" applyFill="1" applyBorder="1" applyAlignment="1" applyProtection="1">
      <alignment horizontal="left" vertical="center"/>
      <protection locked="0"/>
    </xf>
    <xf numFmtId="179" fontId="78" fillId="5" borderId="18" xfId="0" applyNumberFormat="1" applyFont="1" applyFill="1" applyBorder="1" applyAlignment="1" applyProtection="1">
      <alignment horizontal="center" vertical="center"/>
    </xf>
    <xf numFmtId="0" fontId="78" fillId="5" borderId="20" xfId="0" applyFont="1" applyFill="1" applyBorder="1" applyAlignment="1" applyProtection="1">
      <alignment horizontal="center" vertical="center"/>
    </xf>
    <xf numFmtId="0" fontId="78" fillId="5" borderId="21" xfId="0" applyFont="1" applyFill="1" applyBorder="1" applyAlignment="1" applyProtection="1">
      <alignment horizontal="center" vertical="center"/>
    </xf>
    <xf numFmtId="0" fontId="78" fillId="2" borderId="8" xfId="0" applyFont="1" applyFill="1" applyBorder="1" applyAlignment="1" applyProtection="1">
      <alignment horizontal="left" vertical="center"/>
      <protection locked="0"/>
    </xf>
    <xf numFmtId="0" fontId="81" fillId="5" borderId="9" xfId="0" applyFont="1" applyFill="1" applyBorder="1" applyAlignment="1" applyProtection="1">
      <alignment horizontal="left" vertical="center"/>
    </xf>
    <xf numFmtId="0" fontId="78" fillId="5" borderId="17" xfId="0"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179" fontId="78" fillId="5" borderId="20" xfId="0" applyNumberFormat="1" applyFont="1" applyFill="1" applyBorder="1" applyAlignment="1" applyProtection="1">
      <alignment horizontal="center" vertical="center" wrapText="1"/>
    </xf>
    <xf numFmtId="179" fontId="78" fillId="5" borderId="21" xfId="0" applyNumberFormat="1" applyFont="1" applyFill="1" applyBorder="1" applyAlignment="1" applyProtection="1">
      <alignment horizontal="center" vertical="center" wrapText="1"/>
    </xf>
    <xf numFmtId="179" fontId="78" fillId="5" borderId="17" xfId="0" applyNumberFormat="1" applyFont="1" applyFill="1" applyBorder="1" applyAlignment="1" applyProtection="1">
      <alignment horizontal="center" vertical="center" wrapText="1"/>
    </xf>
    <xf numFmtId="0" fontId="78" fillId="5" borderId="3" xfId="0" applyFont="1" applyFill="1" applyBorder="1" applyAlignment="1" applyProtection="1">
      <alignment horizontal="center" vertical="center" wrapText="1"/>
    </xf>
    <xf numFmtId="0" fontId="78" fillId="5" borderId="18" xfId="0" applyFont="1" applyFill="1" applyBorder="1" applyAlignment="1" applyProtection="1">
      <alignment horizontal="center" vertical="center" wrapText="1"/>
    </xf>
    <xf numFmtId="179" fontId="78" fillId="5" borderId="2" xfId="0" applyNumberFormat="1" applyFont="1" applyFill="1" applyBorder="1" applyAlignment="1" applyProtection="1">
      <alignment horizontal="center" vertical="center"/>
    </xf>
    <xf numFmtId="0" fontId="78" fillId="2" borderId="21" xfId="0" applyFont="1" applyFill="1" applyBorder="1" applyAlignment="1" applyProtection="1">
      <alignment horizontal="center" vertical="center" wrapText="1"/>
      <protection locked="0"/>
    </xf>
    <xf numFmtId="176" fontId="78" fillId="0" borderId="21" xfId="0" applyNumberFormat="1" applyFont="1" applyFill="1" applyBorder="1" applyAlignment="1" applyProtection="1">
      <alignment horizontal="center" vertical="center" wrapText="1"/>
      <protection locked="0"/>
    </xf>
    <xf numFmtId="176" fontId="78" fillId="5" borderId="21" xfId="0" applyNumberFormat="1" applyFont="1" applyFill="1" applyBorder="1" applyAlignment="1" applyProtection="1">
      <alignment horizontal="center" vertical="center" wrapText="1"/>
    </xf>
    <xf numFmtId="176" fontId="78" fillId="0" borderId="2" xfId="0" applyNumberFormat="1" applyFont="1" applyBorder="1" applyAlignment="1" applyProtection="1">
      <alignment vertical="center" wrapText="1"/>
      <protection locked="0"/>
    </xf>
    <xf numFmtId="0" fontId="73" fillId="0" borderId="2"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6" borderId="21" xfId="0" applyFont="1" applyFill="1" applyBorder="1" applyAlignment="1" applyProtection="1">
      <alignment horizontal="center" vertical="center" wrapText="1"/>
      <protection locked="0"/>
    </xf>
    <xf numFmtId="176" fontId="73" fillId="5" borderId="2" xfId="0" applyNumberFormat="1" applyFont="1" applyFill="1" applyBorder="1" applyAlignment="1" applyProtection="1">
      <alignment horizontal="center" vertical="center" wrapText="1"/>
    </xf>
    <xf numFmtId="176" fontId="73" fillId="0" borderId="21" xfId="0" applyNumberFormat="1" applyFont="1" applyFill="1" applyBorder="1" applyAlignment="1" applyProtection="1">
      <alignment horizontal="center" vertical="center" wrapText="1"/>
      <protection locked="0"/>
    </xf>
    <xf numFmtId="176" fontId="73" fillId="5" borderId="21" xfId="0" applyNumberFormat="1" applyFont="1" applyFill="1" applyBorder="1" applyAlignment="1" applyProtection="1">
      <alignment horizontal="center" vertical="center" wrapText="1"/>
    </xf>
    <xf numFmtId="176" fontId="73" fillId="5" borderId="10" xfId="0" applyNumberFormat="1" applyFont="1" applyFill="1" applyBorder="1" applyAlignment="1" applyProtection="1">
      <alignment horizontal="center" vertical="center" wrapText="1"/>
    </xf>
    <xf numFmtId="176" fontId="73" fillId="0" borderId="2" xfId="0" applyNumberFormat="1" applyFont="1" applyBorder="1" applyAlignment="1" applyProtection="1">
      <alignment vertical="center" wrapText="1"/>
      <protection locked="0"/>
    </xf>
    <xf numFmtId="176" fontId="73" fillId="0" borderId="2" xfId="0" applyNumberFormat="1" applyFont="1" applyBorder="1" applyAlignment="1" applyProtection="1">
      <alignment horizontal="center" vertical="center" wrapText="1"/>
      <protection locked="0"/>
    </xf>
    <xf numFmtId="176" fontId="73" fillId="0" borderId="21" xfId="0" applyNumberFormat="1"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0" fontId="73" fillId="5" borderId="9" xfId="0" applyFont="1" applyFill="1" applyBorder="1" applyAlignment="1" applyProtection="1">
      <alignment horizontal="center" vertical="center" wrapText="1"/>
    </xf>
    <xf numFmtId="176" fontId="73" fillId="5" borderId="12" xfId="0" applyNumberFormat="1" applyFont="1" applyFill="1" applyBorder="1" applyAlignment="1" applyProtection="1">
      <alignment horizontal="center" vertical="center" wrapText="1"/>
    </xf>
    <xf numFmtId="176" fontId="73" fillId="0" borderId="2"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vertical="center" wrapText="1"/>
      <protection locked="0"/>
    </xf>
    <xf numFmtId="0" fontId="73" fillId="0" borderId="5"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176" fontId="73" fillId="0" borderId="0"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82" fillId="0" borderId="0" xfId="0" applyFont="1" applyAlignment="1" applyProtection="1">
      <alignment horizontal="center" vertical="center"/>
      <protection locked="0"/>
    </xf>
    <xf numFmtId="0" fontId="152" fillId="5" borderId="0" xfId="0" applyFont="1" applyFill="1" applyProtection="1">
      <alignment vertical="center"/>
    </xf>
    <xf numFmtId="0" fontId="73" fillId="5" borderId="0" xfId="0" applyFont="1" applyFill="1" applyProtection="1">
      <alignment vertical="center"/>
    </xf>
    <xf numFmtId="176" fontId="85" fillId="5" borderId="2" xfId="2" applyNumberFormat="1" applyFont="1" applyFill="1" applyBorder="1" applyAlignment="1" applyProtection="1">
      <alignment horizontal="center" vertical="center"/>
    </xf>
    <xf numFmtId="0" fontId="77" fillId="5" borderId="10" xfId="0" applyFont="1" applyFill="1" applyBorder="1" applyAlignment="1" applyProtection="1">
      <alignment vertical="center"/>
    </xf>
    <xf numFmtId="0" fontId="77" fillId="5" borderId="6" xfId="0" applyFont="1" applyFill="1" applyBorder="1" applyAlignment="1" applyProtection="1">
      <alignment horizontal="center" vertical="center"/>
    </xf>
    <xf numFmtId="176" fontId="85" fillId="5" borderId="7" xfId="2" applyNumberFormat="1" applyFont="1" applyFill="1" applyBorder="1" applyAlignment="1" applyProtection="1">
      <alignment horizontal="center" vertical="center"/>
    </xf>
    <xf numFmtId="0" fontId="73" fillId="5" borderId="22" xfId="0" applyFont="1" applyFill="1" applyBorder="1" applyAlignment="1" applyProtection="1">
      <alignment vertical="center"/>
    </xf>
    <xf numFmtId="0" fontId="73" fillId="5" borderId="2" xfId="0" applyFont="1" applyFill="1" applyBorder="1" applyAlignment="1" applyProtection="1">
      <alignment vertical="center"/>
    </xf>
    <xf numFmtId="176" fontId="73" fillId="5" borderId="12" xfId="0" applyNumberFormat="1" applyFont="1" applyFill="1" applyBorder="1" applyAlignment="1" applyProtection="1">
      <alignment vertical="center"/>
    </xf>
    <xf numFmtId="0" fontId="73" fillId="5" borderId="23" xfId="0" applyFont="1" applyFill="1" applyBorder="1" applyAlignment="1" applyProtection="1">
      <alignment vertical="center"/>
    </xf>
    <xf numFmtId="176" fontId="77" fillId="5" borderId="7"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12" xfId="0" applyFont="1" applyFill="1" applyBorder="1" applyAlignment="1" applyProtection="1">
      <alignment vertical="center"/>
    </xf>
    <xf numFmtId="0" fontId="73" fillId="5" borderId="24" xfId="0" applyFont="1" applyFill="1" applyBorder="1" applyAlignment="1" applyProtection="1">
      <alignment vertical="center"/>
    </xf>
    <xf numFmtId="0" fontId="73" fillId="5" borderId="3" xfId="0" applyFont="1" applyFill="1" applyBorder="1" applyAlignment="1" applyProtection="1">
      <alignment vertical="center"/>
    </xf>
    <xf numFmtId="0" fontId="73" fillId="0" borderId="12" xfId="0" applyFont="1" applyFill="1" applyBorder="1" applyAlignment="1" applyProtection="1">
      <alignment vertical="center"/>
      <protection locked="0"/>
    </xf>
    <xf numFmtId="0" fontId="73" fillId="5" borderId="25" xfId="0" applyFont="1" applyFill="1" applyBorder="1" applyAlignment="1" applyProtection="1">
      <alignment vertical="center"/>
    </xf>
    <xf numFmtId="0" fontId="73" fillId="5" borderId="26" xfId="0" applyFont="1" applyFill="1" applyBorder="1" applyAlignment="1" applyProtection="1">
      <alignment vertical="center"/>
    </xf>
    <xf numFmtId="0" fontId="73" fillId="5" borderId="27" xfId="0" applyFont="1" applyFill="1" applyBorder="1" applyProtection="1">
      <alignment vertical="center"/>
    </xf>
    <xf numFmtId="0" fontId="73" fillId="5" borderId="28" xfId="0" applyFont="1" applyFill="1" applyBorder="1" applyAlignment="1" applyProtection="1">
      <alignment vertical="center"/>
    </xf>
    <xf numFmtId="176" fontId="85" fillId="5" borderId="29" xfId="2" applyNumberFormat="1" applyFont="1" applyFill="1" applyBorder="1" applyAlignment="1" applyProtection="1">
      <alignment horizontal="center" vertical="center"/>
    </xf>
    <xf numFmtId="176" fontId="85" fillId="5" borderId="30" xfId="2" applyNumberFormat="1" applyFont="1" applyFill="1" applyBorder="1" applyAlignment="1" applyProtection="1">
      <alignment horizontal="center" vertical="center"/>
    </xf>
    <xf numFmtId="0" fontId="77" fillId="5" borderId="5"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21" xfId="0" applyFont="1" applyFill="1" applyBorder="1" applyAlignment="1" applyProtection="1">
      <alignment vertical="center"/>
    </xf>
    <xf numFmtId="0" fontId="73" fillId="5" borderId="0" xfId="0" applyFont="1" applyFill="1" applyBorder="1" applyAlignment="1" applyProtection="1">
      <alignment vertical="center"/>
    </xf>
    <xf numFmtId="176" fontId="86" fillId="5" borderId="2" xfId="2"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179" fontId="73" fillId="5" borderId="2" xfId="0" applyNumberFormat="1" applyFont="1" applyFill="1" applyBorder="1" applyAlignment="1" applyProtection="1">
      <alignment horizontal="center" vertical="center"/>
    </xf>
    <xf numFmtId="0" fontId="73" fillId="5" borderId="31" xfId="0" applyFont="1" applyFill="1" applyBorder="1" applyProtection="1">
      <alignment vertical="center"/>
    </xf>
    <xf numFmtId="176" fontId="73" fillId="5" borderId="2" xfId="0" applyNumberFormat="1" applyFont="1" applyFill="1" applyBorder="1" applyAlignment="1" applyProtection="1">
      <alignment vertical="center"/>
    </xf>
    <xf numFmtId="0" fontId="78" fillId="3" borderId="9" xfId="0" applyFont="1" applyFill="1" applyBorder="1" applyProtection="1">
      <alignment vertical="center"/>
      <protection locked="0"/>
    </xf>
    <xf numFmtId="0" fontId="73" fillId="5" borderId="9" xfId="0" applyFont="1" applyFill="1" applyBorder="1" applyAlignment="1" applyProtection="1">
      <alignment vertical="center"/>
    </xf>
    <xf numFmtId="0" fontId="78" fillId="0" borderId="2" xfId="0" applyFont="1" applyBorder="1" applyAlignment="1" applyProtection="1">
      <alignment horizontal="center" vertical="center"/>
      <protection locked="0"/>
    </xf>
    <xf numFmtId="0" fontId="73" fillId="5" borderId="31" xfId="0" applyFont="1" applyFill="1" applyBorder="1" applyAlignment="1" applyProtection="1">
      <alignment vertical="center"/>
    </xf>
    <xf numFmtId="177" fontId="73" fillId="0" borderId="2" xfId="2" applyNumberFormat="1" applyFont="1" applyFill="1" applyBorder="1" applyAlignment="1" applyProtection="1">
      <alignment vertical="center"/>
      <protection locked="0"/>
    </xf>
    <xf numFmtId="0" fontId="73" fillId="3" borderId="32" xfId="0" applyFont="1" applyFill="1" applyBorder="1" applyProtection="1">
      <alignment vertical="center"/>
      <protection locked="0"/>
    </xf>
    <xf numFmtId="0" fontId="73" fillId="0" borderId="2" xfId="0" applyFont="1" applyBorder="1" applyAlignment="1" applyProtection="1">
      <alignment horizontal="center" vertical="center"/>
      <protection locked="0"/>
    </xf>
    <xf numFmtId="177" fontId="73" fillId="0" borderId="9" xfId="2" applyNumberFormat="1" applyFont="1" applyFill="1" applyBorder="1" applyAlignment="1" applyProtection="1">
      <alignment vertical="center"/>
      <protection locked="0"/>
    </xf>
    <xf numFmtId="176" fontId="73" fillId="5" borderId="2" xfId="0" applyNumberFormat="1" applyFont="1" applyFill="1" applyBorder="1" applyAlignment="1" applyProtection="1">
      <alignment horizontal="center" vertical="center"/>
    </xf>
    <xf numFmtId="0" fontId="73" fillId="5" borderId="9" xfId="0" applyFont="1" applyFill="1" applyBorder="1" applyProtection="1">
      <alignment vertical="center"/>
    </xf>
    <xf numFmtId="0" fontId="73" fillId="5" borderId="16" xfId="0" applyFont="1" applyFill="1" applyBorder="1" applyProtection="1">
      <alignment vertical="center"/>
    </xf>
    <xf numFmtId="0" fontId="73" fillId="5" borderId="25" xfId="0" applyFont="1" applyFill="1" applyBorder="1" applyProtection="1">
      <alignment vertical="center"/>
    </xf>
    <xf numFmtId="0" fontId="73" fillId="5" borderId="32" xfId="0" applyFont="1" applyFill="1" applyBorder="1" applyAlignment="1" applyProtection="1">
      <alignment horizontal="left" vertical="center"/>
    </xf>
    <xf numFmtId="0" fontId="152" fillId="5" borderId="0" xfId="0" applyFont="1" applyFill="1" applyAlignment="1" applyProtection="1">
      <alignment vertical="center" wrapText="1"/>
    </xf>
    <xf numFmtId="0" fontId="77" fillId="5" borderId="33" xfId="0" applyFont="1" applyFill="1" applyBorder="1" applyAlignment="1" applyProtection="1">
      <alignment vertical="center" wrapText="1"/>
    </xf>
    <xf numFmtId="0" fontId="77" fillId="5" borderId="35" xfId="0" applyFont="1" applyFill="1" applyBorder="1" applyAlignment="1" applyProtection="1">
      <alignment vertical="center" wrapText="1"/>
    </xf>
    <xf numFmtId="0" fontId="73" fillId="5" borderId="4" xfId="0" applyFont="1" applyFill="1" applyBorder="1" applyAlignment="1" applyProtection="1">
      <alignment horizontal="center" vertical="center"/>
    </xf>
    <xf numFmtId="0" fontId="73" fillId="5" borderId="36" xfId="0" applyFont="1" applyFill="1" applyBorder="1" applyAlignment="1" applyProtection="1">
      <alignment vertical="center"/>
    </xf>
    <xf numFmtId="0" fontId="73" fillId="5" borderId="37" xfId="0" applyFont="1" applyFill="1" applyBorder="1" applyAlignment="1" applyProtection="1">
      <alignment vertical="center"/>
    </xf>
    <xf numFmtId="0" fontId="73" fillId="5" borderId="38" xfId="0" applyFont="1" applyFill="1" applyBorder="1" applyAlignment="1" applyProtection="1">
      <alignment vertical="center"/>
    </xf>
    <xf numFmtId="0" fontId="73" fillId="5" borderId="39" xfId="0" applyFont="1" applyFill="1" applyBorder="1" applyAlignment="1" applyProtection="1">
      <alignment vertical="center"/>
    </xf>
    <xf numFmtId="0" fontId="73" fillId="5" borderId="6" xfId="2" applyFont="1" applyFill="1" applyBorder="1" applyAlignment="1" applyProtection="1">
      <alignment vertical="center" wrapText="1"/>
    </xf>
    <xf numFmtId="0" fontId="73" fillId="5" borderId="29" xfId="2" applyFont="1" applyFill="1" applyBorder="1" applyAlignment="1" applyProtection="1">
      <alignment vertical="center" wrapText="1"/>
    </xf>
    <xf numFmtId="180" fontId="86" fillId="5" borderId="1" xfId="2" applyNumberFormat="1"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wrapText="1"/>
    </xf>
    <xf numFmtId="179" fontId="73"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7" fontId="73" fillId="5" borderId="1" xfId="2" applyNumberFormat="1" applyFont="1" applyFill="1" applyBorder="1" applyAlignment="1" applyProtection="1">
      <alignment horizontal="center" vertical="center" wrapText="1"/>
    </xf>
    <xf numFmtId="0" fontId="73" fillId="5" borderId="6" xfId="2" applyFont="1" applyFill="1" applyBorder="1" applyAlignment="1" applyProtection="1">
      <alignment horizontal="center" vertical="center" wrapText="1"/>
    </xf>
    <xf numFmtId="179" fontId="73" fillId="5" borderId="6" xfId="2" applyNumberFormat="1" applyFont="1" applyFill="1" applyBorder="1" applyAlignment="1" applyProtection="1">
      <alignment horizontal="center" vertical="center" wrapText="1"/>
    </xf>
    <xf numFmtId="0" fontId="73" fillId="5" borderId="29" xfId="2" applyFont="1" applyFill="1" applyBorder="1" applyAlignment="1" applyProtection="1">
      <alignment horizontal="center" vertical="center" wrapText="1"/>
    </xf>
    <xf numFmtId="0" fontId="73" fillId="5" borderId="40" xfId="0" applyFont="1" applyFill="1" applyBorder="1" applyAlignment="1" applyProtection="1">
      <alignment horizontal="center" vertical="center" wrapText="1"/>
    </xf>
    <xf numFmtId="0" fontId="73" fillId="5" borderId="1" xfId="2" applyFont="1" applyFill="1" applyBorder="1" applyAlignment="1" applyProtection="1">
      <alignment horizontal="center" vertical="center" wrapText="1"/>
    </xf>
    <xf numFmtId="0" fontId="73" fillId="5" borderId="41" xfId="2"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0" fontId="73" fillId="5" borderId="7" xfId="0" applyFont="1" applyFill="1" applyBorder="1" applyAlignment="1" applyProtection="1">
      <alignment horizontal="center" vertical="center" wrapText="1"/>
    </xf>
    <xf numFmtId="0" fontId="73" fillId="5" borderId="42" xfId="0" applyFont="1" applyFill="1" applyBorder="1" applyAlignment="1" applyProtection="1">
      <alignment horizontal="center" vertical="center" wrapText="1"/>
    </xf>
    <xf numFmtId="0" fontId="73" fillId="5" borderId="29" xfId="0" applyFont="1" applyFill="1" applyBorder="1" applyAlignment="1" applyProtection="1">
      <alignment horizontal="center" vertical="center" wrapText="1"/>
    </xf>
    <xf numFmtId="177" fontId="73" fillId="2" borderId="5" xfId="2" applyNumberFormat="1" applyFont="1" applyFill="1" applyBorder="1" applyAlignment="1" applyProtection="1">
      <alignment vertical="center"/>
      <protection locked="0"/>
    </xf>
    <xf numFmtId="179" fontId="86" fillId="5" borderId="2" xfId="2" applyNumberFormat="1" applyFont="1" applyFill="1" applyBorder="1" applyAlignment="1" applyProtection="1">
      <alignment horizontal="center" vertical="center"/>
    </xf>
    <xf numFmtId="180" fontId="86" fillId="5" borderId="2" xfId="2" applyNumberFormat="1" applyFont="1" applyFill="1" applyBorder="1" applyAlignment="1" applyProtection="1">
      <alignment horizontal="center" vertical="center"/>
    </xf>
    <xf numFmtId="181" fontId="73" fillId="0" borderId="2" xfId="0" applyNumberFormat="1" applyFont="1" applyFill="1" applyBorder="1" applyAlignment="1" applyProtection="1">
      <alignment horizontal="center" vertical="center"/>
      <protection locked="0"/>
    </xf>
    <xf numFmtId="0" fontId="73" fillId="5" borderId="2" xfId="2"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center" vertical="center"/>
    </xf>
    <xf numFmtId="179" fontId="73" fillId="5" borderId="11" xfId="2" applyNumberFormat="1" applyFont="1" applyFill="1" applyBorder="1" applyAlignment="1" applyProtection="1">
      <alignment horizontal="center" vertical="center"/>
    </xf>
    <xf numFmtId="0" fontId="73" fillId="0" borderId="11" xfId="0" applyFont="1" applyBorder="1" applyAlignment="1" applyProtection="1">
      <alignment vertical="center"/>
      <protection locked="0"/>
    </xf>
    <xf numFmtId="181" fontId="73" fillId="0" borderId="2" xfId="0" applyNumberFormat="1" applyFont="1" applyBorder="1" applyAlignment="1" applyProtection="1">
      <alignment vertical="center"/>
      <protection locked="0"/>
    </xf>
    <xf numFmtId="181" fontId="73" fillId="0" borderId="12" xfId="0" applyNumberFormat="1" applyFont="1" applyBorder="1" applyAlignment="1" applyProtection="1">
      <alignment vertical="center"/>
      <protection locked="0"/>
    </xf>
    <xf numFmtId="0" fontId="73" fillId="0" borderId="9" xfId="0" applyFont="1" applyBorder="1" applyAlignment="1" applyProtection="1">
      <alignment vertical="center"/>
      <protection locked="0"/>
    </xf>
    <xf numFmtId="181" fontId="73" fillId="0" borderId="5" xfId="0" applyNumberFormat="1" applyFont="1" applyBorder="1" applyAlignment="1" applyProtection="1">
      <alignment vertical="center"/>
      <protection locked="0"/>
    </xf>
    <xf numFmtId="0" fontId="73" fillId="0" borderId="11"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0" fontId="73" fillId="0" borderId="2" xfId="0" applyNumberFormat="1" applyFont="1" applyBorder="1" applyAlignment="1" applyProtection="1">
      <alignment horizontal="center" vertical="center"/>
      <protection locked="0"/>
    </xf>
    <xf numFmtId="10" fontId="73" fillId="0" borderId="2" xfId="0" applyNumberFormat="1" applyFont="1" applyBorder="1" applyAlignment="1" applyProtection="1">
      <alignment horizontal="center" vertical="center"/>
      <protection locked="0"/>
    </xf>
    <xf numFmtId="182" fontId="73" fillId="0" borderId="2" xfId="0" applyNumberFormat="1" applyFont="1" applyBorder="1" applyAlignment="1" applyProtection="1">
      <alignment horizontal="center" vertical="center"/>
      <protection locked="0"/>
    </xf>
    <xf numFmtId="0" fontId="78" fillId="6" borderId="9" xfId="0"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77"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0" fontId="73" fillId="0" borderId="9" xfId="0" applyFont="1" applyBorder="1" applyAlignment="1" applyProtection="1">
      <alignment horizontal="center" vertical="center"/>
      <protection locked="0"/>
    </xf>
    <xf numFmtId="10" fontId="73" fillId="0" borderId="2" xfId="0" applyNumberFormat="1" applyFont="1" applyFill="1" applyBorder="1" applyAlignment="1" applyProtection="1">
      <alignment horizontal="center" vertical="center"/>
      <protection locked="0"/>
    </xf>
    <xf numFmtId="182" fontId="73" fillId="0" borderId="2" xfId="0" applyNumberFormat="1" applyFont="1" applyFill="1" applyBorder="1" applyAlignment="1" applyProtection="1">
      <alignment horizontal="center" vertical="center"/>
      <protection locked="0"/>
    </xf>
    <xf numFmtId="0" fontId="77" fillId="5" borderId="43" xfId="2" applyFont="1" applyFill="1" applyBorder="1" applyAlignment="1" applyProtection="1">
      <alignment vertical="center" wrapText="1"/>
    </xf>
    <xf numFmtId="0" fontId="77" fillId="5" borderId="44" xfId="2" applyFont="1" applyFill="1" applyBorder="1" applyAlignment="1" applyProtection="1">
      <alignment vertical="center"/>
    </xf>
    <xf numFmtId="0" fontId="77" fillId="5" borderId="45" xfId="2" applyFont="1" applyFill="1" applyBorder="1" applyAlignment="1" applyProtection="1">
      <alignment vertical="center"/>
    </xf>
    <xf numFmtId="0" fontId="77" fillId="5" borderId="43" xfId="2" applyFont="1" applyFill="1" applyBorder="1" applyAlignment="1" applyProtection="1">
      <alignment vertical="center"/>
    </xf>
    <xf numFmtId="0" fontId="77" fillId="5" borderId="44" xfId="2" applyFont="1" applyFill="1" applyBorder="1" applyAlignment="1" applyProtection="1">
      <alignment horizontal="center" vertical="center"/>
    </xf>
    <xf numFmtId="181" fontId="77" fillId="5" borderId="44" xfId="2" applyNumberFormat="1" applyFont="1" applyFill="1" applyBorder="1" applyAlignment="1" applyProtection="1">
      <alignment vertical="center"/>
    </xf>
    <xf numFmtId="0" fontId="77" fillId="5" borderId="46" xfId="2" applyFont="1" applyFill="1" applyBorder="1" applyAlignment="1" applyProtection="1">
      <alignment vertical="center"/>
    </xf>
    <xf numFmtId="176" fontId="73" fillId="5" borderId="43" xfId="0" applyNumberFormat="1" applyFont="1" applyFill="1" applyBorder="1" applyAlignment="1" applyProtection="1">
      <alignment horizontal="center" vertical="center"/>
    </xf>
    <xf numFmtId="0" fontId="73" fillId="5" borderId="44" xfId="2" applyNumberFormat="1" applyFont="1" applyFill="1" applyBorder="1" applyAlignment="1" applyProtection="1">
      <alignment horizontal="center" vertical="center"/>
    </xf>
    <xf numFmtId="10" fontId="73" fillId="5" borderId="44" xfId="2" applyNumberFormat="1" applyFont="1" applyFill="1" applyBorder="1" applyAlignment="1" applyProtection="1">
      <alignment horizontal="center" vertical="center"/>
    </xf>
    <xf numFmtId="9" fontId="73" fillId="5" borderId="45" xfId="0" applyNumberFormat="1" applyFont="1" applyFill="1" applyBorder="1" applyAlignment="1" applyProtection="1">
      <alignment horizontal="center" vertical="center"/>
    </xf>
    <xf numFmtId="179" fontId="73" fillId="5" borderId="47" xfId="2" applyNumberFormat="1" applyFont="1" applyFill="1" applyBorder="1" applyAlignment="1" applyProtection="1">
      <alignment horizontal="center" vertical="center"/>
    </xf>
    <xf numFmtId="0" fontId="73" fillId="5" borderId="48" xfId="2" applyNumberFormat="1" applyFont="1" applyFill="1" applyBorder="1" applyAlignment="1" applyProtection="1">
      <alignment horizontal="center" vertical="center"/>
    </xf>
    <xf numFmtId="0" fontId="73" fillId="5" borderId="43" xfId="0" applyFont="1" applyFill="1" applyBorder="1" applyAlignment="1" applyProtection="1">
      <alignment vertical="center"/>
    </xf>
    <xf numFmtId="0" fontId="73" fillId="5" borderId="44" xfId="0" applyFont="1" applyFill="1" applyBorder="1" applyAlignment="1" applyProtection="1">
      <alignment vertical="center"/>
    </xf>
    <xf numFmtId="0" fontId="73" fillId="5" borderId="46" xfId="0" applyFont="1" applyFill="1" applyBorder="1" applyAlignment="1" applyProtection="1">
      <alignment vertical="center"/>
    </xf>
    <xf numFmtId="0" fontId="73" fillId="5" borderId="47" xfId="0" applyFont="1" applyFill="1" applyBorder="1" applyAlignment="1" applyProtection="1">
      <alignment vertical="center"/>
    </xf>
    <xf numFmtId="0" fontId="73" fillId="5" borderId="45" xfId="0" applyFont="1" applyFill="1" applyBorder="1" applyAlignment="1" applyProtection="1">
      <alignment vertical="center"/>
    </xf>
    <xf numFmtId="0" fontId="87" fillId="0" borderId="0" xfId="0" applyFont="1" applyAlignment="1" applyProtection="1">
      <alignment vertical="center" wrapText="1"/>
      <protection locked="0"/>
    </xf>
    <xf numFmtId="176" fontId="86" fillId="5" borderId="1" xfId="2" applyNumberFormat="1" applyFont="1" applyFill="1" applyBorder="1" applyAlignment="1" applyProtection="1">
      <alignment vertical="center" wrapText="1"/>
    </xf>
    <xf numFmtId="176" fontId="86" fillId="0" borderId="7" xfId="2" applyNumberFormat="1" applyFont="1" applyFill="1" applyBorder="1" applyAlignment="1" applyProtection="1">
      <alignment horizontal="center" vertical="center"/>
      <protection locked="0"/>
    </xf>
    <xf numFmtId="176" fontId="86" fillId="5" borderId="11" xfId="2" applyNumberFormat="1" applyFont="1" applyFill="1" applyBorder="1" applyAlignment="1" applyProtection="1">
      <alignment vertical="center" wrapText="1"/>
    </xf>
    <xf numFmtId="176" fontId="73" fillId="0" borderId="12" xfId="2" applyNumberFormat="1" applyFont="1" applyFill="1" applyBorder="1" applyAlignment="1" applyProtection="1">
      <alignment horizontal="center" vertical="center"/>
      <protection locked="0"/>
    </xf>
    <xf numFmtId="176" fontId="73" fillId="5" borderId="11" xfId="2" applyNumberFormat="1" applyFont="1" applyFill="1" applyBorder="1" applyAlignment="1" applyProtection="1">
      <alignment vertical="center" wrapText="1"/>
    </xf>
    <xf numFmtId="176" fontId="86" fillId="5" borderId="12" xfId="2" applyNumberFormat="1" applyFont="1" applyFill="1" applyBorder="1" applyAlignment="1" applyProtection="1">
      <alignment horizontal="center" vertical="center"/>
    </xf>
    <xf numFmtId="176" fontId="86" fillId="5" borderId="43" xfId="2" applyNumberFormat="1" applyFont="1" applyFill="1" applyBorder="1" applyAlignment="1" applyProtection="1">
      <alignment vertical="center" wrapText="1"/>
    </xf>
    <xf numFmtId="176" fontId="86" fillId="5" borderId="46" xfId="2" applyNumberFormat="1" applyFont="1" applyFill="1" applyBorder="1" applyAlignment="1" applyProtection="1">
      <alignment horizontal="center" vertical="center"/>
    </xf>
    <xf numFmtId="0" fontId="73" fillId="5" borderId="49" xfId="0" applyFont="1" applyFill="1" applyBorder="1" applyAlignment="1" applyProtection="1">
      <alignment horizontal="center" vertical="center"/>
    </xf>
    <xf numFmtId="0" fontId="73" fillId="5" borderId="1" xfId="0" applyFont="1" applyFill="1" applyBorder="1" applyAlignment="1" applyProtection="1">
      <alignment vertical="center" wrapText="1"/>
    </xf>
    <xf numFmtId="0" fontId="88" fillId="0" borderId="7" xfId="2" applyNumberFormat="1" applyFont="1" applyFill="1" applyBorder="1" applyAlignment="1" applyProtection="1">
      <alignment horizontal="center" vertical="center"/>
      <protection locked="0"/>
    </xf>
    <xf numFmtId="0" fontId="73" fillId="5" borderId="11" xfId="0" applyFont="1" applyFill="1" applyBorder="1" applyAlignment="1" applyProtection="1">
      <alignment vertical="center" wrapText="1"/>
    </xf>
    <xf numFmtId="0" fontId="88" fillId="0" borderId="12" xfId="2"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vertical="center"/>
    </xf>
    <xf numFmtId="0" fontId="73" fillId="5" borderId="43" xfId="0" applyFont="1" applyFill="1" applyBorder="1" applyAlignment="1" applyProtection="1">
      <alignment vertical="center" wrapText="1"/>
    </xf>
    <xf numFmtId="0" fontId="88" fillId="0" borderId="46" xfId="2" applyNumberFormat="1" applyFont="1" applyFill="1" applyBorder="1" applyAlignment="1" applyProtection="1">
      <alignment horizontal="center" vertical="center"/>
      <protection locked="0"/>
    </xf>
    <xf numFmtId="181" fontId="78" fillId="0" borderId="12" xfId="0" applyNumberFormat="1" applyFont="1" applyFill="1" applyBorder="1" applyAlignment="1" applyProtection="1">
      <alignment horizontal="center" vertical="center"/>
      <protection locked="0"/>
    </xf>
    <xf numFmtId="181" fontId="78" fillId="0" borderId="46" xfId="0" applyNumberFormat="1" applyFont="1" applyFill="1" applyBorder="1" applyAlignment="1" applyProtection="1">
      <alignment horizontal="center" vertical="center"/>
      <protection locked="0"/>
    </xf>
    <xf numFmtId="0" fontId="73" fillId="5" borderId="50" xfId="0" applyFont="1" applyFill="1" applyBorder="1" applyAlignment="1" applyProtection="1">
      <alignment vertical="center" wrapText="1"/>
    </xf>
    <xf numFmtId="181" fontId="78" fillId="0" borderId="51" xfId="0" applyNumberFormat="1" applyFont="1" applyFill="1" applyBorder="1" applyAlignment="1" applyProtection="1">
      <alignment horizontal="center" vertical="center"/>
      <protection locked="0"/>
    </xf>
    <xf numFmtId="0" fontId="73" fillId="5" borderId="22" xfId="0" applyFont="1" applyFill="1" applyBorder="1" applyAlignment="1" applyProtection="1">
      <alignment vertical="center" wrapText="1"/>
    </xf>
    <xf numFmtId="10" fontId="73" fillId="5" borderId="7" xfId="0" applyNumberFormat="1" applyFont="1" applyFill="1" applyBorder="1" applyAlignment="1" applyProtection="1">
      <alignment horizontal="center" vertical="center"/>
    </xf>
    <xf numFmtId="0" fontId="73" fillId="5" borderId="22" xfId="0" applyFont="1" applyFill="1" applyBorder="1" applyAlignment="1" applyProtection="1">
      <alignment horizontal="right" vertical="center" wrapText="1"/>
    </xf>
    <xf numFmtId="10" fontId="73" fillId="0" borderId="25" xfId="0" applyNumberFormat="1" applyFont="1" applyFill="1" applyBorder="1" applyAlignment="1" applyProtection="1">
      <alignment horizontal="center" vertical="center"/>
      <protection locked="0"/>
    </xf>
    <xf numFmtId="182" fontId="73" fillId="5" borderId="25" xfId="0" applyNumberFormat="1" applyFont="1" applyFill="1" applyBorder="1" applyAlignment="1" applyProtection="1">
      <alignment horizontal="center" vertical="center"/>
    </xf>
    <xf numFmtId="10" fontId="73" fillId="2" borderId="25" xfId="0" applyNumberFormat="1" applyFont="1" applyFill="1" applyBorder="1" applyAlignment="1" applyProtection="1">
      <alignment horizontal="center" vertical="center"/>
      <protection locked="0"/>
    </xf>
    <xf numFmtId="0" fontId="73" fillId="5" borderId="43" xfId="0" applyFont="1" applyFill="1" applyBorder="1" applyAlignment="1" applyProtection="1">
      <alignment horizontal="right" vertical="center" wrapText="1"/>
    </xf>
    <xf numFmtId="10" fontId="73" fillId="0" borderId="46" xfId="0" applyNumberFormat="1" applyFont="1" applyFill="1" applyBorder="1" applyAlignment="1" applyProtection="1">
      <alignment horizontal="center" vertical="center"/>
      <protection locked="0"/>
    </xf>
    <xf numFmtId="0" fontId="73" fillId="5" borderId="24" xfId="0" applyFont="1" applyFill="1" applyBorder="1" applyAlignment="1" applyProtection="1">
      <alignment vertical="center" wrapText="1"/>
    </xf>
    <xf numFmtId="10" fontId="73" fillId="0" borderId="52" xfId="0" applyNumberFormat="1" applyFont="1" applyFill="1" applyBorder="1" applyAlignment="1" applyProtection="1">
      <alignment horizontal="center" vertical="center"/>
      <protection locked="0"/>
    </xf>
    <xf numFmtId="0" fontId="73" fillId="5" borderId="53" xfId="0" applyFont="1" applyFill="1" applyBorder="1" applyAlignment="1" applyProtection="1">
      <alignment vertical="center" wrapText="1"/>
    </xf>
    <xf numFmtId="10" fontId="73" fillId="5" borderId="41" xfId="0" applyNumberFormat="1" applyFont="1" applyFill="1" applyBorder="1" applyAlignment="1" applyProtection="1">
      <alignment horizontal="center" vertical="center"/>
    </xf>
    <xf numFmtId="10" fontId="73" fillId="5" borderId="46" xfId="0" applyNumberFormat="1" applyFont="1" applyFill="1" applyBorder="1" applyAlignment="1" applyProtection="1">
      <alignment horizontal="center" vertical="center"/>
    </xf>
    <xf numFmtId="178" fontId="73" fillId="5" borderId="41"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protection locked="0"/>
    </xf>
    <xf numFmtId="0" fontId="73" fillId="0" borderId="46" xfId="0" applyFont="1" applyBorder="1" applyAlignment="1" applyProtection="1">
      <alignment vertical="center"/>
      <protection locked="0"/>
    </xf>
    <xf numFmtId="0" fontId="78" fillId="0" borderId="0" xfId="0" applyFont="1" applyAlignment="1" applyProtection="1">
      <alignment vertical="center" wrapText="1"/>
      <protection locked="0"/>
    </xf>
    <xf numFmtId="0" fontId="73" fillId="5" borderId="7"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center" vertical="center" wrapText="1"/>
    </xf>
    <xf numFmtId="0" fontId="73" fillId="5" borderId="46" xfId="0" applyNumberFormat="1" applyFont="1" applyFill="1" applyBorder="1" applyAlignment="1" applyProtection="1">
      <alignment horizontal="center" vertical="center" wrapText="1"/>
    </xf>
    <xf numFmtId="0" fontId="78" fillId="0" borderId="0" xfId="0" applyFont="1" applyProtection="1">
      <alignment vertical="center"/>
      <protection locked="0"/>
    </xf>
    <xf numFmtId="0" fontId="73" fillId="5" borderId="10" xfId="0" applyFont="1" applyFill="1" applyBorder="1" applyAlignment="1" applyProtection="1">
      <alignment vertical="center" wrapText="1"/>
    </xf>
    <xf numFmtId="0" fontId="73" fillId="5" borderId="10" xfId="0" applyFont="1" applyFill="1" applyBorder="1" applyAlignment="1" applyProtection="1">
      <alignment horizontal="center" vertical="center" wrapText="1"/>
    </xf>
    <xf numFmtId="0" fontId="151" fillId="2" borderId="10" xfId="0"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 xfId="0" applyFont="1" applyFill="1" applyBorder="1" applyAlignment="1" applyProtection="1">
      <alignment vertical="center" wrapText="1"/>
    </xf>
    <xf numFmtId="0" fontId="77" fillId="5" borderId="5" xfId="0" applyFont="1" applyFill="1" applyBorder="1" applyAlignment="1" applyProtection="1">
      <alignment horizontal="right" vertical="center"/>
    </xf>
    <xf numFmtId="0" fontId="73" fillId="5" borderId="21" xfId="0" applyFont="1" applyFill="1" applyBorder="1" applyAlignment="1" applyProtection="1">
      <alignment horizontal="center" vertical="center"/>
    </xf>
    <xf numFmtId="0" fontId="77" fillId="5" borderId="13" xfId="0" applyFont="1" applyFill="1" applyBorder="1" applyAlignment="1" applyProtection="1">
      <alignment horizontal="right" vertical="center"/>
    </xf>
    <xf numFmtId="179" fontId="73" fillId="5" borderId="10" xfId="0" applyNumberFormat="1" applyFont="1" applyFill="1" applyBorder="1" applyAlignment="1" applyProtection="1">
      <alignment horizontal="center" vertical="center"/>
    </xf>
    <xf numFmtId="0" fontId="77" fillId="5" borderId="26" xfId="0" applyFont="1" applyFill="1" applyBorder="1" applyAlignment="1" applyProtection="1">
      <alignment vertical="center"/>
    </xf>
    <xf numFmtId="0" fontId="73" fillId="5" borderId="6" xfId="0" applyFont="1" applyFill="1" applyBorder="1" applyAlignment="1" applyProtection="1">
      <alignment vertical="center"/>
    </xf>
    <xf numFmtId="0" fontId="151" fillId="5" borderId="6" xfId="0" applyFont="1" applyFill="1" applyBorder="1" applyAlignment="1" applyProtection="1">
      <alignment horizontal="center" vertical="center"/>
    </xf>
    <xf numFmtId="0" fontId="151" fillId="5" borderId="29" xfId="0" applyFont="1" applyFill="1" applyBorder="1" applyAlignment="1" applyProtection="1">
      <alignment horizontal="center" vertical="center"/>
    </xf>
    <xf numFmtId="0" fontId="73" fillId="5" borderId="40" xfId="0" applyFont="1" applyFill="1" applyBorder="1" applyAlignment="1" applyProtection="1">
      <alignment horizontal="right" vertical="center"/>
    </xf>
    <xf numFmtId="0" fontId="78" fillId="5" borderId="39" xfId="0" applyFont="1" applyFill="1" applyBorder="1" applyAlignment="1" applyProtection="1">
      <alignment vertical="center"/>
    </xf>
    <xf numFmtId="0" fontId="77" fillId="5" borderId="31" xfId="0" applyFont="1" applyFill="1" applyBorder="1" applyAlignment="1" applyProtection="1">
      <alignment vertical="center"/>
    </xf>
    <xf numFmtId="0" fontId="73" fillId="5" borderId="2" xfId="0" applyFont="1" applyFill="1" applyBorder="1" applyProtection="1">
      <alignment vertical="center"/>
    </xf>
    <xf numFmtId="0" fontId="151" fillId="5" borderId="2" xfId="0" applyFont="1" applyFill="1" applyBorder="1" applyAlignment="1" applyProtection="1">
      <alignment horizontal="center" vertical="center"/>
    </xf>
    <xf numFmtId="0" fontId="151" fillId="5" borderId="5" xfId="0" applyFont="1" applyFill="1" applyBorder="1" applyAlignment="1" applyProtection="1">
      <alignment horizontal="center" vertical="center"/>
    </xf>
    <xf numFmtId="0" fontId="73" fillId="5" borderId="5" xfId="0" applyFont="1" applyFill="1" applyBorder="1" applyAlignment="1" applyProtection="1">
      <alignment horizontal="right" vertical="center"/>
    </xf>
    <xf numFmtId="0" fontId="78" fillId="5" borderId="16" xfId="0" applyFont="1" applyFill="1" applyBorder="1" applyAlignment="1" applyProtection="1">
      <alignment vertical="center"/>
    </xf>
    <xf numFmtId="0" fontId="73" fillId="5" borderId="10" xfId="0" applyFont="1" applyFill="1" applyBorder="1" applyProtection="1">
      <alignment vertical="center"/>
    </xf>
    <xf numFmtId="0" fontId="73" fillId="5" borderId="10" xfId="0" applyFont="1" applyFill="1" applyBorder="1" applyAlignment="1" applyProtection="1">
      <alignment horizontal="center" vertical="center"/>
    </xf>
    <xf numFmtId="0" fontId="73" fillId="5" borderId="8" xfId="0" applyFont="1" applyFill="1" applyBorder="1" applyAlignment="1" applyProtection="1">
      <alignment horizontal="right" vertical="center"/>
    </xf>
    <xf numFmtId="181" fontId="90" fillId="5" borderId="8" xfId="0" applyNumberFormat="1" applyFont="1" applyFill="1" applyBorder="1" applyAlignment="1" applyProtection="1">
      <alignment horizontal="center" vertical="center"/>
    </xf>
    <xf numFmtId="0" fontId="77" fillId="5" borderId="54" xfId="0" applyFont="1" applyFill="1" applyBorder="1" applyAlignment="1" applyProtection="1">
      <alignment vertical="center"/>
    </xf>
    <xf numFmtId="0" fontId="73" fillId="5" borderId="55" xfId="0" applyFont="1" applyFill="1" applyBorder="1" applyProtection="1">
      <alignment vertical="center"/>
    </xf>
    <xf numFmtId="0" fontId="78" fillId="5" borderId="56" xfId="0" applyFont="1" applyFill="1" applyBorder="1" applyAlignment="1" applyProtection="1">
      <alignment horizontal="right" vertical="center"/>
    </xf>
    <xf numFmtId="0" fontId="78" fillId="5" borderId="48" xfId="0" applyFont="1" applyFill="1" applyBorder="1" applyAlignment="1" applyProtection="1">
      <alignment horizontal="left"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16" xfId="0" applyFont="1" applyFill="1" applyBorder="1" applyAlignment="1" applyProtection="1">
      <alignment horizontal="center" vertical="center"/>
    </xf>
    <xf numFmtId="0" fontId="78" fillId="0" borderId="0" xfId="0" applyFont="1" applyFill="1" applyProtection="1">
      <alignment vertical="center"/>
      <protection locked="0"/>
    </xf>
    <xf numFmtId="0" fontId="155" fillId="0" borderId="11" xfId="0" applyFont="1" applyBorder="1" applyAlignment="1" applyProtection="1">
      <alignment horizontal="center" vertical="center"/>
      <protection locked="0"/>
    </xf>
    <xf numFmtId="0" fontId="155" fillId="0" borderId="2" xfId="0" applyFont="1" applyFill="1" applyBorder="1" applyAlignment="1" applyProtection="1">
      <alignment horizontal="center" vertical="center"/>
      <protection locked="0"/>
    </xf>
    <xf numFmtId="0" fontId="155" fillId="0" borderId="12" xfId="0" applyFont="1" applyFill="1" applyBorder="1" applyAlignment="1" applyProtection="1">
      <alignment horizontal="center" vertical="center"/>
      <protection locked="0"/>
    </xf>
    <xf numFmtId="0" fontId="73" fillId="5" borderId="42" xfId="0" applyFont="1" applyFill="1" applyBorder="1" applyAlignment="1" applyProtection="1">
      <alignment horizontal="left" vertical="center"/>
    </xf>
    <xf numFmtId="0" fontId="77" fillId="0" borderId="7" xfId="0" applyFont="1" applyFill="1" applyBorder="1" applyAlignment="1" applyProtection="1">
      <alignment horizontal="center" vertical="center"/>
      <protection locked="0"/>
    </xf>
    <xf numFmtId="0" fontId="91" fillId="5" borderId="31" xfId="0" applyFont="1" applyFill="1" applyBorder="1" applyAlignment="1" applyProtection="1">
      <alignment vertical="center"/>
    </xf>
    <xf numFmtId="0" fontId="77" fillId="0" borderId="12" xfId="0" applyFont="1" applyFill="1" applyBorder="1" applyAlignment="1" applyProtection="1">
      <alignment horizontal="center" vertical="center"/>
      <protection locked="0"/>
    </xf>
    <xf numFmtId="0" fontId="92" fillId="5" borderId="31" xfId="0" applyFont="1" applyFill="1" applyBorder="1" applyAlignment="1" applyProtection="1">
      <alignment horizontal="right" vertical="center"/>
    </xf>
    <xf numFmtId="0" fontId="73" fillId="5" borderId="47" xfId="0" applyFont="1" applyFill="1" applyBorder="1" applyAlignment="1" applyProtection="1">
      <alignment horizontal="left" vertical="center"/>
    </xf>
    <xf numFmtId="0" fontId="78" fillId="5" borderId="14" xfId="0" applyFont="1" applyFill="1" applyBorder="1" applyAlignment="1" applyProtection="1">
      <alignment horizontal="right" vertical="center"/>
    </xf>
    <xf numFmtId="0" fontId="77" fillId="5" borderId="35" xfId="0" applyFont="1" applyFill="1" applyBorder="1" applyAlignment="1" applyProtection="1">
      <alignment vertical="center"/>
    </xf>
    <xf numFmtId="0" fontId="155" fillId="0" borderId="1" xfId="0" applyFont="1" applyFill="1" applyBorder="1" applyAlignment="1" applyProtection="1">
      <alignment horizontal="center" vertical="center"/>
      <protection locked="0"/>
    </xf>
    <xf numFmtId="0" fontId="155" fillId="0" borderId="6"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protection locked="0"/>
    </xf>
    <xf numFmtId="0" fontId="155" fillId="0" borderId="11" xfId="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protection locked="0"/>
    </xf>
    <xf numFmtId="0" fontId="155" fillId="0" borderId="44" xfId="0" applyFont="1" applyFill="1" applyBorder="1" applyAlignment="1" applyProtection="1">
      <alignment horizontal="center" vertical="center"/>
      <protection locked="0"/>
    </xf>
    <xf numFmtId="0" fontId="155" fillId="0" borderId="46" xfId="0" applyFont="1" applyFill="1" applyBorder="1" applyAlignment="1" applyProtection="1">
      <alignment horizontal="center" vertical="center"/>
      <protection locked="0"/>
    </xf>
    <xf numFmtId="0" fontId="78" fillId="5" borderId="0" xfId="0" applyFont="1" applyFill="1" applyProtection="1">
      <alignment vertical="center"/>
    </xf>
    <xf numFmtId="0" fontId="72" fillId="5" borderId="26" xfId="0" applyFont="1" applyFill="1" applyBorder="1" applyAlignment="1" applyProtection="1">
      <alignment horizontal="center" vertical="center"/>
    </xf>
    <xf numFmtId="0" fontId="72" fillId="5" borderId="58" xfId="0" applyFont="1" applyFill="1" applyBorder="1" applyAlignment="1" applyProtection="1">
      <alignment horizontal="center" vertical="center"/>
    </xf>
    <xf numFmtId="0" fontId="156" fillId="5" borderId="40" xfId="0"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xf>
    <xf numFmtId="0" fontId="72" fillId="5" borderId="7" xfId="0" applyFont="1" applyFill="1" applyBorder="1" applyAlignment="1" applyProtection="1">
      <alignment horizontal="center" vertical="center"/>
    </xf>
    <xf numFmtId="0" fontId="87" fillId="5" borderId="2" xfId="0" applyFont="1" applyFill="1" applyBorder="1" applyAlignment="1" applyProtection="1">
      <alignment horizontal="right" vertical="center"/>
    </xf>
    <xf numFmtId="0" fontId="87" fillId="5" borderId="12" xfId="0" applyFont="1" applyFill="1" applyBorder="1" applyAlignment="1" applyProtection="1">
      <alignment horizontal="right" vertical="center"/>
    </xf>
    <xf numFmtId="0" fontId="155" fillId="5" borderId="0" xfId="0" applyFont="1" applyFill="1" applyBorder="1" applyAlignment="1" applyProtection="1">
      <alignment horizontal="center" vertical="center"/>
    </xf>
    <xf numFmtId="0" fontId="77" fillId="5" borderId="45" xfId="0" applyFont="1" applyFill="1" applyBorder="1" applyAlignment="1" applyProtection="1">
      <alignment horizontal="right" vertical="center"/>
    </xf>
    <xf numFmtId="0" fontId="157" fillId="0" borderId="13" xfId="0" applyFont="1" applyBorder="1" applyAlignment="1" applyProtection="1">
      <alignment horizontal="left" vertical="center"/>
    </xf>
    <xf numFmtId="0" fontId="96" fillId="6" borderId="0"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protection locked="0"/>
    </xf>
    <xf numFmtId="0" fontId="78" fillId="0" borderId="32" xfId="0" applyFont="1" applyBorder="1" applyProtection="1">
      <alignment vertical="center"/>
      <protection locked="0"/>
    </xf>
    <xf numFmtId="0" fontId="78" fillId="0" borderId="13" xfId="0" applyFont="1" applyBorder="1" applyAlignment="1" applyProtection="1">
      <alignment horizontal="left" vertical="center" wrapText="1"/>
      <protection locked="0"/>
    </xf>
    <xf numFmtId="0" fontId="78" fillId="0" borderId="0" xfId="0" applyFont="1" applyBorder="1" applyAlignment="1" applyProtection="1">
      <alignment horizontal="left" vertical="center" wrapText="1"/>
      <protection locked="0"/>
    </xf>
    <xf numFmtId="0" fontId="78" fillId="0" borderId="0" xfId="0" applyFont="1" applyFill="1" applyBorder="1" applyAlignment="1" applyProtection="1">
      <alignment horizontal="center" vertical="center"/>
      <protection locked="0"/>
    </xf>
    <xf numFmtId="0" fontId="78" fillId="0" borderId="18" xfId="0" applyFont="1" applyBorder="1" applyProtection="1">
      <alignment vertical="center"/>
      <protection locked="0"/>
    </xf>
    <xf numFmtId="0" fontId="78" fillId="0" borderId="17" xfId="0" applyFont="1" applyBorder="1" applyAlignment="1" applyProtection="1">
      <alignment horizontal="left" vertical="center" wrapText="1"/>
      <protection locked="0"/>
    </xf>
    <xf numFmtId="0" fontId="78" fillId="0" borderId="19" xfId="0" applyFont="1" applyBorder="1" applyAlignment="1" applyProtection="1">
      <alignment horizontal="left" vertical="center" wrapText="1"/>
      <protection locked="0"/>
    </xf>
    <xf numFmtId="0" fontId="78" fillId="0" borderId="19" xfId="0" applyFont="1" applyFill="1" applyBorder="1" applyAlignment="1" applyProtection="1">
      <alignment horizontal="center" vertical="center" wrapText="1"/>
      <protection locked="0"/>
    </xf>
    <xf numFmtId="0" fontId="78" fillId="0" borderId="19" xfId="0" applyFont="1" applyFill="1" applyBorder="1" applyAlignment="1" applyProtection="1">
      <alignment horizontal="center" vertical="center"/>
      <protection locked="0"/>
    </xf>
    <xf numFmtId="0" fontId="78" fillId="0" borderId="20" xfId="0" applyFont="1" applyBorder="1" applyProtection="1">
      <alignment vertical="center"/>
      <protection locked="0"/>
    </xf>
    <xf numFmtId="0" fontId="87" fillId="0" borderId="19" xfId="0" applyFont="1" applyBorder="1" applyAlignment="1" applyProtection="1">
      <alignment horizontal="left" vertical="center"/>
      <protection locked="0"/>
    </xf>
    <xf numFmtId="0" fontId="78" fillId="0" borderId="19" xfId="0" applyFont="1" applyBorder="1" applyProtection="1">
      <alignment vertical="center"/>
      <protection locked="0"/>
    </xf>
    <xf numFmtId="0" fontId="78" fillId="0" borderId="19" xfId="0" applyFont="1" applyBorder="1" applyAlignment="1" applyProtection="1">
      <alignment horizontal="right" vertical="center"/>
      <protection locked="0"/>
    </xf>
    <xf numFmtId="0" fontId="87" fillId="0" borderId="0" xfId="0" applyFont="1" applyAlignment="1" applyProtection="1">
      <alignment horizontal="left" vertical="center"/>
      <protection locked="0"/>
    </xf>
    <xf numFmtId="2" fontId="78" fillId="0" borderId="0" xfId="0" applyNumberFormat="1" applyFont="1" applyAlignment="1" applyProtection="1">
      <alignment vertical="center" wrapText="1"/>
      <protection locked="0"/>
    </xf>
    <xf numFmtId="0" fontId="78" fillId="5" borderId="10" xfId="0" applyFont="1" applyFill="1" applyBorder="1" applyAlignment="1" applyProtection="1">
      <alignment vertical="center"/>
    </xf>
    <xf numFmtId="9" fontId="78" fillId="6" borderId="14" xfId="0" applyNumberFormat="1" applyFont="1" applyFill="1" applyBorder="1" applyAlignment="1" applyProtection="1">
      <alignment horizontal="center" vertical="center"/>
      <protection locked="0"/>
    </xf>
    <xf numFmtId="0" fontId="78" fillId="5" borderId="32" xfId="0" applyFont="1" applyFill="1" applyBorder="1" applyProtection="1">
      <alignment vertical="center"/>
    </xf>
    <xf numFmtId="0" fontId="87" fillId="5" borderId="31" xfId="0" applyFont="1" applyFill="1" applyBorder="1" applyAlignment="1" applyProtection="1">
      <alignment horizontal="left" vertical="center" wrapText="1"/>
    </xf>
    <xf numFmtId="0" fontId="87" fillId="5" borderId="19" xfId="0" applyFont="1" applyFill="1" applyBorder="1" applyAlignment="1" applyProtection="1">
      <alignment horizontal="left" vertical="center" wrapText="1"/>
    </xf>
    <xf numFmtId="0" fontId="87" fillId="5" borderId="20" xfId="0" applyFont="1" applyFill="1" applyBorder="1" applyAlignment="1" applyProtection="1">
      <alignment horizontal="left" vertical="center" wrapText="1"/>
    </xf>
    <xf numFmtId="0" fontId="78" fillId="5" borderId="17" xfId="0" applyFont="1" applyFill="1" applyBorder="1" applyAlignment="1" applyProtection="1">
      <alignment horizontal="center" vertical="center"/>
    </xf>
    <xf numFmtId="0" fontId="87" fillId="5" borderId="2" xfId="0" applyFont="1" applyFill="1" applyBorder="1" applyAlignment="1" applyProtection="1">
      <alignment horizontal="left" vertical="center" wrapText="1"/>
    </xf>
    <xf numFmtId="9" fontId="78" fillId="5" borderId="12" xfId="0" applyNumberFormat="1" applyFont="1" applyFill="1" applyBorder="1" applyAlignment="1" applyProtection="1">
      <alignment horizontal="center" vertical="center"/>
    </xf>
    <xf numFmtId="10" fontId="78" fillId="5" borderId="21" xfId="0" applyNumberFormat="1" applyFont="1" applyFill="1" applyBorder="1" applyAlignment="1" applyProtection="1">
      <alignment horizontal="center" vertical="center"/>
    </xf>
    <xf numFmtId="0" fontId="81" fillId="0" borderId="12" xfId="0" applyFont="1" applyFill="1" applyBorder="1" applyAlignment="1" applyProtection="1">
      <alignment vertical="center" wrapText="1"/>
      <protection locked="0"/>
    </xf>
    <xf numFmtId="0" fontId="78" fillId="5" borderId="22" xfId="0" applyFont="1" applyFill="1" applyBorder="1" applyAlignment="1" applyProtection="1">
      <alignment horizontal="right" vertical="center" wrapText="1"/>
    </xf>
    <xf numFmtId="0" fontId="78" fillId="5" borderId="4" xfId="0" applyFont="1" applyFill="1" applyBorder="1" applyAlignment="1" applyProtection="1">
      <alignment vertical="center"/>
    </xf>
    <xf numFmtId="0" fontId="78" fillId="5" borderId="24" xfId="0" applyFont="1" applyFill="1" applyBorder="1" applyAlignment="1" applyProtection="1">
      <alignment horizontal="right" vertical="center" wrapText="1"/>
    </xf>
    <xf numFmtId="0" fontId="78" fillId="5" borderId="13" xfId="0" applyFont="1" applyFill="1" applyBorder="1" applyAlignment="1" applyProtection="1">
      <alignment vertical="center"/>
    </xf>
    <xf numFmtId="0" fontId="78" fillId="5" borderId="18" xfId="0" applyFont="1" applyFill="1" applyBorder="1" applyProtection="1">
      <alignment vertical="center"/>
    </xf>
    <xf numFmtId="0" fontId="78" fillId="5" borderId="50" xfId="0" applyFont="1" applyFill="1" applyBorder="1" applyAlignment="1" applyProtection="1">
      <alignment horizontal="right" vertical="center" wrapText="1"/>
    </xf>
    <xf numFmtId="0" fontId="78" fillId="5" borderId="17" xfId="0" applyFont="1" applyFill="1" applyBorder="1" applyAlignment="1" applyProtection="1">
      <alignment vertical="center"/>
    </xf>
    <xf numFmtId="0" fontId="78" fillId="5" borderId="11" xfId="0" applyFont="1" applyFill="1" applyBorder="1" applyAlignment="1" applyProtection="1">
      <alignment horizontal="right" vertical="center" wrapText="1"/>
    </xf>
    <xf numFmtId="10" fontId="78" fillId="5" borderId="2" xfId="0" applyNumberFormat="1" applyFont="1" applyFill="1" applyBorder="1" applyAlignment="1" applyProtection="1">
      <alignment horizontal="center" vertical="center"/>
    </xf>
    <xf numFmtId="0" fontId="78" fillId="5" borderId="12" xfId="0" applyFont="1" applyFill="1" applyBorder="1" applyProtection="1">
      <alignment vertical="center"/>
    </xf>
    <xf numFmtId="0" fontId="78" fillId="5" borderId="5" xfId="0" applyFont="1" applyFill="1" applyBorder="1" applyAlignment="1" applyProtection="1">
      <alignment horizontal="right" vertical="center"/>
    </xf>
    <xf numFmtId="0" fontId="78" fillId="2" borderId="9" xfId="0" applyFont="1" applyFill="1" applyBorder="1" applyAlignment="1" applyProtection="1">
      <alignment horizontal="center" vertical="center" wrapText="1"/>
      <protection locked="0"/>
    </xf>
    <xf numFmtId="0" fontId="78" fillId="5" borderId="4" xfId="0" applyFont="1" applyFill="1" applyBorder="1" applyAlignment="1" applyProtection="1">
      <alignment horizontal="right" vertical="center"/>
    </xf>
    <xf numFmtId="0" fontId="78" fillId="5" borderId="2" xfId="0" applyFont="1" applyFill="1" applyBorder="1" applyProtection="1">
      <alignment vertical="center"/>
    </xf>
    <xf numFmtId="0" fontId="78" fillId="5" borderId="45" xfId="0" applyFont="1" applyFill="1" applyBorder="1" applyAlignment="1" applyProtection="1">
      <alignment horizontal="right" vertical="center"/>
    </xf>
    <xf numFmtId="0" fontId="78" fillId="5" borderId="44" xfId="0" applyFont="1" applyFill="1" applyBorder="1" applyAlignment="1" applyProtection="1">
      <alignment horizontal="center" vertical="center" wrapText="1"/>
    </xf>
    <xf numFmtId="10" fontId="78" fillId="5" borderId="44" xfId="0" applyNumberFormat="1" applyFont="1" applyFill="1" applyBorder="1" applyAlignment="1" applyProtection="1">
      <alignment horizontal="center" vertical="center"/>
    </xf>
    <xf numFmtId="9" fontId="78" fillId="5" borderId="2" xfId="0" applyNumberFormat="1" applyFont="1" applyFill="1" applyBorder="1" applyAlignment="1" applyProtection="1">
      <alignment horizontal="center" vertical="center" wrapText="1"/>
    </xf>
    <xf numFmtId="0" fontId="78" fillId="5" borderId="7" xfId="0" applyFont="1" applyFill="1" applyBorder="1" applyAlignment="1" applyProtection="1">
      <alignment horizontal="left" vertical="center" wrapText="1"/>
    </xf>
    <xf numFmtId="0" fontId="97" fillId="5" borderId="21" xfId="0" applyFont="1" applyFill="1" applyBorder="1" applyAlignment="1" applyProtection="1">
      <alignment horizontal="left" vertical="center" wrapText="1"/>
    </xf>
    <xf numFmtId="177" fontId="97" fillId="5" borderId="21" xfId="0" applyNumberFormat="1" applyFont="1" applyFill="1" applyBorder="1" applyAlignment="1" applyProtection="1">
      <alignment horizontal="center" vertical="center" wrapText="1"/>
    </xf>
    <xf numFmtId="0" fontId="97" fillId="5" borderId="21" xfId="0" applyFont="1" applyFill="1" applyBorder="1" applyAlignment="1" applyProtection="1">
      <alignment horizontal="center" vertical="center" wrapText="1"/>
    </xf>
    <xf numFmtId="0" fontId="78" fillId="5" borderId="51" xfId="0" applyFont="1" applyFill="1" applyBorder="1" applyAlignment="1" applyProtection="1">
      <alignment horizontal="left" vertical="center" wrapText="1"/>
    </xf>
    <xf numFmtId="49" fontId="78" fillId="5" borderId="11" xfId="0" applyNumberFormat="1" applyFont="1" applyFill="1" applyBorder="1" applyAlignment="1" applyProtection="1">
      <alignment horizontal="left" vertical="center" wrapText="1"/>
    </xf>
    <xf numFmtId="0" fontId="88" fillId="5" borderId="2" xfId="0" applyFont="1" applyFill="1" applyBorder="1" applyAlignment="1" applyProtection="1">
      <alignment horizontal="left" vertical="center" wrapText="1"/>
    </xf>
    <xf numFmtId="177" fontId="88" fillId="5" borderId="2" xfId="0" applyNumberFormat="1"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78" fillId="5" borderId="12" xfId="0" applyFont="1" applyFill="1" applyBorder="1" applyAlignment="1" applyProtection="1">
      <alignment horizontal="left" vertical="center" wrapText="1"/>
    </xf>
    <xf numFmtId="177" fontId="88" fillId="0" borderId="2" xfId="0" applyNumberFormat="1" applyFont="1" applyFill="1" applyBorder="1" applyAlignment="1" applyProtection="1">
      <alignment horizontal="center" vertical="center" wrapText="1"/>
      <protection locked="0"/>
    </xf>
    <xf numFmtId="49" fontId="87" fillId="5" borderId="11" xfId="0" applyNumberFormat="1" applyFont="1" applyFill="1" applyBorder="1" applyAlignment="1" applyProtection="1">
      <alignment horizontal="left" vertical="center" wrapText="1"/>
    </xf>
    <xf numFmtId="0" fontId="97" fillId="5" borderId="2" xfId="0" applyFont="1" applyFill="1" applyBorder="1" applyAlignment="1" applyProtection="1">
      <alignment horizontal="left" vertical="center" wrapText="1"/>
    </xf>
    <xf numFmtId="0" fontId="97" fillId="0" borderId="2" xfId="0" applyFont="1" applyFill="1" applyBorder="1" applyAlignment="1" applyProtection="1">
      <alignment horizontal="center" vertical="center" wrapText="1"/>
      <protection locked="0"/>
    </xf>
    <xf numFmtId="0" fontId="97" fillId="5" borderId="2" xfId="0" applyFont="1" applyFill="1" applyBorder="1" applyAlignment="1" applyProtection="1">
      <alignment horizontal="center" vertical="center" wrapText="1"/>
    </xf>
    <xf numFmtId="177" fontId="97" fillId="5" borderId="2" xfId="0" applyNumberFormat="1" applyFont="1" applyFill="1" applyBorder="1" applyAlignment="1" applyProtection="1">
      <alignment horizontal="center" vertical="center" wrapText="1"/>
    </xf>
    <xf numFmtId="49" fontId="87" fillId="5" borderId="43" xfId="0" applyNumberFormat="1" applyFont="1" applyFill="1" applyBorder="1" applyAlignment="1" applyProtection="1">
      <alignment horizontal="left" vertical="center" wrapText="1"/>
    </xf>
    <xf numFmtId="0" fontId="97" fillId="5" borderId="44" xfId="0" applyFont="1" applyFill="1" applyBorder="1" applyAlignment="1" applyProtection="1">
      <alignment horizontal="left" vertical="center" wrapText="1"/>
    </xf>
    <xf numFmtId="177" fontId="97" fillId="5" borderId="44" xfId="0" applyNumberFormat="1" applyFont="1" applyFill="1" applyBorder="1" applyAlignment="1" applyProtection="1">
      <alignment horizontal="center" vertical="center" wrapText="1"/>
    </xf>
    <xf numFmtId="10" fontId="88" fillId="5" borderId="44" xfId="0" applyNumberFormat="1" applyFont="1" applyFill="1" applyBorder="1" applyAlignment="1" applyProtection="1">
      <alignment horizontal="center" vertical="center" wrapText="1"/>
    </xf>
    <xf numFmtId="0" fontId="78" fillId="5" borderId="46" xfId="0" applyFont="1" applyFill="1" applyBorder="1" applyAlignment="1" applyProtection="1">
      <alignment horizontal="left" vertical="center"/>
    </xf>
    <xf numFmtId="0" fontId="78" fillId="5" borderId="29" xfId="0" applyFont="1" applyFill="1" applyBorder="1" applyAlignment="1" applyProtection="1">
      <alignment horizontal="left" vertical="center" wrapText="1"/>
    </xf>
    <xf numFmtId="0" fontId="78" fillId="5" borderId="30" xfId="0"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49" fontId="78" fillId="5" borderId="11" xfId="0" applyNumberFormat="1" applyFont="1" applyFill="1" applyBorder="1" applyAlignment="1" applyProtection="1">
      <alignment vertical="center" wrapText="1"/>
    </xf>
    <xf numFmtId="0" fontId="88" fillId="0" borderId="2" xfId="0" applyFont="1" applyFill="1" applyBorder="1" applyAlignment="1" applyProtection="1">
      <alignment horizontal="center" vertical="center" wrapText="1"/>
      <protection locked="0"/>
    </xf>
    <xf numFmtId="0" fontId="73" fillId="5" borderId="2" xfId="4" applyFont="1" applyFill="1" applyBorder="1" applyAlignment="1" applyProtection="1">
      <alignment horizontal="left" vertical="center" wrapText="1"/>
    </xf>
    <xf numFmtId="0" fontId="73" fillId="2" borderId="2" xfId="4" applyFont="1" applyFill="1" applyBorder="1" applyAlignment="1" applyProtection="1">
      <alignment horizontal="center" vertical="center" wrapText="1"/>
      <protection locked="0"/>
    </xf>
    <xf numFmtId="177" fontId="88" fillId="0" borderId="12" xfId="0" applyNumberFormat="1" applyFont="1" applyFill="1" applyBorder="1" applyAlignment="1" applyProtection="1">
      <alignment horizontal="center" vertical="center" wrapText="1"/>
      <protection locked="0"/>
    </xf>
    <xf numFmtId="0" fontId="88" fillId="5" borderId="21" xfId="0" applyFont="1" applyFill="1" applyBorder="1" applyAlignment="1" applyProtection="1">
      <alignment horizontal="left" vertical="center" wrapText="1"/>
    </xf>
    <xf numFmtId="9" fontId="73" fillId="5" borderId="0" xfId="0" applyNumberFormat="1" applyFont="1" applyFill="1" applyBorder="1" applyAlignment="1" applyProtection="1">
      <alignment horizontal="center" vertical="center"/>
    </xf>
    <xf numFmtId="10" fontId="88" fillId="5" borderId="2" xfId="0" applyNumberFormat="1" applyFont="1" applyFill="1" applyBorder="1" applyAlignment="1" applyProtection="1">
      <alignment horizontal="center" vertical="center" wrapText="1"/>
    </xf>
    <xf numFmtId="0" fontId="73" fillId="5" borderId="8" xfId="0" applyFont="1" applyFill="1" applyBorder="1" applyAlignment="1" applyProtection="1">
      <alignment horizontal="left" vertical="center"/>
    </xf>
    <xf numFmtId="0" fontId="78" fillId="2" borderId="8" xfId="0" applyFont="1" applyFill="1" applyBorder="1" applyAlignment="1" applyProtection="1">
      <alignment horizontal="left" vertical="center" wrapText="1"/>
      <protection locked="0"/>
    </xf>
    <xf numFmtId="189" fontId="88" fillId="5" borderId="2" xfId="0" applyNumberFormat="1" applyFont="1" applyFill="1" applyBorder="1" applyAlignment="1" applyProtection="1">
      <alignment horizontal="center" vertical="center" wrapText="1"/>
    </xf>
    <xf numFmtId="10" fontId="87" fillId="5" borderId="5" xfId="0" applyNumberFormat="1" applyFont="1" applyFill="1" applyBorder="1" applyAlignment="1" applyProtection="1">
      <alignment horizontal="center" vertical="center" wrapText="1"/>
    </xf>
    <xf numFmtId="181" fontId="97" fillId="5" borderId="2" xfId="0" applyNumberFormat="1"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78" fillId="5" borderId="45" xfId="0" applyFont="1" applyFill="1" applyBorder="1" applyAlignment="1" applyProtection="1">
      <alignment horizontal="left" vertical="center"/>
    </xf>
    <xf numFmtId="0" fontId="78" fillId="5" borderId="56" xfId="0" applyFont="1" applyFill="1" applyBorder="1" applyAlignment="1" applyProtection="1">
      <alignment horizontal="left" vertical="center" wrapText="1"/>
    </xf>
    <xf numFmtId="0" fontId="73" fillId="5" borderId="48" xfId="4" applyFont="1" applyFill="1" applyBorder="1" applyAlignment="1" applyProtection="1">
      <alignment horizontal="left" vertical="center" wrapText="1"/>
    </xf>
    <xf numFmtId="0" fontId="78" fillId="5" borderId="57" xfId="4" applyFont="1" applyFill="1" applyBorder="1" applyAlignment="1" applyProtection="1">
      <alignment horizontal="left" vertical="center" wrapText="1"/>
    </xf>
    <xf numFmtId="0" fontId="78" fillId="5" borderId="16" xfId="4" applyFont="1" applyFill="1" applyBorder="1" applyAlignment="1" applyProtection="1">
      <alignment horizontal="left" vertical="center" wrapText="1"/>
    </xf>
    <xf numFmtId="0" fontId="88" fillId="5" borderId="5" xfId="0" applyFont="1" applyFill="1" applyBorder="1" applyAlignment="1" applyProtection="1">
      <alignment horizontal="center" vertical="center" wrapText="1"/>
    </xf>
    <xf numFmtId="189" fontId="88" fillId="0" borderId="2" xfId="0" applyNumberFormat="1" applyFont="1" applyFill="1" applyBorder="1" applyAlignment="1" applyProtection="1">
      <alignment horizontal="center" vertical="center" wrapText="1"/>
      <protection locked="0"/>
    </xf>
    <xf numFmtId="10" fontId="78" fillId="5" borderId="5" xfId="0" applyNumberFormat="1"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10" fontId="78" fillId="2" borderId="16" xfId="0" applyNumberFormat="1" applyFont="1" applyFill="1" applyBorder="1" applyAlignment="1" applyProtection="1">
      <alignment horizontal="left" vertical="center" wrapText="1"/>
      <protection locked="0"/>
    </xf>
    <xf numFmtId="0" fontId="78" fillId="5" borderId="48" xfId="4" applyFont="1" applyFill="1" applyBorder="1" applyAlignment="1" applyProtection="1">
      <alignment horizontal="left" vertical="center" wrapText="1"/>
    </xf>
    <xf numFmtId="0" fontId="153" fillId="5" borderId="59" xfId="2" applyFont="1" applyFill="1" applyBorder="1" applyAlignment="1" applyProtection="1">
      <alignment vertical="center"/>
    </xf>
    <xf numFmtId="0" fontId="72" fillId="5" borderId="0" xfId="2" applyFont="1" applyFill="1" applyBorder="1" applyAlignment="1" applyProtection="1">
      <alignment vertical="center"/>
    </xf>
    <xf numFmtId="0" fontId="99" fillId="5" borderId="2" xfId="2" applyFont="1" applyFill="1" applyBorder="1" applyAlignment="1" applyProtection="1">
      <alignment vertical="center"/>
    </xf>
    <xf numFmtId="177" fontId="99" fillId="5" borderId="2" xfId="2" applyNumberFormat="1" applyFont="1" applyFill="1" applyBorder="1" applyAlignment="1" applyProtection="1">
      <alignment horizontal="right" vertical="center"/>
    </xf>
    <xf numFmtId="0" fontId="99" fillId="5" borderId="10" xfId="2" applyFont="1" applyFill="1" applyBorder="1" applyAlignment="1" applyProtection="1">
      <alignment horizontal="right" vertical="center"/>
    </xf>
    <xf numFmtId="0" fontId="85" fillId="5" borderId="10" xfId="0" applyFont="1" applyFill="1" applyBorder="1" applyAlignment="1" applyProtection="1">
      <alignment vertical="center"/>
    </xf>
    <xf numFmtId="0" fontId="99" fillId="5" borderId="2" xfId="0" applyFont="1" applyFill="1" applyBorder="1" applyAlignment="1" applyProtection="1">
      <alignment vertical="center"/>
    </xf>
    <xf numFmtId="0" fontId="100" fillId="5" borderId="0" xfId="0" applyFont="1" applyFill="1" applyAlignment="1" applyProtection="1">
      <alignment horizontal="center" vertical="center"/>
    </xf>
    <xf numFmtId="0" fontId="99" fillId="5" borderId="0" xfId="2" applyFont="1" applyFill="1" applyBorder="1" applyAlignment="1" applyProtection="1">
      <alignment vertical="center"/>
    </xf>
    <xf numFmtId="0" fontId="99" fillId="5" borderId="4" xfId="0" applyFont="1" applyFill="1" applyBorder="1" applyAlignment="1" applyProtection="1">
      <alignment vertical="center"/>
    </xf>
    <xf numFmtId="0" fontId="156" fillId="5" borderId="32" xfId="0" applyFont="1" applyFill="1" applyBorder="1" applyAlignment="1" applyProtection="1">
      <alignment horizontal="left" vertical="center"/>
    </xf>
    <xf numFmtId="0" fontId="72" fillId="5" borderId="59" xfId="0" applyFont="1" applyFill="1" applyBorder="1" applyAlignment="1" applyProtection="1"/>
    <xf numFmtId="0" fontId="72" fillId="5" borderId="30" xfId="0" applyFont="1" applyFill="1" applyBorder="1" applyAlignment="1" applyProtection="1"/>
    <xf numFmtId="0" fontId="77" fillId="5" borderId="11" xfId="0" applyFont="1" applyFill="1" applyBorder="1" applyAlignment="1" applyProtection="1">
      <alignment horizontal="center"/>
    </xf>
    <xf numFmtId="0" fontId="77" fillId="5" borderId="4" xfId="0" applyFont="1" applyFill="1" applyBorder="1" applyAlignment="1" applyProtection="1"/>
    <xf numFmtId="184" fontId="78" fillId="6" borderId="2" xfId="0" applyNumberFormat="1" applyFont="1" applyFill="1" applyBorder="1" applyAlignment="1" applyProtection="1">
      <alignment horizontal="center" vertical="center" wrapText="1"/>
      <protection locked="0"/>
    </xf>
    <xf numFmtId="184" fontId="78" fillId="6" borderId="12" xfId="0" applyNumberFormat="1" applyFont="1" applyFill="1" applyBorder="1" applyAlignment="1" applyProtection="1">
      <alignment horizontal="center" vertical="center" wrapText="1"/>
      <protection locked="0"/>
    </xf>
    <xf numFmtId="0" fontId="78" fillId="5" borderId="5" xfId="0" applyFont="1" applyFill="1" applyBorder="1" applyAlignment="1" applyProtection="1"/>
    <xf numFmtId="184" fontId="78" fillId="0" borderId="2" xfId="0" applyNumberFormat="1" applyFont="1" applyFill="1" applyBorder="1" applyAlignment="1" applyProtection="1">
      <alignment horizontal="center"/>
      <protection locked="0"/>
    </xf>
    <xf numFmtId="184" fontId="78" fillId="0" borderId="12" xfId="0" applyNumberFormat="1" applyFont="1" applyFill="1" applyBorder="1" applyAlignment="1" applyProtection="1">
      <alignment horizontal="center"/>
      <protection locked="0"/>
    </xf>
    <xf numFmtId="176" fontId="154" fillId="5" borderId="2" xfId="0" applyNumberFormat="1" applyFont="1" applyFill="1" applyBorder="1" applyAlignment="1" applyProtection="1">
      <alignment horizontal="center" vertical="center"/>
    </xf>
    <xf numFmtId="176" fontId="154" fillId="5" borderId="12" xfId="0" applyNumberFormat="1" applyFont="1" applyFill="1" applyBorder="1" applyAlignment="1" applyProtection="1">
      <alignment horizontal="center" vertical="center"/>
    </xf>
    <xf numFmtId="0" fontId="77" fillId="5" borderId="11" xfId="0" applyFont="1" applyFill="1" applyBorder="1" applyAlignment="1" applyProtection="1">
      <alignment horizontal="left"/>
    </xf>
    <xf numFmtId="0" fontId="77" fillId="5" borderId="5" xfId="0" applyFont="1" applyFill="1" applyBorder="1" applyAlignment="1" applyProtection="1"/>
    <xf numFmtId="184" fontId="77" fillId="5" borderId="2" xfId="0" applyNumberFormat="1" applyFont="1" applyFill="1" applyBorder="1" applyAlignment="1" applyProtection="1">
      <alignment horizontal="center"/>
    </xf>
    <xf numFmtId="0" fontId="77" fillId="5" borderId="2" xfId="0"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8" fillId="5" borderId="5" xfId="2" applyFont="1" applyFill="1" applyBorder="1" applyAlignment="1" applyProtection="1"/>
    <xf numFmtId="177" fontId="78" fillId="5" borderId="2" xfId="0" applyNumberFormat="1" applyFont="1" applyFill="1" applyBorder="1" applyAlignment="1" applyProtection="1">
      <alignment horizontal="center" vertical="center"/>
    </xf>
    <xf numFmtId="179" fontId="78" fillId="5" borderId="2" xfId="2" applyNumberFormat="1" applyFont="1" applyFill="1" applyBorder="1" applyAlignment="1" applyProtection="1">
      <alignment horizontal="center"/>
    </xf>
    <xf numFmtId="181" fontId="78" fillId="5" borderId="2" xfId="2" applyNumberFormat="1" applyFont="1" applyFill="1" applyBorder="1" applyAlignment="1" applyProtection="1">
      <alignment horizontal="center"/>
    </xf>
    <xf numFmtId="9" fontId="78" fillId="5" borderId="2" xfId="2" applyNumberFormat="1" applyFont="1" applyFill="1" applyBorder="1" applyAlignment="1" applyProtection="1">
      <alignment horizontal="center"/>
    </xf>
    <xf numFmtId="177" fontId="78" fillId="5" borderId="2" xfId="2" applyNumberFormat="1" applyFont="1" applyFill="1" applyBorder="1" applyAlignment="1" applyProtection="1">
      <alignment horizontal="center"/>
    </xf>
    <xf numFmtId="177" fontId="78" fillId="5" borderId="2" xfId="2" applyNumberFormat="1" applyFont="1" applyFill="1" applyBorder="1" applyAlignment="1" applyProtection="1"/>
    <xf numFmtId="10" fontId="78" fillId="5" borderId="2" xfId="2" applyNumberFormat="1"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7" fillId="5" borderId="5" xfId="2" applyFont="1" applyFill="1" applyBorder="1" applyAlignment="1" applyProtection="1"/>
    <xf numFmtId="177" fontId="77" fillId="5" borderId="2" xfId="2" applyNumberFormat="1" applyFont="1" applyFill="1" applyBorder="1" applyAlignment="1" applyProtection="1">
      <alignment horizontal="center"/>
    </xf>
    <xf numFmtId="0" fontId="77" fillId="5" borderId="2" xfId="2" applyFont="1" applyFill="1" applyBorder="1" applyAlignment="1" applyProtection="1"/>
    <xf numFmtId="177" fontId="77" fillId="5" borderId="2" xfId="2" applyNumberFormat="1" applyFont="1" applyFill="1" applyBorder="1" applyAlignment="1" applyProtection="1"/>
    <xf numFmtId="0" fontId="73" fillId="5" borderId="5" xfId="0" applyFont="1" applyFill="1" applyBorder="1" applyAlignment="1" applyProtection="1"/>
    <xf numFmtId="0" fontId="73" fillId="5" borderId="8" xfId="0" applyFont="1" applyFill="1" applyBorder="1" applyAlignment="1" applyProtection="1"/>
    <xf numFmtId="0" fontId="73" fillId="5" borderId="16" xfId="0" applyFont="1" applyFill="1" applyBorder="1" applyAlignment="1" applyProtection="1"/>
    <xf numFmtId="10" fontId="77" fillId="5" borderId="2" xfId="2" applyNumberFormat="1" applyFont="1" applyFill="1" applyBorder="1" applyAlignment="1" applyProtection="1">
      <alignment horizontal="center"/>
    </xf>
    <xf numFmtId="0" fontId="77" fillId="5" borderId="2" xfId="0" applyFont="1" applyFill="1" applyBorder="1" applyAlignment="1" applyProtection="1">
      <alignment horizontal="right" vertical="center"/>
    </xf>
    <xf numFmtId="177" fontId="77" fillId="5" borderId="2" xfId="2" applyNumberFormat="1" applyFont="1" applyFill="1" applyBorder="1" applyAlignment="1" applyProtection="1">
      <alignment vertical="center"/>
    </xf>
    <xf numFmtId="177" fontId="77" fillId="5" borderId="8" xfId="2" applyNumberFormat="1" applyFont="1" applyFill="1" applyBorder="1" applyAlignment="1" applyProtection="1">
      <alignment vertical="center"/>
    </xf>
    <xf numFmtId="177" fontId="77" fillId="5" borderId="0" xfId="0" applyNumberFormat="1" applyFont="1" applyFill="1" applyBorder="1" applyAlignment="1" applyProtection="1">
      <alignment horizontal="center"/>
    </xf>
    <xf numFmtId="10" fontId="77" fillId="5" borderId="10" xfId="0" applyNumberFormat="1" applyFont="1" applyFill="1" applyBorder="1" applyAlignment="1" applyProtection="1">
      <alignment horizontal="center" vertical="center"/>
    </xf>
    <xf numFmtId="185" fontId="78" fillId="5" borderId="2" xfId="0" applyNumberFormat="1" applyFont="1" applyFill="1" applyBorder="1" applyAlignment="1" applyProtection="1">
      <alignment horizontal="center" vertical="center"/>
    </xf>
    <xf numFmtId="177" fontId="78" fillId="5" borderId="8" xfId="2" applyNumberFormat="1" applyFont="1" applyFill="1" applyBorder="1" applyAlignment="1" applyProtection="1">
      <alignment vertical="center"/>
    </xf>
    <xf numFmtId="10" fontId="78" fillId="5" borderId="10" xfId="0" applyNumberFormat="1" applyFont="1" applyFill="1" applyBorder="1" applyAlignment="1" applyProtection="1">
      <alignment horizontal="center" vertical="center"/>
    </xf>
    <xf numFmtId="177" fontId="78" fillId="5" borderId="2" xfId="2" applyNumberFormat="1" applyFont="1" applyFill="1" applyBorder="1" applyAlignment="1" applyProtection="1">
      <alignment vertical="center"/>
    </xf>
    <xf numFmtId="0" fontId="77" fillId="5" borderId="2" xfId="2" applyFont="1" applyFill="1" applyBorder="1" applyAlignment="1" applyProtection="1">
      <alignment horizontal="left"/>
    </xf>
    <xf numFmtId="185" fontId="77" fillId="5" borderId="2" xfId="0" applyNumberFormat="1" applyFont="1" applyFill="1" applyBorder="1" applyAlignment="1" applyProtection="1">
      <alignment horizontal="right" vertical="center"/>
    </xf>
    <xf numFmtId="177" fontId="77" fillId="5" borderId="9"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77" fontId="78" fillId="5" borderId="8" xfId="2" applyNumberFormat="1" applyFont="1" applyFill="1" applyBorder="1" applyAlignment="1" applyProtection="1"/>
    <xf numFmtId="0" fontId="77" fillId="5" borderId="60" xfId="0" applyFont="1" applyFill="1" applyBorder="1" applyAlignment="1" applyProtection="1"/>
    <xf numFmtId="0" fontId="77" fillId="5" borderId="56" xfId="0" applyFont="1" applyFill="1" applyBorder="1" applyAlignment="1" applyProtection="1"/>
    <xf numFmtId="184" fontId="72" fillId="5" borderId="44" xfId="0" applyNumberFormat="1" applyFont="1" applyFill="1" applyBorder="1" applyAlignment="1" applyProtection="1">
      <alignment horizontal="center"/>
    </xf>
    <xf numFmtId="0" fontId="77" fillId="5" borderId="48" xfId="0" applyFont="1" applyFill="1" applyBorder="1" applyAlignment="1" applyProtection="1"/>
    <xf numFmtId="10" fontId="77" fillId="5" borderId="2" xfId="0" applyNumberFormat="1" applyFont="1" applyFill="1" applyBorder="1" applyAlignment="1" applyProtection="1">
      <alignment horizontal="center"/>
    </xf>
    <xf numFmtId="0" fontId="78" fillId="5" borderId="9" xfId="0" applyNumberFormat="1" applyFont="1" applyFill="1" applyBorder="1" applyAlignment="1" applyProtection="1">
      <alignment horizontal="center"/>
    </xf>
    <xf numFmtId="0" fontId="78" fillId="5" borderId="0" xfId="0" applyNumberFormat="1" applyFont="1" applyFill="1" applyBorder="1" applyAlignment="1" applyProtection="1">
      <alignment horizontal="center"/>
    </xf>
    <xf numFmtId="0" fontId="77" fillId="5" borderId="2" xfId="0" applyNumberFormat="1" applyFont="1" applyFill="1" applyBorder="1" applyAlignment="1" applyProtection="1">
      <alignment horizontal="right" vertical="center"/>
    </xf>
    <xf numFmtId="0" fontId="78" fillId="5" borderId="2" xfId="0" applyNumberFormat="1" applyFont="1" applyFill="1" applyBorder="1" applyAlignment="1" applyProtection="1">
      <alignment horizontal="center" vertical="center"/>
    </xf>
    <xf numFmtId="0" fontId="78" fillId="5" borderId="2" xfId="0" applyNumberFormat="1" applyFont="1" applyFill="1" applyBorder="1" applyAlignment="1" applyProtection="1">
      <alignment horizontal="center" vertical="center" wrapText="1"/>
    </xf>
    <xf numFmtId="181" fontId="158" fillId="5" borderId="2" xfId="0" applyNumberFormat="1" applyFont="1" applyFill="1" applyBorder="1" applyAlignment="1" applyProtection="1">
      <alignment horizontal="center"/>
    </xf>
    <xf numFmtId="185" fontId="158" fillId="5" borderId="2" xfId="0" applyNumberFormat="1" applyFont="1" applyFill="1" applyBorder="1" applyAlignment="1" applyProtection="1">
      <alignment horizontal="center" vertical="center"/>
    </xf>
    <xf numFmtId="177" fontId="158" fillId="5" borderId="8" xfId="2" applyNumberFormat="1" applyFont="1" applyFill="1" applyBorder="1" applyAlignment="1" applyProtection="1">
      <alignment vertical="center"/>
    </xf>
    <xf numFmtId="10" fontId="158" fillId="5" borderId="10" xfId="0" applyNumberFormat="1" applyFont="1" applyFill="1" applyBorder="1" applyAlignment="1" applyProtection="1">
      <alignment horizontal="center" vertical="center"/>
    </xf>
    <xf numFmtId="0" fontId="158" fillId="5" borderId="8" xfId="0" applyFont="1" applyFill="1" applyBorder="1" applyAlignment="1" applyProtection="1"/>
    <xf numFmtId="0" fontId="158" fillId="5" borderId="5" xfId="0" applyFont="1" applyFill="1" applyBorder="1" applyAlignment="1" applyProtection="1">
      <alignment horizontal="center" vertical="center"/>
    </xf>
    <xf numFmtId="177" fontId="158" fillId="5" borderId="2" xfId="2" applyNumberFormat="1" applyFont="1" applyFill="1" applyBorder="1" applyAlignment="1" applyProtection="1">
      <alignment vertical="center"/>
    </xf>
    <xf numFmtId="10" fontId="158" fillId="5" borderId="2" xfId="0" applyNumberFormat="1" applyFont="1" applyFill="1" applyBorder="1" applyAlignment="1" applyProtection="1">
      <alignment horizontal="center" vertical="center"/>
    </xf>
    <xf numFmtId="0" fontId="158" fillId="5" borderId="0" xfId="0" applyFont="1" applyFill="1" applyBorder="1" applyAlignment="1" applyProtection="1">
      <alignment horizontal="center" vertical="center" wrapText="1"/>
    </xf>
    <xf numFmtId="10" fontId="158" fillId="5" borderId="2" xfId="0" applyNumberFormat="1" applyFont="1" applyFill="1" applyBorder="1" applyAlignment="1" applyProtection="1">
      <alignment vertical="center" wrapText="1"/>
    </xf>
    <xf numFmtId="0" fontId="153" fillId="5" borderId="4" xfId="0" applyFont="1" applyFill="1" applyBorder="1" applyAlignment="1" applyProtection="1">
      <alignment vertical="center"/>
    </xf>
    <xf numFmtId="0" fontId="103" fillId="5" borderId="14" xfId="0" applyFont="1" applyFill="1" applyBorder="1" applyAlignment="1" applyProtection="1">
      <alignment horizontal="right" vertical="center"/>
    </xf>
    <xf numFmtId="0" fontId="103" fillId="5" borderId="0" xfId="0" applyFont="1" applyFill="1" applyAlignment="1" applyProtection="1">
      <alignment horizontal="center" vertical="center"/>
    </xf>
    <xf numFmtId="0" fontId="70" fillId="5" borderId="14" xfId="0" applyFont="1" applyFill="1" applyBorder="1" applyAlignment="1" applyProtection="1">
      <alignment vertical="center"/>
    </xf>
    <xf numFmtId="0" fontId="103" fillId="5" borderId="14" xfId="0" applyFont="1" applyFill="1" applyBorder="1" applyAlignment="1" applyProtection="1">
      <alignment vertical="center"/>
    </xf>
    <xf numFmtId="187" fontId="103" fillId="5" borderId="14" xfId="0" applyNumberFormat="1" applyFont="1" applyFill="1" applyBorder="1" applyAlignment="1" applyProtection="1">
      <alignment horizontal="center" vertical="center"/>
    </xf>
    <xf numFmtId="177" fontId="99" fillId="5" borderId="2" xfId="0" applyNumberFormat="1" applyFont="1" applyFill="1" applyBorder="1" applyAlignment="1" applyProtection="1">
      <alignment horizontal="right" vertical="center"/>
    </xf>
    <xf numFmtId="0" fontId="99" fillId="5" borderId="10" xfId="2" applyFont="1" applyFill="1" applyBorder="1" applyAlignment="1" applyProtection="1">
      <alignment vertical="center"/>
    </xf>
    <xf numFmtId="184" fontId="99" fillId="5" borderId="10" xfId="0" applyNumberFormat="1" applyFont="1" applyFill="1" applyBorder="1" applyAlignment="1" applyProtection="1">
      <alignment horizontal="right" vertical="center"/>
    </xf>
    <xf numFmtId="0" fontId="99" fillId="5" borderId="10" xfId="0" applyFont="1" applyFill="1" applyBorder="1" applyAlignment="1" applyProtection="1">
      <alignment vertical="center"/>
    </xf>
    <xf numFmtId="0" fontId="85" fillId="5" borderId="26" xfId="0" applyFont="1" applyFill="1" applyBorder="1" applyAlignment="1" applyProtection="1">
      <alignment vertical="center" wrapText="1"/>
    </xf>
    <xf numFmtId="0" fontId="85" fillId="5" borderId="28" xfId="0" applyFont="1" applyFill="1" applyBorder="1" applyAlignment="1" applyProtection="1">
      <alignment vertical="center" wrapText="1"/>
    </xf>
    <xf numFmtId="187" fontId="73" fillId="5" borderId="9" xfId="0" applyNumberFormat="1" applyFont="1" applyFill="1" applyBorder="1" applyAlignment="1" applyProtection="1">
      <alignment horizontal="center" vertical="center" wrapText="1"/>
    </xf>
    <xf numFmtId="0" fontId="85" fillId="5" borderId="31" xfId="0" applyFont="1" applyFill="1" applyBorder="1" applyAlignment="1" applyProtection="1">
      <alignment vertical="center" wrapText="1"/>
    </xf>
    <xf numFmtId="0" fontId="85" fillId="5" borderId="0" xfId="0" applyFont="1" applyFill="1" applyBorder="1" applyAlignment="1" applyProtection="1">
      <alignment vertical="center" wrapText="1"/>
    </xf>
    <xf numFmtId="0" fontId="85" fillId="5" borderId="54" xfId="0" applyFont="1" applyFill="1" applyBorder="1" applyAlignment="1" applyProtection="1">
      <alignment vertical="center" wrapText="1"/>
    </xf>
    <xf numFmtId="0" fontId="85" fillId="5" borderId="61" xfId="0" applyFont="1" applyFill="1" applyBorder="1" applyAlignment="1" applyProtection="1">
      <alignment vertical="center" wrapText="1"/>
    </xf>
    <xf numFmtId="183" fontId="73" fillId="5" borderId="33" xfId="0" applyNumberFormat="1" applyFont="1" applyFill="1" applyBorder="1" applyAlignment="1" applyProtection="1">
      <alignment horizontal="center" vertical="center" wrapText="1"/>
    </xf>
    <xf numFmtId="0" fontId="73" fillId="5" borderId="34" xfId="0" applyNumberFormat="1" applyFont="1" applyFill="1" applyBorder="1" applyAlignment="1" applyProtection="1">
      <alignment horizontal="center" vertical="center" wrapText="1"/>
    </xf>
    <xf numFmtId="183" fontId="73" fillId="0" borderId="62" xfId="0" applyNumberFormat="1" applyFont="1" applyFill="1" applyBorder="1" applyAlignment="1" applyProtection="1">
      <alignment horizontal="center" vertical="center" wrapText="1"/>
      <protection locked="0"/>
    </xf>
    <xf numFmtId="0" fontId="73" fillId="5" borderId="49" xfId="0" applyNumberFormat="1" applyFont="1" applyFill="1" applyBorder="1" applyAlignment="1" applyProtection="1">
      <alignment horizontal="center" vertical="center" wrapText="1"/>
    </xf>
    <xf numFmtId="183" fontId="73" fillId="0" borderId="33" xfId="0" applyNumberFormat="1" applyFont="1" applyFill="1" applyBorder="1" applyAlignment="1" applyProtection="1">
      <alignment horizontal="center" vertical="center" wrapText="1"/>
      <protection locked="0"/>
    </xf>
    <xf numFmtId="0" fontId="73" fillId="5" borderId="9" xfId="0" applyNumberFormat="1" applyFont="1" applyFill="1" applyBorder="1" applyAlignment="1" applyProtection="1">
      <alignment horizontal="center" vertical="center" wrapText="1"/>
    </xf>
    <xf numFmtId="49" fontId="73" fillId="2" borderId="33" xfId="0" applyNumberFormat="1" applyFont="1" applyFill="1" applyBorder="1" applyAlignment="1" applyProtection="1">
      <alignment horizontal="center" vertical="center" wrapText="1"/>
      <protection locked="0"/>
    </xf>
    <xf numFmtId="0" fontId="73" fillId="2" borderId="59"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wrapText="1"/>
    </xf>
    <xf numFmtId="0" fontId="73" fillId="0" borderId="50" xfId="0" applyNumberFormat="1" applyFont="1" applyFill="1" applyBorder="1" applyAlignment="1" applyProtection="1">
      <alignment horizontal="center" vertical="center" wrapText="1"/>
      <protection locked="0"/>
    </xf>
    <xf numFmtId="49" fontId="73" fillId="0" borderId="50" xfId="0" applyNumberFormat="1" applyFont="1" applyFill="1" applyBorder="1" applyAlignment="1" applyProtection="1">
      <alignment horizontal="center" vertical="center" wrapText="1"/>
      <protection locked="0"/>
    </xf>
    <xf numFmtId="49" fontId="73" fillId="0" borderId="20" xfId="0" applyNumberFormat="1" applyFont="1" applyFill="1" applyBorder="1" applyAlignment="1" applyProtection="1">
      <alignment horizontal="center" vertical="center" wrapText="1"/>
      <protection locked="0"/>
    </xf>
    <xf numFmtId="0" fontId="101" fillId="5" borderId="9" xfId="0" applyNumberFormat="1" applyFont="1" applyFill="1" applyBorder="1" applyAlignment="1" applyProtection="1">
      <alignment horizontal="center" vertical="center" wrapText="1"/>
    </xf>
    <xf numFmtId="0" fontId="85" fillId="5" borderId="24" xfId="0" applyFont="1" applyFill="1" applyBorder="1" applyAlignment="1" applyProtection="1">
      <alignment vertical="center" wrapText="1"/>
    </xf>
    <xf numFmtId="0" fontId="73" fillId="0" borderId="11"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wrapText="1"/>
    </xf>
    <xf numFmtId="0" fontId="73" fillId="0" borderId="4" xfId="0" applyFont="1" applyFill="1" applyBorder="1" applyAlignment="1" applyProtection="1">
      <alignment horizontal="center" vertical="center" wrapText="1"/>
      <protection locked="0"/>
    </xf>
    <xf numFmtId="0" fontId="73" fillId="5" borderId="63" xfId="0" applyNumberFormat="1" applyFont="1" applyFill="1" applyBorder="1" applyAlignment="1" applyProtection="1">
      <alignment horizontal="center" vertical="center" wrapText="1"/>
    </xf>
    <xf numFmtId="0" fontId="86" fillId="0" borderId="64" xfId="0" applyNumberFormat="1" applyFont="1" applyFill="1" applyBorder="1" applyAlignment="1" applyProtection="1">
      <alignment horizontal="center" vertical="center" wrapText="1"/>
      <protection locked="0"/>
    </xf>
    <xf numFmtId="0" fontId="86" fillId="5" borderId="1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wrapText="1"/>
    </xf>
    <xf numFmtId="0" fontId="73" fillId="0" borderId="45" xfId="0" applyFont="1" applyFill="1" applyBorder="1" applyAlignment="1" applyProtection="1">
      <alignment horizontal="center" vertical="center" wrapText="1"/>
      <protection locked="0"/>
    </xf>
    <xf numFmtId="0" fontId="86" fillId="0" borderId="60" xfId="0" applyNumberFormat="1" applyFont="1" applyFill="1" applyBorder="1" applyAlignment="1" applyProtection="1">
      <alignment horizontal="center" vertical="center" wrapText="1"/>
      <protection locked="0"/>
    </xf>
    <xf numFmtId="0" fontId="86" fillId="5" borderId="46" xfId="0" applyNumberFormat="1" applyFont="1" applyFill="1" applyBorder="1" applyAlignment="1" applyProtection="1">
      <alignment horizontal="center" vertical="center" wrapText="1"/>
    </xf>
    <xf numFmtId="0" fontId="73" fillId="5" borderId="41" xfId="0" applyFont="1" applyFill="1" applyBorder="1" applyAlignment="1" applyProtection="1">
      <alignment horizontal="center" vertical="center" wrapText="1"/>
    </xf>
    <xf numFmtId="49" fontId="86" fillId="5" borderId="58" xfId="0" applyNumberFormat="1" applyFont="1" applyFill="1" applyBorder="1" applyAlignment="1" applyProtection="1">
      <alignment horizontal="center" vertical="center" wrapText="1"/>
    </xf>
    <xf numFmtId="0" fontId="86" fillId="5" borderId="41" xfId="0" applyNumberFormat="1" applyFont="1" applyFill="1" applyBorder="1" applyAlignment="1" applyProtection="1">
      <alignment horizontal="center" vertical="center" wrapText="1"/>
    </xf>
    <xf numFmtId="49" fontId="86" fillId="0" borderId="58" xfId="0" applyNumberFormat="1" applyFont="1" applyFill="1" applyBorder="1" applyAlignment="1" applyProtection="1">
      <alignment horizontal="center" vertical="center" wrapText="1"/>
      <protection locked="0"/>
    </xf>
    <xf numFmtId="0" fontId="86" fillId="5" borderId="40" xfId="0" applyNumberFormat="1" applyFont="1" applyFill="1" applyBorder="1" applyAlignment="1" applyProtection="1">
      <alignment horizontal="center" vertical="center" wrapText="1"/>
    </xf>
    <xf numFmtId="49" fontId="86" fillId="0" borderId="53" xfId="0" applyNumberFormat="1" applyFont="1" applyFill="1" applyBorder="1" applyAlignment="1" applyProtection="1">
      <alignment horizontal="center" vertical="center" wrapText="1"/>
      <protection locked="0"/>
    </xf>
    <xf numFmtId="0" fontId="86" fillId="5" borderId="65" xfId="0" applyFont="1" applyFill="1" applyBorder="1" applyAlignment="1" applyProtection="1">
      <alignment horizontal="center" vertical="center"/>
    </xf>
    <xf numFmtId="0" fontId="86" fillId="2" borderId="20" xfId="0" applyNumberFormat="1" applyFont="1" applyFill="1" applyBorder="1" applyAlignment="1" applyProtection="1">
      <alignment horizontal="center" vertical="center" wrapText="1"/>
      <protection locked="0"/>
    </xf>
    <xf numFmtId="0" fontId="86" fillId="5" borderId="51" xfId="0" applyNumberFormat="1" applyFont="1" applyFill="1" applyBorder="1" applyAlignment="1" applyProtection="1">
      <alignment horizontal="center" vertical="center" wrapText="1"/>
    </xf>
    <xf numFmtId="49" fontId="86" fillId="2" borderId="20" xfId="0" applyNumberFormat="1" applyFont="1" applyFill="1" applyBorder="1" applyAlignment="1" applyProtection="1">
      <alignment horizontal="center" vertical="center" wrapText="1"/>
      <protection locked="0"/>
    </xf>
    <xf numFmtId="0" fontId="86" fillId="5" borderId="17" xfId="0" applyNumberFormat="1" applyFont="1" applyFill="1" applyBorder="1" applyAlignment="1" applyProtection="1">
      <alignment horizontal="center" vertical="center" wrapText="1"/>
    </xf>
    <xf numFmtId="49" fontId="86" fillId="2" borderId="50" xfId="0" applyNumberFormat="1" applyFont="1" applyFill="1" applyBorder="1" applyAlignment="1" applyProtection="1">
      <alignment horizontal="center" vertical="center" wrapText="1"/>
      <protection locked="0"/>
    </xf>
    <xf numFmtId="0" fontId="86" fillId="5" borderId="52" xfId="0" applyNumberFormat="1"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wrapText="1"/>
    </xf>
    <xf numFmtId="49" fontId="86" fillId="5" borderId="32" xfId="0" applyNumberFormat="1" applyFont="1" applyFill="1" applyBorder="1" applyAlignment="1" applyProtection="1">
      <alignment horizontal="center" vertical="center" wrapText="1"/>
    </xf>
    <xf numFmtId="49" fontId="86" fillId="0" borderId="18" xfId="0" applyNumberFormat="1" applyFont="1" applyFill="1" applyBorder="1" applyAlignment="1" applyProtection="1">
      <alignment horizontal="center" vertical="center" wrapText="1"/>
      <protection locked="0"/>
    </xf>
    <xf numFmtId="0" fontId="86" fillId="5" borderId="13" xfId="0" applyNumberFormat="1" applyFont="1" applyFill="1" applyBorder="1" applyAlignment="1" applyProtection="1">
      <alignment horizontal="center" vertical="center" wrapText="1"/>
    </xf>
    <xf numFmtId="49" fontId="86" fillId="0" borderId="24" xfId="0" applyNumberFormat="1" applyFont="1" applyFill="1" applyBorder="1" applyAlignment="1" applyProtection="1">
      <alignment horizontal="center" vertical="center" wrapText="1"/>
      <protection locked="0"/>
    </xf>
    <xf numFmtId="0" fontId="86" fillId="5" borderId="25" xfId="0" applyNumberFormat="1" applyFont="1" applyFill="1" applyBorder="1" applyAlignment="1" applyProtection="1">
      <alignment horizontal="center" vertical="center" wrapText="1"/>
    </xf>
    <xf numFmtId="0" fontId="73" fillId="5" borderId="51" xfId="0" applyFont="1" applyFill="1" applyBorder="1" applyAlignment="1" applyProtection="1">
      <alignment horizontal="center" vertical="center" wrapText="1"/>
    </xf>
    <xf numFmtId="0" fontId="86" fillId="2" borderId="18" xfId="0" applyNumberFormat="1" applyFont="1" applyFill="1" applyBorder="1" applyAlignment="1" applyProtection="1">
      <alignment horizontal="center" vertical="center" wrapText="1"/>
      <protection locked="0"/>
    </xf>
    <xf numFmtId="49" fontId="86" fillId="2" borderId="18" xfId="0" applyNumberFormat="1" applyFont="1" applyFill="1" applyBorder="1" applyAlignment="1" applyProtection="1">
      <alignment horizontal="center" vertical="center" wrapText="1"/>
      <protection locked="0"/>
    </xf>
    <xf numFmtId="49" fontId="86" fillId="2" borderId="24" xfId="0" applyNumberFormat="1" applyFont="1" applyFill="1" applyBorder="1" applyAlignment="1" applyProtection="1">
      <alignment horizontal="center" vertical="center" wrapText="1"/>
      <protection locked="0"/>
    </xf>
    <xf numFmtId="49" fontId="86" fillId="0" borderId="32" xfId="0" applyNumberFormat="1" applyFont="1" applyFill="1" applyBorder="1" applyAlignment="1" applyProtection="1">
      <alignment horizontal="center" vertical="center" wrapText="1"/>
      <protection locked="0"/>
    </xf>
    <xf numFmtId="0" fontId="86" fillId="5" borderId="4" xfId="0" applyNumberFormat="1" applyFont="1" applyFill="1" applyBorder="1" applyAlignment="1" applyProtection="1">
      <alignment horizontal="center" vertical="center" wrapText="1"/>
    </xf>
    <xf numFmtId="49" fontId="86" fillId="0" borderId="22" xfId="0" applyNumberFormat="1" applyFont="1" applyFill="1" applyBorder="1" applyAlignment="1" applyProtection="1">
      <alignment horizontal="center" vertical="center" wrapText="1"/>
      <protection locked="0"/>
    </xf>
    <xf numFmtId="0" fontId="86" fillId="5" borderId="32" xfId="0" applyNumberFormat="1" applyFont="1" applyFill="1" applyBorder="1" applyAlignment="1" applyProtection="1">
      <alignment horizontal="center" vertical="center" wrapText="1"/>
    </xf>
    <xf numFmtId="0" fontId="86" fillId="2" borderId="11" xfId="0" applyNumberFormat="1" applyFont="1" applyFill="1" applyBorder="1" applyAlignment="1" applyProtection="1">
      <alignment horizontal="center" vertical="center" wrapText="1"/>
      <protection locked="0"/>
    </xf>
    <xf numFmtId="0" fontId="86" fillId="5" borderId="5" xfId="0" applyNumberFormat="1" applyFont="1" applyFill="1" applyBorder="1" applyAlignment="1" applyProtection="1">
      <alignment horizontal="center" vertical="center" wrapText="1"/>
    </xf>
    <xf numFmtId="0" fontId="86" fillId="2" borderId="50"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xf>
    <xf numFmtId="0" fontId="73" fillId="5" borderId="52"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protection locked="0"/>
    </xf>
    <xf numFmtId="0" fontId="86" fillId="2" borderId="8" xfId="0" applyNumberFormat="1" applyFont="1" applyFill="1" applyBorder="1" applyAlignment="1" applyProtection="1">
      <alignment horizontal="center" vertical="center" wrapText="1"/>
      <protection locked="0"/>
    </xf>
    <xf numFmtId="0" fontId="108" fillId="5" borderId="9" xfId="0" applyNumberFormat="1" applyFont="1" applyFill="1" applyBorder="1" applyAlignment="1" applyProtection="1">
      <alignment horizontal="center" vertical="center" wrapText="1"/>
    </xf>
    <xf numFmtId="0" fontId="73" fillId="5" borderId="12" xfId="0" applyFont="1" applyFill="1" applyBorder="1" applyAlignment="1" applyProtection="1">
      <alignment horizontal="center" vertical="center" wrapText="1"/>
    </xf>
    <xf numFmtId="0" fontId="86" fillId="2" borderId="64" xfId="0" applyNumberFormat="1" applyFont="1" applyFill="1" applyBorder="1" applyAlignment="1" applyProtection="1">
      <alignment horizontal="center" vertical="center" wrapText="1"/>
      <protection locked="0"/>
    </xf>
    <xf numFmtId="0" fontId="108" fillId="0" borderId="9" xfId="0" applyNumberFormat="1"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horizontal="center" vertical="center"/>
    </xf>
    <xf numFmtId="0" fontId="86" fillId="0" borderId="12" xfId="0" applyFont="1" applyFill="1" applyBorder="1" applyAlignment="1" applyProtection="1">
      <alignment horizontal="center" vertical="center"/>
      <protection locked="0"/>
    </xf>
    <xf numFmtId="0" fontId="102" fillId="5" borderId="54" xfId="0" applyFont="1" applyFill="1" applyBorder="1" applyAlignment="1" applyProtection="1">
      <alignment vertical="center" textRotation="255" wrapText="1"/>
    </xf>
    <xf numFmtId="0" fontId="82" fillId="0" borderId="46" xfId="0" applyFont="1" applyFill="1" applyBorder="1" applyAlignment="1" applyProtection="1">
      <alignment horizontal="center" vertical="center"/>
      <protection locked="0"/>
    </xf>
    <xf numFmtId="0" fontId="86" fillId="0" borderId="3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3" xfId="0" applyNumberFormat="1" applyFont="1" applyFill="1" applyBorder="1" applyAlignment="1" applyProtection="1">
      <alignment horizontal="center" vertical="center" wrapText="1"/>
      <protection locked="0"/>
    </xf>
    <xf numFmtId="0" fontId="85" fillId="5" borderId="24" xfId="0" applyFont="1" applyFill="1" applyBorder="1" applyAlignment="1" applyProtection="1">
      <alignment vertical="center" textRotation="255" wrapText="1"/>
    </xf>
    <xf numFmtId="0" fontId="73" fillId="5" borderId="17" xfId="0" applyFont="1" applyFill="1" applyBorder="1" applyAlignment="1" applyProtection="1">
      <alignment horizontal="center" vertical="center" wrapText="1"/>
    </xf>
    <xf numFmtId="0" fontId="86" fillId="0" borderId="1" xfId="0" applyNumberFormat="1" applyFont="1" applyFill="1" applyBorder="1" applyAlignment="1" applyProtection="1">
      <alignment horizontal="center" vertical="center" wrapText="1"/>
      <protection locked="0"/>
    </xf>
    <xf numFmtId="0" fontId="86" fillId="5" borderId="7"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49" fontId="86" fillId="2" borderId="11"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textRotation="255" wrapText="1"/>
    </xf>
    <xf numFmtId="9" fontId="73" fillId="2" borderId="64" xfId="0" applyNumberFormat="1"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protection locked="0"/>
    </xf>
    <xf numFmtId="0" fontId="102" fillId="5" borderId="24" xfId="0" applyFont="1" applyFill="1" applyBorder="1" applyAlignment="1" applyProtection="1">
      <alignment vertical="center" textRotation="255" wrapText="1"/>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109" fillId="5" borderId="9" xfId="0" applyNumberFormat="1" applyFont="1" applyFill="1" applyBorder="1" applyAlignment="1" applyProtection="1">
      <alignment horizontal="center" vertical="center" wrapText="1"/>
    </xf>
    <xf numFmtId="49" fontId="85" fillId="5" borderId="59" xfId="0" applyNumberFormat="1" applyFont="1" applyFill="1" applyBorder="1" applyAlignment="1" applyProtection="1">
      <alignment vertical="center"/>
    </xf>
    <xf numFmtId="49" fontId="85" fillId="2" borderId="7" xfId="0" applyNumberFormat="1" applyFont="1" applyFill="1" applyBorder="1" applyAlignment="1" applyProtection="1">
      <alignment vertical="center"/>
      <protection locked="0"/>
    </xf>
    <xf numFmtId="0" fontId="85" fillId="5" borderId="30" xfId="0" applyFont="1" applyFill="1" applyBorder="1" applyAlignment="1" applyProtection="1">
      <alignment horizontal="right" vertical="center" wrapText="1"/>
    </xf>
    <xf numFmtId="0" fontId="85" fillId="5" borderId="57" xfId="0" applyFont="1" applyFill="1" applyBorder="1" applyAlignment="1" applyProtection="1">
      <alignment vertical="center" wrapText="1"/>
    </xf>
    <xf numFmtId="0" fontId="110" fillId="3" borderId="30" xfId="0" applyFont="1" applyFill="1" applyBorder="1" applyAlignment="1" applyProtection="1">
      <alignment vertical="center" wrapText="1"/>
      <protection locked="0"/>
    </xf>
    <xf numFmtId="0" fontId="110" fillId="5" borderId="30" xfId="0" applyFont="1" applyFill="1" applyBorder="1" applyAlignment="1" applyProtection="1">
      <alignment vertical="center" wrapText="1"/>
    </xf>
    <xf numFmtId="0" fontId="110" fillId="3" borderId="59" xfId="0" applyFont="1" applyFill="1" applyBorder="1" applyAlignment="1" applyProtection="1">
      <alignment vertical="center" wrapText="1"/>
      <protection locked="0"/>
    </xf>
    <xf numFmtId="0" fontId="110" fillId="5" borderId="57" xfId="0" applyFont="1" applyFill="1" applyBorder="1" applyAlignment="1" applyProtection="1">
      <alignment vertical="center" wrapText="1"/>
    </xf>
    <xf numFmtId="49" fontId="85" fillId="5" borderId="60" xfId="0" applyNumberFormat="1" applyFont="1" applyFill="1" applyBorder="1" applyAlignment="1" applyProtection="1">
      <alignment vertical="center"/>
    </xf>
    <xf numFmtId="49" fontId="85" fillId="5" borderId="48" xfId="0" applyNumberFormat="1" applyFont="1" applyFill="1" applyBorder="1" applyAlignment="1" applyProtection="1">
      <alignment vertical="center"/>
    </xf>
    <xf numFmtId="184" fontId="85" fillId="5" borderId="56" xfId="0" applyNumberFormat="1" applyFont="1" applyFill="1" applyBorder="1" applyAlignment="1" applyProtection="1">
      <alignment vertical="center" wrapText="1"/>
    </xf>
    <xf numFmtId="0" fontId="85" fillId="5" borderId="48" xfId="0" applyFont="1" applyFill="1" applyBorder="1" applyAlignment="1" applyProtection="1">
      <alignment vertical="center" wrapText="1"/>
    </xf>
    <xf numFmtId="0" fontId="85" fillId="5" borderId="56" xfId="0" applyFont="1" applyFill="1" applyBorder="1" applyAlignment="1" applyProtection="1">
      <alignment vertical="center" wrapText="1"/>
    </xf>
    <xf numFmtId="184" fontId="85" fillId="5" borderId="60" xfId="0" applyNumberFormat="1" applyFont="1" applyFill="1" applyBorder="1" applyAlignment="1" applyProtection="1">
      <alignment vertical="center" wrapText="1"/>
    </xf>
    <xf numFmtId="49" fontId="85" fillId="0" borderId="54" xfId="0" applyNumberFormat="1" applyFont="1" applyFill="1" applyBorder="1" applyAlignment="1" applyProtection="1">
      <alignment vertical="center"/>
      <protection locked="0"/>
    </xf>
    <xf numFmtId="49" fontId="85" fillId="0" borderId="66" xfId="0" applyNumberFormat="1" applyFont="1" applyFill="1" applyBorder="1" applyAlignment="1" applyProtection="1">
      <alignment vertical="center"/>
      <protection locked="0"/>
    </xf>
    <xf numFmtId="184" fontId="85" fillId="5" borderId="61" xfId="0" applyNumberFormat="1" applyFont="1" applyFill="1" applyBorder="1" applyAlignment="1" applyProtection="1">
      <alignment vertical="center" wrapText="1"/>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wrapText="1"/>
    </xf>
    <xf numFmtId="181" fontId="86" fillId="5" borderId="5" xfId="0" applyNumberFormat="1" applyFont="1" applyFill="1" applyBorder="1" applyAlignment="1" applyProtection="1">
      <alignment horizontal="center" vertical="center"/>
    </xf>
    <xf numFmtId="181" fontId="86" fillId="5" borderId="9" xfId="0" applyNumberFormat="1" applyFont="1" applyFill="1" applyBorder="1" applyAlignment="1" applyProtection="1">
      <alignment vertical="center"/>
    </xf>
    <xf numFmtId="0" fontId="85" fillId="5" borderId="9" xfId="0" applyFont="1" applyFill="1" applyBorder="1" applyAlignment="1" applyProtection="1">
      <alignment horizontal="center" vertical="center" wrapText="1"/>
    </xf>
    <xf numFmtId="14" fontId="86" fillId="5" borderId="1" xfId="0" applyNumberFormat="1" applyFont="1" applyFill="1" applyBorder="1" applyAlignment="1" applyProtection="1">
      <alignment horizontal="left" vertical="center"/>
    </xf>
    <xf numFmtId="176" fontId="86" fillId="5" borderId="6" xfId="0" applyNumberFormat="1" applyFont="1" applyFill="1" applyBorder="1" applyAlignment="1" applyProtection="1">
      <alignment horizontal="center" vertical="center"/>
    </xf>
    <xf numFmtId="0" fontId="86" fillId="5" borderId="6" xfId="0" applyFont="1" applyFill="1" applyBorder="1" applyAlignment="1" applyProtection="1">
      <alignment horizontal="center" vertical="center"/>
    </xf>
    <xf numFmtId="0" fontId="86" fillId="5" borderId="7" xfId="0" applyFont="1" applyFill="1" applyBorder="1" applyAlignment="1" applyProtection="1">
      <alignment horizontal="center" vertical="center"/>
    </xf>
    <xf numFmtId="0" fontId="88" fillId="5" borderId="11" xfId="0" applyFont="1" applyFill="1" applyBorder="1" applyAlignment="1" applyProtection="1"/>
    <xf numFmtId="184" fontId="88" fillId="5" borderId="2" xfId="2" applyNumberFormat="1" applyFont="1" applyFill="1" applyBorder="1" applyAlignment="1" applyProtection="1">
      <alignment horizontal="center"/>
    </xf>
    <xf numFmtId="0" fontId="88" fillId="5" borderId="2" xfId="0" applyFont="1" applyFill="1" applyBorder="1" applyAlignment="1" applyProtection="1">
      <alignment horizontal="center"/>
    </xf>
    <xf numFmtId="177" fontId="88" fillId="5" borderId="12" xfId="2" applyNumberFormat="1" applyFont="1" applyFill="1" applyBorder="1" applyAlignment="1" applyProtection="1">
      <alignment horizontal="center"/>
    </xf>
    <xf numFmtId="0" fontId="88" fillId="5" borderId="11" xfId="2" applyFont="1" applyFill="1" applyBorder="1" applyAlignment="1" applyProtection="1"/>
    <xf numFmtId="0" fontId="88" fillId="5" borderId="2" xfId="2" applyFont="1" applyFill="1" applyBorder="1" applyAlignment="1" applyProtection="1">
      <alignment horizontal="center"/>
    </xf>
    <xf numFmtId="179" fontId="88" fillId="0" borderId="2" xfId="2" applyNumberFormat="1" applyFont="1" applyFill="1" applyBorder="1" applyAlignment="1" applyProtection="1">
      <alignment horizontal="center"/>
      <protection locked="0"/>
    </xf>
    <xf numFmtId="0" fontId="78" fillId="5" borderId="12" xfId="0" applyFont="1" applyFill="1" applyBorder="1" applyAlignment="1" applyProtection="1">
      <alignment horizontal="center" vertical="center"/>
    </xf>
    <xf numFmtId="179" fontId="88" fillId="5" borderId="2" xfId="2" applyNumberFormat="1" applyFont="1" applyFill="1" applyBorder="1" applyAlignment="1" applyProtection="1">
      <alignment horizontal="center"/>
    </xf>
    <xf numFmtId="0" fontId="97" fillId="5" borderId="43" xfId="2" applyFont="1" applyFill="1" applyBorder="1" applyAlignment="1" applyProtection="1"/>
    <xf numFmtId="0" fontId="88" fillId="5" borderId="44" xfId="0" applyFont="1" applyFill="1" applyBorder="1" applyAlignment="1" applyProtection="1">
      <alignment horizontal="center"/>
    </xf>
    <xf numFmtId="177" fontId="97" fillId="5" borderId="46" xfId="0" applyNumberFormat="1" applyFont="1" applyFill="1" applyBorder="1" applyAlignment="1" applyProtection="1">
      <alignment horizontal="center"/>
    </xf>
    <xf numFmtId="0" fontId="77" fillId="5" borderId="26" xfId="0" applyNumberFormat="1" applyFont="1" applyFill="1" applyBorder="1" applyAlignment="1" applyProtection="1">
      <alignment vertical="center" wrapText="1"/>
    </xf>
    <xf numFmtId="0" fontId="77" fillId="5" borderId="58" xfId="0" applyNumberFormat="1" applyFont="1" applyFill="1" applyBorder="1" applyAlignment="1" applyProtection="1">
      <alignment vertical="center" wrapText="1"/>
    </xf>
    <xf numFmtId="0" fontId="77" fillId="5" borderId="31"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wrapText="1"/>
    </xf>
    <xf numFmtId="0" fontId="73" fillId="5" borderId="32"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7" fillId="5" borderId="54" xfId="0" applyNumberFormat="1" applyFont="1" applyFill="1" applyBorder="1" applyAlignment="1" applyProtection="1">
      <alignment vertical="center"/>
    </xf>
    <xf numFmtId="0" fontId="77" fillId="5" borderId="67" xfId="0" applyNumberFormat="1" applyFont="1" applyFill="1" applyBorder="1" applyAlignment="1" applyProtection="1">
      <alignment vertical="center" wrapText="1"/>
    </xf>
    <xf numFmtId="0" fontId="73" fillId="0" borderId="6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73" fillId="0" borderId="6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vertical="center" wrapText="1"/>
    </xf>
    <xf numFmtId="0" fontId="73" fillId="5" borderId="20" xfId="0" applyNumberFormat="1" applyFont="1" applyFill="1" applyBorder="1" applyAlignment="1" applyProtection="1">
      <alignment horizontal="center" vertical="center" wrapText="1"/>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0" borderId="51"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vertical="center" wrapText="1"/>
    </xf>
    <xf numFmtId="0" fontId="73" fillId="5" borderId="27" xfId="0" applyNumberFormat="1" applyFont="1" applyFill="1" applyBorder="1" applyAlignment="1" applyProtection="1">
      <alignment horizontal="center" vertical="center" wrapText="1"/>
    </xf>
    <xf numFmtId="0" fontId="107" fillId="0" borderId="6" xfId="0" applyNumberFormat="1" applyFont="1" applyFill="1" applyBorder="1" applyAlignment="1" applyProtection="1">
      <alignment horizontal="center" vertical="center" wrapText="1"/>
      <protection locked="0"/>
    </xf>
    <xf numFmtId="0" fontId="107" fillId="0" borderId="6" xfId="0" applyNumberFormat="1" applyFont="1" applyFill="1" applyBorder="1" applyAlignment="1" applyProtection="1">
      <alignment horizontal="left" vertical="center" wrapText="1"/>
      <protection locked="0"/>
    </xf>
    <xf numFmtId="0" fontId="107" fillId="0" borderId="7"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wrapText="1"/>
    </xf>
    <xf numFmtId="0" fontId="82" fillId="5" borderId="70"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73" fillId="5" borderId="73" xfId="0" applyNumberFormat="1" applyFont="1" applyFill="1" applyBorder="1" applyAlignment="1" applyProtection="1">
      <alignment horizontal="center" vertical="center" wrapText="1"/>
    </xf>
    <xf numFmtId="0" fontId="86"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left" vertical="center" wrapText="1"/>
    </xf>
    <xf numFmtId="0" fontId="107" fillId="5" borderId="75" xfId="0" applyNumberFormat="1" applyFont="1" applyFill="1" applyBorder="1" applyAlignment="1" applyProtection="1">
      <alignment horizontal="center" vertical="center" wrapText="1"/>
    </xf>
    <xf numFmtId="0" fontId="73" fillId="5" borderId="70" xfId="0" applyNumberFormat="1" applyFont="1" applyFill="1" applyBorder="1" applyAlignment="1" applyProtection="1">
      <alignment horizontal="center" vertical="center" wrapText="1"/>
    </xf>
    <xf numFmtId="0" fontId="86" fillId="5" borderId="71" xfId="0" applyNumberFormat="1" applyFont="1" applyFill="1" applyBorder="1" applyAlignment="1" applyProtection="1">
      <alignment horizontal="center" vertical="center" wrapText="1"/>
    </xf>
    <xf numFmtId="0" fontId="86" fillId="5" borderId="72" xfId="0" applyNumberFormat="1" applyFont="1" applyFill="1" applyBorder="1" applyAlignment="1" applyProtection="1">
      <alignment horizontal="center" vertical="center" wrapText="1"/>
    </xf>
    <xf numFmtId="0" fontId="73" fillId="5" borderId="3" xfId="0" applyNumberFormat="1" applyFont="1" applyFill="1" applyBorder="1" applyAlignment="1" applyProtection="1">
      <alignment horizontal="center" vertical="center" wrapText="1"/>
    </xf>
    <xf numFmtId="0" fontId="86" fillId="5" borderId="21" xfId="0" applyNumberFormat="1" applyFont="1" applyFill="1" applyBorder="1" applyAlignment="1" applyProtection="1">
      <alignment horizontal="center" vertical="center" wrapText="1"/>
    </xf>
    <xf numFmtId="0" fontId="82" fillId="5" borderId="3"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2" xfId="0" applyNumberFormat="1" applyFont="1" applyFill="1" applyBorder="1" applyAlignment="1" applyProtection="1">
      <alignment horizontal="left" vertical="center" wrapText="1"/>
      <protection locked="0"/>
    </xf>
    <xf numFmtId="0" fontId="107" fillId="0" borderId="12"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wrapText="1"/>
    </xf>
    <xf numFmtId="0" fontId="73"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73" fillId="0" borderId="71" xfId="0" applyNumberFormat="1" applyFont="1" applyFill="1" applyBorder="1" applyAlignment="1" applyProtection="1">
      <alignment horizontal="center" vertical="center" wrapText="1"/>
      <protection locked="0"/>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left" vertical="center" wrapText="1"/>
      <protection locked="0"/>
    </xf>
    <xf numFmtId="0" fontId="82" fillId="0" borderId="51" xfId="0" applyNumberFormat="1" applyFont="1" applyFill="1" applyBorder="1" applyAlignment="1" applyProtection="1">
      <alignment horizontal="center" vertical="center" wrapText="1"/>
      <protection locked="0"/>
    </xf>
    <xf numFmtId="0" fontId="102" fillId="5" borderId="23" xfId="0" applyNumberFormat="1" applyFont="1" applyFill="1" applyBorder="1" applyAlignment="1" applyProtection="1">
      <alignment vertical="center" wrapText="1"/>
    </xf>
    <xf numFmtId="0" fontId="73" fillId="5" borderId="55"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73" fillId="5" borderId="6" xfId="0" applyNumberFormat="1" applyFont="1" applyFill="1" applyBorder="1" applyAlignment="1" applyProtection="1">
      <alignment horizontal="center" vertical="center" wrapText="1"/>
    </xf>
    <xf numFmtId="0" fontId="86"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left" vertical="center" wrapText="1"/>
    </xf>
    <xf numFmtId="0" fontId="107" fillId="5" borderId="7" xfId="0" applyNumberFormat="1" applyFont="1" applyFill="1" applyBorder="1" applyAlignment="1" applyProtection="1">
      <alignment horizontal="center" vertical="center" wrapText="1"/>
    </xf>
    <xf numFmtId="0" fontId="73" fillId="5" borderId="74" xfId="0" applyNumberFormat="1" applyFont="1" applyFill="1" applyBorder="1" applyAlignment="1" applyProtection="1">
      <alignment horizontal="center" vertical="center" wrapText="1"/>
    </xf>
    <xf numFmtId="0" fontId="77" fillId="5" borderId="24" xfId="0" applyNumberFormat="1" applyFont="1" applyFill="1" applyBorder="1" applyAlignment="1" applyProtection="1">
      <alignment vertical="center" wrapText="1"/>
    </xf>
    <xf numFmtId="0" fontId="73" fillId="5" borderId="74" xfId="0" applyNumberFormat="1" applyFont="1" applyFill="1" applyBorder="1" applyAlignment="1" applyProtection="1">
      <alignment horizontal="left" vertical="center" wrapText="1"/>
    </xf>
    <xf numFmtId="0" fontId="73" fillId="5" borderId="75" xfId="0" applyNumberFormat="1" applyFont="1" applyFill="1" applyBorder="1" applyAlignment="1" applyProtection="1">
      <alignment horizontal="center" vertical="center" wrapText="1"/>
    </xf>
    <xf numFmtId="0" fontId="73" fillId="5" borderId="71"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left" vertical="center" wrapText="1"/>
    </xf>
    <xf numFmtId="0" fontId="82" fillId="5" borderId="75"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left" vertical="center" wrapText="1"/>
      <protection locked="0"/>
    </xf>
    <xf numFmtId="0" fontId="107" fillId="0" borderId="75"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left" vertical="center" wrapText="1"/>
      <protection locked="0"/>
    </xf>
    <xf numFmtId="0" fontId="107" fillId="0" borderId="51" xfId="0" applyNumberFormat="1" applyFont="1" applyFill="1" applyBorder="1" applyAlignment="1" applyProtection="1">
      <alignment horizontal="center" vertical="center" wrapText="1"/>
      <protection locked="0"/>
    </xf>
    <xf numFmtId="0" fontId="86" fillId="0" borderId="44"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textRotation="255" wrapText="1"/>
    </xf>
    <xf numFmtId="0" fontId="73" fillId="5" borderId="13" xfId="0" applyNumberFormat="1" applyFont="1" applyFill="1" applyBorder="1" applyAlignment="1" applyProtection="1">
      <alignment horizontal="center" vertical="center"/>
    </xf>
    <xf numFmtId="0" fontId="73"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2"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textRotation="255" wrapText="1"/>
    </xf>
    <xf numFmtId="0" fontId="82" fillId="5" borderId="55" xfId="0" applyNumberFormat="1" applyFont="1" applyFill="1" applyBorder="1" applyAlignment="1" applyProtection="1">
      <alignment horizontal="center" vertical="center" wrapText="1"/>
    </xf>
    <xf numFmtId="0" fontId="113" fillId="5" borderId="14" xfId="0" applyFont="1" applyFill="1" applyBorder="1" applyAlignment="1" applyProtection="1">
      <alignment vertical="center"/>
    </xf>
    <xf numFmtId="0" fontId="114" fillId="5" borderId="0" xfId="0" applyFont="1" applyFill="1" applyAlignment="1" applyProtection="1">
      <alignment horizontal="center" vertical="center"/>
    </xf>
    <xf numFmtId="187" fontId="113" fillId="5" borderId="14" xfId="0" applyNumberFormat="1" applyFont="1" applyFill="1" applyBorder="1" applyAlignment="1" applyProtection="1">
      <alignment horizontal="center" vertical="center"/>
    </xf>
    <xf numFmtId="0" fontId="73" fillId="5" borderId="4" xfId="0" applyNumberFormat="1" applyFont="1" applyFill="1" applyBorder="1" applyAlignment="1" applyProtection="1">
      <alignment horizontal="center" vertical="center" wrapText="1"/>
    </xf>
    <xf numFmtId="0" fontId="86" fillId="0" borderId="47" xfId="0" applyNumberFormat="1" applyFont="1" applyFill="1" applyBorder="1" applyAlignment="1" applyProtection="1">
      <alignment horizontal="center" vertical="center" wrapText="1"/>
      <protection locked="0"/>
    </xf>
    <xf numFmtId="0" fontId="99" fillId="5" borderId="30" xfId="2" applyFont="1" applyFill="1" applyBorder="1" applyAlignment="1" applyProtection="1">
      <alignment vertical="center"/>
    </xf>
    <xf numFmtId="0" fontId="97" fillId="5" borderId="1" xfId="2" applyFont="1" applyFill="1" applyBorder="1" applyAlignment="1" applyProtection="1">
      <alignment horizontal="left" vertical="center"/>
    </xf>
    <xf numFmtId="0" fontId="97" fillId="5" borderId="29" xfId="2" applyFont="1" applyFill="1" applyBorder="1" applyAlignment="1" applyProtection="1">
      <alignment vertical="center"/>
    </xf>
    <xf numFmtId="177" fontId="97" fillId="5" borderId="6" xfId="2" applyNumberFormat="1" applyFont="1" applyFill="1" applyBorder="1" applyAlignment="1" applyProtection="1">
      <alignment horizontal="center" vertical="center"/>
    </xf>
    <xf numFmtId="0" fontId="97" fillId="5" borderId="6" xfId="2" applyFont="1" applyFill="1" applyBorder="1" applyAlignment="1" applyProtection="1">
      <alignment horizontal="center" vertical="center"/>
    </xf>
    <xf numFmtId="0" fontId="97" fillId="5" borderId="7" xfId="2" applyFont="1" applyFill="1" applyBorder="1" applyAlignment="1" applyProtection="1">
      <alignment horizontal="left" vertical="center"/>
    </xf>
    <xf numFmtId="0" fontId="97" fillId="5" borderId="5" xfId="2" applyFont="1" applyFill="1" applyBorder="1" applyAlignment="1" applyProtection="1">
      <alignment vertical="center"/>
    </xf>
    <xf numFmtId="177" fontId="97" fillId="5" borderId="2" xfId="2" applyNumberFormat="1" applyFont="1" applyFill="1" applyBorder="1" applyAlignment="1" applyProtection="1">
      <alignment horizontal="center" vertical="center"/>
    </xf>
    <xf numFmtId="0" fontId="97" fillId="5" borderId="2" xfId="2" applyFont="1" applyFill="1" applyBorder="1" applyAlignment="1" applyProtection="1">
      <alignment horizontal="center" vertical="center"/>
    </xf>
    <xf numFmtId="0" fontId="97" fillId="5" borderId="12" xfId="2" applyFont="1" applyFill="1" applyBorder="1" applyAlignment="1" applyProtection="1">
      <alignment horizontal="left" vertical="center"/>
    </xf>
    <xf numFmtId="0" fontId="88" fillId="5" borderId="5" xfId="2" applyFont="1" applyFill="1" applyBorder="1" applyAlignment="1" applyProtection="1">
      <alignment vertical="center"/>
    </xf>
    <xf numFmtId="177" fontId="88" fillId="5" borderId="2" xfId="2" applyNumberFormat="1" applyFont="1" applyFill="1" applyBorder="1" applyAlignment="1" applyProtection="1">
      <alignment horizontal="center" vertical="center"/>
    </xf>
    <xf numFmtId="177" fontId="88" fillId="5" borderId="2" xfId="2" applyNumberFormat="1"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115" fillId="5" borderId="5" xfId="2" applyFont="1" applyFill="1" applyBorder="1" applyAlignment="1" applyProtection="1">
      <alignment vertical="center"/>
    </xf>
    <xf numFmtId="177" fontId="115" fillId="5" borderId="2" xfId="2" applyNumberFormat="1" applyFont="1" applyFill="1" applyBorder="1" applyAlignment="1" applyProtection="1">
      <alignment horizontal="center" vertical="center"/>
    </xf>
    <xf numFmtId="177" fontId="115" fillId="5" borderId="2" xfId="2" applyNumberFormat="1" applyFont="1" applyFill="1" applyBorder="1" applyAlignment="1" applyProtection="1">
      <alignment vertical="center"/>
    </xf>
    <xf numFmtId="0" fontId="88" fillId="5" borderId="12" xfId="2" applyFont="1" applyFill="1" applyBorder="1" applyAlignment="1" applyProtection="1">
      <alignment vertical="center" wrapText="1"/>
    </xf>
    <xf numFmtId="179" fontId="97" fillId="5" borderId="2" xfId="2" applyNumberFormat="1" applyFont="1" applyFill="1" applyBorder="1" applyAlignment="1" applyProtection="1">
      <alignment horizontal="center" vertical="center"/>
    </xf>
    <xf numFmtId="9" fontId="97" fillId="5" borderId="5" xfId="2" applyNumberFormat="1" applyFont="1" applyFill="1" applyBorder="1" applyAlignment="1" applyProtection="1">
      <alignment horizontal="center" vertical="center"/>
    </xf>
    <xf numFmtId="0" fontId="97" fillId="5" borderId="2" xfId="0" applyFont="1" applyFill="1" applyBorder="1" applyAlignment="1" applyProtection="1">
      <alignment horizontal="right" vertical="center"/>
    </xf>
    <xf numFmtId="0" fontId="97" fillId="5" borderId="2" xfId="0" applyFont="1" applyFill="1" applyBorder="1" applyAlignment="1" applyProtection="1">
      <alignment horizontal="left" vertical="center"/>
    </xf>
    <xf numFmtId="10" fontId="97" fillId="5" borderId="5" xfId="2" applyNumberFormat="1" applyFont="1" applyFill="1" applyBorder="1" applyAlignment="1" applyProtection="1">
      <alignment horizontal="center" vertical="center"/>
    </xf>
    <xf numFmtId="0" fontId="97" fillId="5" borderId="12" xfId="0" applyFont="1" applyFill="1" applyBorder="1" applyAlignment="1" applyProtection="1">
      <alignment vertical="center" wrapText="1"/>
    </xf>
    <xf numFmtId="0" fontId="97" fillId="5" borderId="5" xfId="2" applyNumberFormat="1" applyFont="1" applyFill="1" applyBorder="1" applyAlignment="1" applyProtection="1">
      <alignment horizontal="center" vertical="center"/>
    </xf>
    <xf numFmtId="0" fontId="97" fillId="5" borderId="45" xfId="2" applyFont="1" applyFill="1" applyBorder="1" applyAlignment="1" applyProtection="1">
      <alignment vertical="center"/>
    </xf>
    <xf numFmtId="177" fontId="97" fillId="5" borderId="44" xfId="2" applyNumberFormat="1" applyFont="1" applyFill="1" applyBorder="1" applyAlignment="1" applyProtection="1">
      <alignment horizontal="center" vertical="center"/>
    </xf>
    <xf numFmtId="179" fontId="97" fillId="5" borderId="44" xfId="2" applyNumberFormat="1" applyFont="1" applyFill="1" applyBorder="1" applyAlignment="1" applyProtection="1">
      <alignment horizontal="center" vertical="center"/>
    </xf>
    <xf numFmtId="9" fontId="97" fillId="5" borderId="45" xfId="2" applyNumberFormat="1" applyFont="1" applyFill="1" applyBorder="1" applyAlignment="1" applyProtection="1">
      <alignment horizontal="center" vertical="center"/>
    </xf>
    <xf numFmtId="0" fontId="97" fillId="5" borderId="46" xfId="0" applyFont="1" applyFill="1" applyBorder="1" applyAlignment="1" applyProtection="1">
      <alignment vertical="center" wrapText="1"/>
    </xf>
    <xf numFmtId="49" fontId="104" fillId="5" borderId="19" xfId="0" applyNumberFormat="1" applyFont="1" applyFill="1" applyBorder="1" applyAlignment="1" applyProtection="1"/>
    <xf numFmtId="49" fontId="103" fillId="2" borderId="35" xfId="0" applyNumberFormat="1" applyFont="1" applyFill="1" applyBorder="1" applyAlignment="1" applyProtection="1">
      <alignment horizontal="left"/>
      <protection locked="0"/>
    </xf>
    <xf numFmtId="177" fontId="103" fillId="5" borderId="19" xfId="0" applyNumberFormat="1" applyFont="1" applyFill="1" applyBorder="1" applyAlignment="1" applyProtection="1"/>
    <xf numFmtId="0" fontId="72" fillId="5" borderId="2" xfId="0" applyFont="1" applyFill="1" applyBorder="1" applyAlignment="1" applyProtection="1">
      <alignment horizontal="center" vertical="center"/>
    </xf>
    <xf numFmtId="49" fontId="103" fillId="5" borderId="0" xfId="0" applyNumberFormat="1" applyFont="1" applyFill="1" applyBorder="1" applyAlignment="1" applyProtection="1">
      <alignment horizontal="center"/>
    </xf>
    <xf numFmtId="49" fontId="78" fillId="5" borderId="1" xfId="0" applyNumberFormat="1" applyFont="1" applyFill="1" applyBorder="1" applyAlignment="1" applyProtection="1">
      <alignment horizontal="center" vertical="center"/>
    </xf>
    <xf numFmtId="0" fontId="78" fillId="5" borderId="6" xfId="0" applyFont="1" applyFill="1" applyBorder="1" applyAlignment="1" applyProtection="1">
      <alignment horizontal="center" vertical="center"/>
    </xf>
    <xf numFmtId="0" fontId="78" fillId="5" borderId="29" xfId="0" applyFont="1" applyFill="1" applyBorder="1" applyAlignment="1" applyProtection="1">
      <alignment horizontal="right" vertical="center"/>
    </xf>
    <xf numFmtId="0" fontId="78" fillId="5" borderId="57" xfId="0" applyFont="1" applyFill="1" applyBorder="1" applyAlignment="1" applyProtection="1">
      <alignment horizontal="center" vertical="center"/>
    </xf>
    <xf numFmtId="49" fontId="87" fillId="5" borderId="22" xfId="0" applyNumberFormat="1" applyFont="1" applyFill="1" applyBorder="1" applyAlignment="1" applyProtection="1">
      <alignment vertical="center"/>
    </xf>
    <xf numFmtId="0" fontId="87" fillId="5" borderId="10" xfId="0" applyFont="1" applyFill="1" applyBorder="1" applyAlignment="1" applyProtection="1">
      <alignment vertical="center" wrapText="1"/>
    </xf>
    <xf numFmtId="0" fontId="87" fillId="5" borderId="10" xfId="0" applyFont="1" applyFill="1" applyBorder="1" applyAlignment="1" applyProtection="1">
      <alignment horizontal="center" vertical="center"/>
    </xf>
    <xf numFmtId="0" fontId="78" fillId="5" borderId="2" xfId="0" applyFont="1" applyFill="1" applyBorder="1" applyAlignment="1" applyProtection="1">
      <alignment horizontal="left" vertical="center"/>
    </xf>
    <xf numFmtId="0" fontId="87" fillId="5" borderId="12" xfId="0" applyFont="1" applyFill="1" applyBorder="1" applyAlignment="1" applyProtection="1">
      <alignment horizontal="center" vertical="center"/>
    </xf>
    <xf numFmtId="49" fontId="87" fillId="5" borderId="24" xfId="0" applyNumberFormat="1" applyFont="1" applyFill="1" applyBorder="1" applyAlignment="1" applyProtection="1">
      <alignment vertical="center"/>
    </xf>
    <xf numFmtId="0" fontId="87" fillId="5" borderId="3" xfId="0" applyFont="1" applyFill="1" applyBorder="1" applyAlignment="1" applyProtection="1">
      <alignment vertical="center" wrapText="1"/>
    </xf>
    <xf numFmtId="0" fontId="87" fillId="5" borderId="3" xfId="0" applyFont="1" applyFill="1" applyBorder="1" applyAlignment="1" applyProtection="1">
      <alignment horizontal="center" vertical="center"/>
    </xf>
    <xf numFmtId="0" fontId="78" fillId="5" borderId="3" xfId="0" applyFont="1" applyFill="1" applyBorder="1" applyAlignment="1" applyProtection="1">
      <alignment vertical="center"/>
    </xf>
    <xf numFmtId="49" fontId="87" fillId="5" borderId="50" xfId="0" applyNumberFormat="1" applyFont="1" applyFill="1" applyBorder="1" applyAlignment="1" applyProtection="1">
      <alignment vertical="center"/>
    </xf>
    <xf numFmtId="0" fontId="87" fillId="5" borderId="21" xfId="0" applyFont="1" applyFill="1" applyBorder="1" applyAlignment="1" applyProtection="1">
      <alignment vertical="center" wrapText="1"/>
    </xf>
    <xf numFmtId="0" fontId="87" fillId="5" borderId="21" xfId="0" applyFont="1" applyFill="1" applyBorder="1" applyAlignment="1" applyProtection="1">
      <alignment horizontal="center" vertical="center"/>
    </xf>
    <xf numFmtId="0" fontId="78" fillId="5" borderId="21" xfId="0" applyFont="1" applyFill="1" applyBorder="1" applyAlignment="1" applyProtection="1">
      <alignment vertical="center"/>
    </xf>
    <xf numFmtId="181" fontId="87" fillId="5" borderId="12" xfId="0" applyNumberFormat="1"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181" fontId="87" fillId="5" borderId="25"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left" vertical="center"/>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xf>
    <xf numFmtId="181" fontId="78" fillId="5" borderId="25" xfId="0" applyNumberFormat="1" applyFont="1" applyFill="1" applyBorder="1" applyAlignment="1" applyProtection="1">
      <alignment horizontal="center" vertical="center"/>
    </xf>
    <xf numFmtId="0" fontId="101" fillId="5" borderId="8" xfId="0" applyFont="1" applyFill="1" applyBorder="1" applyAlignment="1" applyProtection="1">
      <alignment vertical="center"/>
    </xf>
    <xf numFmtId="0" fontId="101" fillId="5" borderId="16" xfId="0" applyFont="1" applyFill="1" applyBorder="1" applyAlignment="1" applyProtection="1">
      <alignment vertical="center"/>
    </xf>
    <xf numFmtId="49" fontId="78" fillId="5" borderId="11" xfId="0" applyNumberFormat="1" applyFont="1" applyFill="1" applyBorder="1" applyAlignment="1" applyProtection="1">
      <alignment horizontal="left" vertical="center"/>
    </xf>
    <xf numFmtId="0" fontId="154" fillId="5" borderId="5" xfId="0" applyFont="1" applyFill="1" applyBorder="1" applyAlignment="1" applyProtection="1">
      <alignment horizontal="center" vertical="center"/>
    </xf>
    <xf numFmtId="179" fontId="87" fillId="5" borderId="16" xfId="0" applyNumberFormat="1" applyFont="1" applyFill="1" applyBorder="1" applyAlignment="1" applyProtection="1">
      <alignment horizontal="center" vertical="center"/>
    </xf>
    <xf numFmtId="0" fontId="78" fillId="5" borderId="21" xfId="0" applyFont="1" applyFill="1" applyBorder="1" applyAlignment="1" applyProtection="1">
      <alignment horizontal="left" vertical="center"/>
    </xf>
    <xf numFmtId="181" fontId="78" fillId="5" borderId="51" xfId="0" applyNumberFormat="1" applyFont="1" applyFill="1" applyBorder="1" applyAlignment="1" applyProtection="1">
      <alignment horizontal="center" vertical="center"/>
    </xf>
    <xf numFmtId="181" fontId="87" fillId="5" borderId="10" xfId="0" applyNumberFormat="1" applyFont="1" applyFill="1" applyBorder="1" applyAlignment="1" applyProtection="1">
      <alignment horizontal="center" vertical="center"/>
    </xf>
    <xf numFmtId="181" fontId="78" fillId="5" borderId="12" xfId="0" applyNumberFormat="1" applyFont="1" applyFill="1" applyBorder="1" applyAlignment="1" applyProtection="1">
      <alignment horizontal="center" vertical="center"/>
    </xf>
    <xf numFmtId="181" fontId="78" fillId="5" borderId="16"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49" fontId="78" fillId="5" borderId="22" xfId="0" applyNumberFormat="1" applyFont="1" applyFill="1" applyBorder="1" applyAlignment="1" applyProtection="1">
      <alignment vertical="center"/>
    </xf>
    <xf numFmtId="0" fontId="78" fillId="5" borderId="10" xfId="0" applyFont="1" applyFill="1" applyBorder="1" applyAlignment="1" applyProtection="1">
      <alignment horizontal="left" vertical="center" wrapText="1"/>
    </xf>
    <xf numFmtId="49" fontId="78" fillId="5" borderId="50" xfId="0" applyNumberFormat="1" applyFont="1" applyFill="1" applyBorder="1" applyAlignment="1" applyProtection="1">
      <alignment vertical="center"/>
    </xf>
    <xf numFmtId="0" fontId="78" fillId="5" borderId="21" xfId="0" applyFont="1" applyFill="1" applyBorder="1" applyAlignment="1" applyProtection="1">
      <alignment horizontal="left" vertical="center" wrapText="1"/>
    </xf>
    <xf numFmtId="10" fontId="87" fillId="5" borderId="12" xfId="0" applyNumberFormat="1" applyFont="1" applyFill="1" applyBorder="1" applyAlignment="1" applyProtection="1">
      <alignment horizontal="center" vertical="center"/>
    </xf>
    <xf numFmtId="182" fontId="87" fillId="5" borderId="12" xfId="0" applyNumberFormat="1" applyFont="1" applyFill="1" applyBorder="1" applyAlignment="1" applyProtection="1">
      <alignment horizontal="center" vertical="center"/>
    </xf>
    <xf numFmtId="10" fontId="78" fillId="5" borderId="12" xfId="0" applyNumberFormat="1" applyFont="1" applyFill="1" applyBorder="1" applyAlignment="1" applyProtection="1">
      <alignment horizontal="center" vertical="center"/>
    </xf>
    <xf numFmtId="0" fontId="78" fillId="5" borderId="16"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wrapText="1"/>
    </xf>
    <xf numFmtId="179" fontId="87" fillId="5" borderId="12" xfId="0" applyNumberFormat="1" applyFont="1" applyFill="1" applyBorder="1" applyAlignment="1" applyProtection="1">
      <alignment horizontal="center" vertical="center"/>
    </xf>
    <xf numFmtId="49" fontId="87" fillId="5" borderId="43" xfId="0" applyNumberFormat="1" applyFont="1" applyFill="1" applyBorder="1" applyAlignment="1" applyProtection="1">
      <alignment horizontal="left" vertical="center"/>
    </xf>
    <xf numFmtId="0" fontId="87" fillId="5" borderId="44" xfId="0" applyFont="1" applyFill="1" applyBorder="1" applyAlignment="1" applyProtection="1">
      <alignment horizontal="left" vertical="center"/>
    </xf>
    <xf numFmtId="0" fontId="87" fillId="5" borderId="44" xfId="0" applyFont="1" applyFill="1" applyBorder="1" applyAlignment="1" applyProtection="1">
      <alignment horizontal="center" vertical="center"/>
    </xf>
    <xf numFmtId="0" fontId="78" fillId="5" borderId="44" xfId="0" applyFont="1" applyFill="1" applyBorder="1" applyAlignment="1" applyProtection="1">
      <alignment vertical="center"/>
    </xf>
    <xf numFmtId="0" fontId="78" fillId="5" borderId="44" xfId="0" applyFont="1" applyFill="1" applyBorder="1" applyAlignment="1" applyProtection="1">
      <alignment horizontal="left" vertical="center"/>
    </xf>
    <xf numFmtId="179" fontId="87" fillId="5" borderId="46" xfId="0" applyNumberFormat="1" applyFont="1" applyFill="1" applyBorder="1" applyAlignment="1" applyProtection="1">
      <alignment horizontal="center" vertical="center"/>
    </xf>
    <xf numFmtId="0" fontId="87" fillId="5" borderId="9" xfId="0" applyFont="1" applyFill="1" applyBorder="1" applyAlignment="1" applyProtection="1">
      <alignment horizontal="center" vertical="center"/>
    </xf>
    <xf numFmtId="181" fontId="87" fillId="5" borderId="51" xfId="0" applyNumberFormat="1" applyFont="1" applyFill="1" applyBorder="1" applyAlignment="1" applyProtection="1">
      <alignment horizontal="center" vertical="center"/>
    </xf>
    <xf numFmtId="49" fontId="78" fillId="5" borderId="23" xfId="0" applyNumberFormat="1" applyFont="1" applyFill="1" applyBorder="1" applyAlignment="1" applyProtection="1">
      <alignment horizontal="left" vertical="center"/>
    </xf>
    <xf numFmtId="49" fontId="103" fillId="5" borderId="19" xfId="0" applyNumberFormat="1" applyFont="1" applyFill="1" applyBorder="1" applyAlignment="1" applyProtection="1"/>
    <xf numFmtId="0" fontId="99" fillId="5" borderId="44" xfId="2" applyFont="1" applyFill="1" applyBorder="1" applyAlignment="1" applyProtection="1">
      <alignment vertical="center"/>
    </xf>
    <xf numFmtId="0" fontId="72" fillId="5" borderId="44" xfId="0" applyFont="1" applyFill="1" applyBorder="1" applyAlignment="1" applyProtection="1">
      <alignment horizontal="center" vertical="center"/>
    </xf>
    <xf numFmtId="0" fontId="73" fillId="5" borderId="2" xfId="0" applyFont="1" applyFill="1" applyBorder="1" applyAlignment="1" applyProtection="1"/>
    <xf numFmtId="0" fontId="73" fillId="5" borderId="2" xfId="0" applyFont="1" applyFill="1" applyBorder="1" applyAlignment="1" applyProtection="1">
      <alignment horizontal="center"/>
    </xf>
    <xf numFmtId="0" fontId="88" fillId="5" borderId="2" xfId="0" applyFont="1" applyFill="1" applyBorder="1" applyAlignment="1" applyProtection="1">
      <alignment horizontal="left"/>
    </xf>
    <xf numFmtId="184" fontId="88" fillId="5" borderId="2" xfId="0" applyNumberFormat="1" applyFont="1" applyFill="1" applyBorder="1" applyAlignment="1" applyProtection="1">
      <alignment horizontal="center"/>
    </xf>
    <xf numFmtId="0" fontId="88" fillId="5" borderId="2" xfId="0" applyFont="1" applyFill="1" applyBorder="1" applyAlignment="1" applyProtection="1">
      <alignment vertical="center" wrapText="1"/>
    </xf>
    <xf numFmtId="181" fontId="87" fillId="5" borderId="2" xfId="0" applyNumberFormat="1" applyFont="1" applyFill="1" applyBorder="1" applyAlignment="1" applyProtection="1">
      <alignment horizontal="center" vertical="center"/>
    </xf>
    <xf numFmtId="0" fontId="159" fillId="5" borderId="2" xfId="0" applyFont="1" applyFill="1" applyBorder="1" applyAlignment="1" applyProtection="1">
      <alignment horizontal="left"/>
    </xf>
    <xf numFmtId="0" fontId="159" fillId="5" borderId="2" xfId="0" applyFont="1" applyFill="1" applyBorder="1" applyAlignment="1" applyProtection="1">
      <alignment horizontal="center"/>
    </xf>
    <xf numFmtId="0" fontId="119" fillId="5" borderId="2" xfId="0" applyFont="1" applyFill="1" applyBorder="1" applyAlignment="1" applyProtection="1">
      <alignment horizontal="left"/>
    </xf>
    <xf numFmtId="0" fontId="119" fillId="5" borderId="2" xfId="0" applyFont="1" applyFill="1" applyBorder="1" applyAlignment="1" applyProtection="1">
      <alignment horizontal="center"/>
    </xf>
    <xf numFmtId="181" fontId="88" fillId="5" borderId="2" xfId="0" applyNumberFormat="1" applyFont="1" applyFill="1" applyBorder="1" applyAlignment="1" applyProtection="1">
      <alignment horizontal="center"/>
    </xf>
    <xf numFmtId="0" fontId="108" fillId="5" borderId="2" xfId="0" applyFont="1" applyFill="1" applyBorder="1" applyAlignment="1" applyProtection="1">
      <alignment horizontal="center" vertical="center"/>
    </xf>
    <xf numFmtId="0" fontId="78" fillId="5" borderId="2" xfId="0" applyFont="1" applyFill="1" applyBorder="1" applyAlignment="1" applyProtection="1"/>
    <xf numFmtId="181" fontId="78" fillId="5" borderId="2" xfId="0" applyNumberFormat="1" applyFont="1" applyFill="1" applyBorder="1" applyAlignment="1" applyProtection="1">
      <alignment horizontal="center"/>
    </xf>
    <xf numFmtId="0" fontId="103" fillId="2" borderId="14" xfId="0" applyFont="1" applyFill="1" applyBorder="1" applyAlignment="1" applyProtection="1">
      <alignment vertical="center"/>
      <protection locked="0"/>
    </xf>
    <xf numFmtId="0" fontId="99" fillId="5" borderId="2" xfId="0" applyFont="1" applyFill="1" applyBorder="1" applyAlignment="1" applyProtection="1">
      <alignment horizontal="right" vertical="center"/>
    </xf>
    <xf numFmtId="0" fontId="99" fillId="5" borderId="10" xfId="0" applyFont="1" applyFill="1" applyBorder="1" applyAlignment="1" applyProtection="1">
      <alignment horizontal="right" vertical="center"/>
    </xf>
    <xf numFmtId="0" fontId="99" fillId="5" borderId="10" xfId="0" applyFont="1" applyFill="1" applyBorder="1" applyAlignment="1" applyProtection="1">
      <alignment horizontal="center" vertical="center"/>
    </xf>
    <xf numFmtId="187" fontId="73" fillId="5" borderId="57" xfId="0" applyNumberFormat="1" applyFont="1" applyFill="1" applyBorder="1" applyAlignment="1" applyProtection="1">
      <alignment horizontal="center" vertical="center" wrapText="1"/>
    </xf>
    <xf numFmtId="187" fontId="73" fillId="5" borderId="16" xfId="0" applyNumberFormat="1" applyFont="1" applyFill="1" applyBorder="1" applyAlignment="1" applyProtection="1">
      <alignment horizontal="center" vertical="center" wrapText="1"/>
    </xf>
    <xf numFmtId="0" fontId="73" fillId="5" borderId="16" xfId="0" applyNumberFormat="1" applyFont="1" applyFill="1" applyBorder="1" applyAlignment="1" applyProtection="1">
      <alignment horizontal="center" vertical="center" wrapText="1"/>
    </xf>
    <xf numFmtId="49" fontId="73" fillId="2" borderId="62" xfId="0" applyNumberFormat="1" applyFont="1" applyFill="1" applyBorder="1" applyAlignment="1" applyProtection="1">
      <alignment horizontal="center" vertical="center" wrapText="1"/>
      <protection locked="0"/>
    </xf>
    <xf numFmtId="0" fontId="73" fillId="0" borderId="59" xfId="0" applyNumberFormat="1" applyFont="1" applyFill="1" applyBorder="1" applyAlignment="1" applyProtection="1">
      <alignment horizontal="center" vertical="center" wrapText="1"/>
      <protection locked="0"/>
    </xf>
    <xf numFmtId="49" fontId="73" fillId="2" borderId="42" xfId="0" applyNumberFormat="1" applyFont="1" applyFill="1" applyBorder="1" applyAlignment="1" applyProtection="1">
      <alignment horizontal="center" vertical="center" wrapText="1"/>
      <protection locked="0"/>
    </xf>
    <xf numFmtId="0" fontId="73" fillId="5" borderId="29" xfId="0" applyNumberFormat="1" applyFont="1" applyFill="1" applyBorder="1" applyAlignment="1" applyProtection="1">
      <alignment horizontal="center" vertical="center" wrapText="1"/>
    </xf>
    <xf numFmtId="49" fontId="73" fillId="2" borderId="1" xfId="0" applyNumberFormat="1" applyFont="1" applyFill="1" applyBorder="1" applyAlignment="1" applyProtection="1">
      <alignment horizontal="center" vertical="center" wrapText="1"/>
      <protection locked="0"/>
    </xf>
    <xf numFmtId="49" fontId="73" fillId="2" borderId="11" xfId="0" applyNumberFormat="1" applyFont="1" applyFill="1" applyBorder="1" applyAlignment="1" applyProtection="1">
      <alignment horizontal="center" vertical="center" wrapText="1"/>
      <protection locked="0"/>
    </xf>
    <xf numFmtId="49" fontId="73" fillId="2" borderId="9" xfId="0" applyNumberFormat="1" applyFont="1" applyFill="1" applyBorder="1" applyAlignment="1" applyProtection="1">
      <alignment horizontal="center" vertical="center" wrapText="1"/>
      <protection locked="0"/>
    </xf>
    <xf numFmtId="0" fontId="73" fillId="5" borderId="5" xfId="0" applyNumberFormat="1" applyFont="1" applyFill="1" applyBorder="1" applyAlignment="1" applyProtection="1">
      <alignment horizontal="center" vertical="center" wrapText="1"/>
    </xf>
    <xf numFmtId="0" fontId="108" fillId="0" borderId="16" xfId="0" applyNumberFormat="1" applyFont="1" applyFill="1" applyBorder="1" applyAlignment="1" applyProtection="1">
      <alignment horizontal="center" vertical="center" wrapText="1"/>
      <protection locked="0"/>
    </xf>
    <xf numFmtId="0" fontId="108" fillId="5" borderId="16" xfId="0" applyNumberFormat="1" applyFont="1" applyFill="1" applyBorder="1" applyAlignment="1" applyProtection="1">
      <alignment horizontal="center" vertical="center" wrapText="1"/>
    </xf>
    <xf numFmtId="0" fontId="86" fillId="5" borderId="45" xfId="0" applyNumberFormat="1" applyFont="1" applyFill="1" applyBorder="1" applyAlignment="1" applyProtection="1">
      <alignment horizontal="center" vertical="center" wrapText="1"/>
    </xf>
    <xf numFmtId="49" fontId="86" fillId="5" borderId="53" xfId="0" applyNumberFormat="1" applyFont="1" applyFill="1" applyBorder="1" applyAlignment="1" applyProtection="1">
      <alignment horizontal="center" vertical="center" wrapText="1"/>
    </xf>
    <xf numFmtId="0" fontId="108" fillId="0" borderId="76"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xf>
    <xf numFmtId="0" fontId="108" fillId="5" borderId="77" xfId="0" applyNumberFormat="1" applyFont="1" applyFill="1" applyBorder="1" applyAlignment="1" applyProtection="1">
      <alignment horizontal="center" vertical="center" wrapText="1"/>
    </xf>
    <xf numFmtId="0" fontId="73" fillId="5" borderId="4" xfId="0" applyFont="1" applyFill="1" applyBorder="1" applyAlignment="1" applyProtection="1">
      <alignment horizontal="center" vertical="center" wrapText="1"/>
    </xf>
    <xf numFmtId="0" fontId="86" fillId="5" borderId="22" xfId="0" applyNumberFormat="1" applyFont="1" applyFill="1" applyBorder="1" applyAlignment="1" applyProtection="1">
      <alignment horizontal="center" vertical="center" wrapText="1"/>
    </xf>
    <xf numFmtId="0" fontId="86" fillId="2" borderId="24" xfId="0" applyNumberFormat="1" applyFont="1" applyFill="1" applyBorder="1" applyAlignment="1" applyProtection="1">
      <alignment horizontal="center" vertical="center" wrapText="1"/>
      <protection locked="0"/>
    </xf>
    <xf numFmtId="49" fontId="86" fillId="2" borderId="9" xfId="0" applyNumberFormat="1" applyFont="1" applyFill="1" applyBorder="1" applyAlignment="1" applyProtection="1">
      <alignment horizontal="center" vertical="center" wrapText="1"/>
      <protection locked="0"/>
    </xf>
    <xf numFmtId="0" fontId="73" fillId="5" borderId="51" xfId="0" applyNumberFormat="1" applyFont="1" applyFill="1" applyBorder="1" applyAlignment="1" applyProtection="1">
      <alignment horizontal="center" vertical="center" wrapText="1"/>
    </xf>
    <xf numFmtId="0" fontId="73" fillId="5" borderId="17" xfId="0" applyNumberFormat="1" applyFont="1" applyFill="1" applyBorder="1" applyAlignment="1" applyProtection="1">
      <alignment horizontal="center" vertical="center" wrapText="1"/>
    </xf>
    <xf numFmtId="0" fontId="73" fillId="0" borderId="5"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0" fontId="86" fillId="2" borderId="42" xfId="0" applyFont="1" applyFill="1" applyBorder="1" applyAlignment="1" applyProtection="1">
      <alignment horizontal="center" vertical="center" wrapText="1"/>
      <protection locked="0"/>
    </xf>
    <xf numFmtId="0" fontId="73" fillId="0" borderId="64" xfId="0" applyNumberFormat="1" applyFont="1" applyFill="1" applyBorder="1" applyAlignment="1" applyProtection="1">
      <alignment horizontal="center" vertical="center" wrapText="1"/>
      <protection locked="0"/>
    </xf>
    <xf numFmtId="0" fontId="86" fillId="2" borderId="11" xfId="0" applyFont="1" applyFill="1" applyBorder="1" applyAlignment="1" applyProtection="1">
      <alignment horizontal="center" vertical="center" wrapText="1"/>
      <protection locked="0"/>
    </xf>
    <xf numFmtId="0" fontId="86" fillId="2" borderId="9" xfId="0" applyFont="1" applyFill="1" applyBorder="1" applyAlignment="1" applyProtection="1">
      <alignment horizontal="center" vertical="center" wrapText="1"/>
      <protection locked="0"/>
    </xf>
    <xf numFmtId="9" fontId="73" fillId="0" borderId="64" xfId="0" applyNumberFormat="1" applyFont="1" applyFill="1" applyBorder="1" applyAlignment="1" applyProtection="1">
      <alignment horizontal="center" vertical="center" wrapText="1"/>
      <protection locked="0"/>
    </xf>
    <xf numFmtId="9" fontId="73" fillId="0" borderId="9" xfId="0" applyNumberFormat="1" applyFont="1" applyFill="1" applyBorder="1" applyAlignment="1" applyProtection="1">
      <alignment horizontal="center" vertical="center" wrapText="1"/>
      <protection locked="0"/>
    </xf>
    <xf numFmtId="9" fontId="73"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textRotation="255" wrapText="1"/>
    </xf>
    <xf numFmtId="49" fontId="85" fillId="5" borderId="30" xfId="0" applyNumberFormat="1" applyFont="1" applyFill="1" applyBorder="1" applyAlignment="1" applyProtection="1">
      <alignment vertical="center"/>
    </xf>
    <xf numFmtId="49" fontId="85" fillId="5" borderId="56" xfId="0" applyNumberFormat="1" applyFont="1" applyFill="1" applyBorder="1" applyAlignment="1" applyProtection="1">
      <alignment vertical="center"/>
    </xf>
    <xf numFmtId="0" fontId="73" fillId="0" borderId="32" xfId="0" applyNumberFormat="1" applyFont="1" applyFill="1" applyBorder="1" applyAlignment="1" applyProtection="1">
      <alignment horizontal="center" vertical="center" wrapText="1"/>
      <protection locked="0"/>
    </xf>
    <xf numFmtId="0" fontId="73" fillId="0" borderId="74" xfId="0" applyNumberFormat="1" applyFont="1" applyFill="1" applyBorder="1" applyAlignment="1" applyProtection="1">
      <alignment horizontal="left" vertical="center" wrapText="1"/>
      <protection locked="0"/>
    </xf>
    <xf numFmtId="0" fontId="73" fillId="0" borderId="7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protection locked="0"/>
    </xf>
    <xf numFmtId="0" fontId="85" fillId="5" borderId="23" xfId="0" applyNumberFormat="1" applyFont="1" applyFill="1" applyBorder="1" applyAlignment="1" applyProtection="1">
      <alignment vertical="center" wrapText="1"/>
    </xf>
    <xf numFmtId="0" fontId="73"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center" vertical="center" wrapText="1"/>
    </xf>
    <xf numFmtId="0" fontId="108" fillId="0" borderId="22" xfId="0" applyNumberFormat="1" applyFont="1" applyFill="1" applyBorder="1" applyAlignment="1" applyProtection="1">
      <alignment horizontal="center" vertical="center" wrapText="1"/>
      <protection locked="0"/>
    </xf>
    <xf numFmtId="0" fontId="108" fillId="5" borderId="50" xfId="0" applyNumberFormat="1" applyFont="1" applyFill="1" applyBorder="1" applyAlignment="1" applyProtection="1">
      <alignment horizontal="center" vertical="center" wrapText="1"/>
    </xf>
    <xf numFmtId="49" fontId="86" fillId="5" borderId="22" xfId="0" applyNumberFormat="1" applyFont="1" applyFill="1" applyBorder="1" applyAlignment="1" applyProtection="1">
      <alignment horizontal="center" vertical="center" wrapText="1"/>
    </xf>
    <xf numFmtId="0" fontId="73" fillId="2" borderId="50" xfId="0" applyNumberFormat="1" applyFont="1" applyFill="1" applyBorder="1" applyAlignment="1" applyProtection="1">
      <alignment horizontal="center" vertical="center" wrapText="1"/>
      <protection locked="0"/>
    </xf>
    <xf numFmtId="17" fontId="82" fillId="0" borderId="64" xfId="0" applyNumberFormat="1"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left" vertical="center" wrapText="1"/>
      <protection locked="0"/>
    </xf>
    <xf numFmtId="0" fontId="107" fillId="0" borderId="52" xfId="0" applyNumberFormat="1" applyFont="1" applyFill="1" applyBorder="1" applyAlignment="1" applyProtection="1">
      <alignment horizontal="center" vertical="center" wrapText="1"/>
      <protection locked="0"/>
    </xf>
    <xf numFmtId="0" fontId="151" fillId="0" borderId="74"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73" fillId="2" borderId="20" xfId="0" applyNumberFormat="1"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86" fillId="0" borderId="56" xfId="0" applyNumberFormat="1" applyFont="1" applyFill="1" applyBorder="1" applyAlignment="1" applyProtection="1">
      <alignment horizontal="center" vertical="center" wrapText="1"/>
      <protection locked="0"/>
    </xf>
    <xf numFmtId="0" fontId="86" fillId="2" borderId="1" xfId="0" applyNumberFormat="1" applyFont="1" applyFill="1" applyBorder="1" applyAlignment="1" applyProtection="1">
      <alignment horizontal="center" vertical="center" wrapText="1"/>
      <protection locked="0"/>
    </xf>
    <xf numFmtId="0" fontId="86" fillId="5" borderId="73"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left" vertical="center" wrapText="1"/>
      <protection locked="0"/>
    </xf>
    <xf numFmtId="0" fontId="86" fillId="0" borderId="75"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wrapText="1"/>
    </xf>
    <xf numFmtId="0" fontId="103" fillId="2" borderId="14" xfId="0" applyFont="1" applyFill="1" applyBorder="1" applyAlignment="1" applyProtection="1">
      <alignment horizontal="right" vertical="center"/>
      <protection locked="0"/>
    </xf>
    <xf numFmtId="0" fontId="86" fillId="5" borderId="52" xfId="0" applyFont="1" applyFill="1" applyBorder="1" applyAlignment="1" applyProtection="1">
      <alignment horizontal="center" vertical="center"/>
    </xf>
    <xf numFmtId="0" fontId="73" fillId="0" borderId="25" xfId="0" applyFont="1" applyFill="1" applyBorder="1" applyAlignment="1" applyProtection="1">
      <alignment horizontal="center" vertical="center" wrapText="1"/>
      <protection locked="0"/>
    </xf>
    <xf numFmtId="0" fontId="73" fillId="5" borderId="69" xfId="0" applyNumberFormat="1" applyFont="1" applyFill="1" applyBorder="1" applyAlignment="1" applyProtection="1">
      <alignment horizontal="center" vertical="center" wrapText="1"/>
    </xf>
    <xf numFmtId="0" fontId="73" fillId="5" borderId="68" xfId="0" applyNumberFormat="1" applyFont="1" applyFill="1" applyBorder="1" applyAlignment="1" applyProtection="1">
      <alignment horizontal="center" vertical="center" wrapText="1"/>
    </xf>
    <xf numFmtId="0" fontId="86" fillId="5" borderId="50" xfId="0" applyNumberFormat="1" applyFont="1" applyFill="1" applyBorder="1" applyAlignment="1" applyProtection="1">
      <alignment horizontal="center" vertical="center" wrapText="1"/>
    </xf>
    <xf numFmtId="0" fontId="102" fillId="5" borderId="31" xfId="0" applyFont="1" applyFill="1" applyBorder="1" applyAlignment="1" applyProtection="1">
      <alignment vertical="center" textRotation="255" wrapText="1"/>
    </xf>
    <xf numFmtId="49" fontId="73" fillId="0" borderId="64"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vertical="center" textRotation="255" wrapText="1"/>
    </xf>
    <xf numFmtId="0" fontId="73" fillId="2" borderId="64"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textRotation="255" wrapText="1"/>
    </xf>
    <xf numFmtId="0" fontId="85" fillId="5" borderId="54" xfId="0" applyFont="1" applyFill="1" applyBorder="1" applyAlignment="1" applyProtection="1">
      <alignment vertical="center" textRotation="255" wrapText="1"/>
    </xf>
    <xf numFmtId="0" fontId="86" fillId="5" borderId="3" xfId="0" applyNumberFormat="1" applyFont="1" applyFill="1" applyBorder="1" applyAlignment="1" applyProtection="1">
      <alignment horizontal="center" vertical="center" wrapText="1"/>
    </xf>
    <xf numFmtId="49" fontId="86"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left" vertical="center" wrapText="1"/>
      <protection locked="0"/>
    </xf>
    <xf numFmtId="49" fontId="107" fillId="0" borderId="7"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73" fillId="5" borderId="52"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wrapText="1"/>
    </xf>
    <xf numFmtId="0" fontId="86" fillId="5" borderId="29" xfId="0" applyNumberFormat="1" applyFont="1" applyFill="1" applyBorder="1" applyAlignment="1" applyProtection="1">
      <alignment horizontal="center" vertical="center" wrapText="1"/>
    </xf>
    <xf numFmtId="0" fontId="73" fillId="0" borderId="60" xfId="0" applyNumberFormat="1" applyFont="1" applyFill="1" applyBorder="1" applyAlignment="1" applyProtection="1">
      <alignment horizontal="center" vertical="center" wrapText="1"/>
      <protection locked="0"/>
    </xf>
    <xf numFmtId="0" fontId="107" fillId="5" borderId="3" xfId="0" applyNumberFormat="1" applyFont="1" applyFill="1" applyBorder="1" applyAlignment="1" applyProtection="1">
      <alignment horizontal="center" vertical="center" wrapText="1"/>
    </xf>
    <xf numFmtId="0" fontId="107" fillId="5" borderId="3" xfId="0" applyNumberFormat="1" applyFont="1" applyFill="1" applyBorder="1" applyAlignment="1" applyProtection="1">
      <alignment horizontal="left" vertical="center" wrapText="1"/>
    </xf>
    <xf numFmtId="0" fontId="107" fillId="5" borderId="52" xfId="0" applyNumberFormat="1" applyFont="1" applyFill="1" applyBorder="1" applyAlignment="1" applyProtection="1">
      <alignment horizontal="center" vertical="center" wrapText="1"/>
    </xf>
    <xf numFmtId="0" fontId="78" fillId="5" borderId="0" xfId="0" applyFont="1" applyFill="1" applyAlignment="1" applyProtection="1">
      <alignment horizontal="center" vertical="center"/>
    </xf>
    <xf numFmtId="0" fontId="78" fillId="5" borderId="26" xfId="0" applyNumberFormat="1" applyFont="1" applyFill="1" applyBorder="1" applyAlignment="1" applyProtection="1">
      <alignment horizontal="center" vertical="center" wrapText="1"/>
    </xf>
    <xf numFmtId="0" fontId="78" fillId="5" borderId="1" xfId="0" applyNumberFormat="1" applyFont="1" applyFill="1" applyBorder="1" applyAlignment="1" applyProtection="1">
      <alignment horizontal="center" vertical="center" wrapText="1"/>
    </xf>
    <xf numFmtId="0" fontId="78" fillId="5" borderId="6" xfId="0" applyNumberFormat="1" applyFont="1" applyFill="1" applyBorder="1" applyAlignment="1" applyProtection="1">
      <alignment horizontal="center" vertical="center" wrapText="1"/>
    </xf>
    <xf numFmtId="0" fontId="78" fillId="5" borderId="39" xfId="0" applyNumberFormat="1" applyFont="1" applyFill="1" applyBorder="1" applyAlignment="1" applyProtection="1">
      <alignment horizontal="center" vertical="center" wrapText="1"/>
    </xf>
    <xf numFmtId="0" fontId="78" fillId="5" borderId="31" xfId="0" applyNumberFormat="1" applyFont="1" applyFill="1" applyBorder="1" applyAlignment="1" applyProtection="1">
      <alignment horizontal="center" vertical="center"/>
    </xf>
    <xf numFmtId="0" fontId="78" fillId="0" borderId="1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5" borderId="15" xfId="0" applyNumberFormat="1" applyFont="1" applyFill="1" applyBorder="1" applyAlignment="1" applyProtection="1">
      <alignment horizontal="center" vertical="center" wrapText="1"/>
    </xf>
    <xf numFmtId="0" fontId="78" fillId="0" borderId="65" xfId="0" applyNumberFormat="1" applyFont="1" applyFill="1" applyBorder="1" applyAlignment="1" applyProtection="1">
      <alignment horizontal="center" vertical="center" wrapText="1"/>
      <protection locked="0"/>
    </xf>
    <xf numFmtId="0" fontId="72" fillId="5" borderId="2" xfId="0" applyFont="1" applyFill="1" applyBorder="1" applyProtection="1">
      <alignment vertical="center"/>
    </xf>
    <xf numFmtId="0" fontId="119" fillId="0" borderId="2" xfId="0" applyFont="1" applyFill="1" applyBorder="1" applyAlignment="1" applyProtection="1">
      <alignment horizontal="center" vertical="center"/>
      <protection locked="0"/>
    </xf>
    <xf numFmtId="0" fontId="119" fillId="5" borderId="2" xfId="0" applyFont="1" applyFill="1" applyBorder="1" applyAlignment="1" applyProtection="1">
      <alignment horizontal="center" vertical="center"/>
    </xf>
    <xf numFmtId="0" fontId="119" fillId="2" borderId="2" xfId="0" applyFont="1" applyFill="1" applyBorder="1" applyAlignment="1" applyProtection="1">
      <alignment horizontal="center" vertical="center"/>
      <protection locked="0"/>
    </xf>
    <xf numFmtId="0" fontId="119" fillId="0" borderId="2" xfId="0" applyNumberFormat="1" applyFont="1" applyBorder="1" applyAlignment="1" applyProtection="1">
      <alignment horizontal="center" vertical="center"/>
      <protection locked="0"/>
    </xf>
    <xf numFmtId="0" fontId="78" fillId="0" borderId="2" xfId="0" applyFont="1" applyBorder="1" applyProtection="1">
      <alignment vertical="center"/>
      <protection locked="0"/>
    </xf>
    <xf numFmtId="0" fontId="84" fillId="5" borderId="9" xfId="0" applyFont="1" applyFill="1" applyBorder="1" applyAlignment="1" applyProtection="1">
      <alignment horizontal="center" vertical="center" wrapText="1"/>
    </xf>
    <xf numFmtId="0" fontId="54" fillId="5" borderId="18" xfId="0" applyFont="1" applyFill="1" applyBorder="1" applyAlignment="1" applyProtection="1">
      <alignment horizontal="center" vertical="center" wrapText="1"/>
    </xf>
    <xf numFmtId="0" fontId="77" fillId="5" borderId="59" xfId="0" applyFont="1" applyFill="1" applyBorder="1" applyAlignment="1" applyProtection="1">
      <alignment horizontal="left" vertical="center"/>
    </xf>
    <xf numFmtId="0" fontId="73" fillId="5" borderId="57" xfId="0" applyFont="1" applyFill="1" applyBorder="1" applyAlignment="1" applyProtection="1">
      <alignment horizontal="left" vertical="center"/>
    </xf>
    <xf numFmtId="0" fontId="77" fillId="5" borderId="81" xfId="0" applyFont="1" applyFill="1" applyBorder="1" applyAlignment="1" applyProtection="1">
      <alignment horizontal="right" vertical="center"/>
    </xf>
    <xf numFmtId="179" fontId="77" fillId="2" borderId="12" xfId="0" applyNumberFormat="1" applyFont="1" applyFill="1" applyBorder="1" applyAlignment="1" applyProtection="1">
      <alignment horizontal="center" vertical="center"/>
      <protection locked="0"/>
    </xf>
    <xf numFmtId="0" fontId="73" fillId="5" borderId="11" xfId="0" applyFont="1" applyFill="1" applyBorder="1" applyAlignment="1" applyProtection="1">
      <alignment horizontal="center" vertical="center"/>
    </xf>
    <xf numFmtId="179" fontId="73"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vertical="center"/>
    </xf>
    <xf numFmtId="176" fontId="73" fillId="5" borderId="43" xfId="0" applyNumberFormat="1" applyFont="1" applyFill="1" applyBorder="1" applyAlignment="1" applyProtection="1">
      <alignment vertical="center"/>
    </xf>
    <xf numFmtId="176" fontId="73" fillId="5" borderId="69" xfId="0" applyNumberFormat="1" applyFont="1" applyFill="1" applyBorder="1" applyAlignment="1" applyProtection="1">
      <alignment vertical="center"/>
    </xf>
    <xf numFmtId="0" fontId="73" fillId="5" borderId="82" xfId="0" applyFont="1" applyFill="1" applyBorder="1" applyAlignment="1" applyProtection="1">
      <alignment horizontal="center" vertical="center"/>
    </xf>
    <xf numFmtId="0" fontId="88" fillId="0" borderId="51" xfId="2" applyNumberFormat="1" applyFont="1" applyFill="1" applyBorder="1" applyAlignment="1" applyProtection="1">
      <alignment horizontal="center" vertical="center"/>
      <protection locked="0"/>
    </xf>
    <xf numFmtId="0" fontId="73" fillId="5" borderId="22" xfId="0" applyFont="1" applyFill="1" applyBorder="1" applyAlignment="1" applyProtection="1">
      <alignment horizontal="left" vertical="center" wrapText="1"/>
    </xf>
    <xf numFmtId="0" fontId="78" fillId="6" borderId="37" xfId="0" applyFont="1" applyFill="1" applyBorder="1" applyProtection="1">
      <alignment vertical="center"/>
      <protection locked="0"/>
    </xf>
    <xf numFmtId="0" fontId="73" fillId="0" borderId="38" xfId="0" applyFont="1" applyFill="1" applyBorder="1" applyProtection="1">
      <alignment vertical="center"/>
      <protection locked="0"/>
    </xf>
    <xf numFmtId="0" fontId="77" fillId="0" borderId="44" xfId="0" applyFont="1" applyFill="1" applyBorder="1" applyAlignment="1" applyProtection="1">
      <alignment horizontal="center" vertical="center"/>
      <protection locked="0"/>
    </xf>
    <xf numFmtId="0" fontId="160" fillId="0" borderId="12" xfId="0" applyFont="1" applyFill="1" applyBorder="1" applyAlignment="1" applyProtection="1">
      <alignment vertical="center" wrapText="1"/>
      <protection locked="0"/>
    </xf>
    <xf numFmtId="0" fontId="160" fillId="0" borderId="46" xfId="0" applyFont="1" applyFill="1" applyBorder="1" applyAlignment="1" applyProtection="1">
      <alignment vertical="center" wrapText="1"/>
      <protection locked="0"/>
    </xf>
    <xf numFmtId="10" fontId="78"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97" fillId="5" borderId="6" xfId="0" applyFont="1" applyFill="1" applyBorder="1" applyAlignment="1" applyProtection="1">
      <alignment horizontal="center" vertical="center" wrapText="1"/>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0" fontId="78" fillId="5" borderId="25"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6"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0"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4" fillId="5" borderId="12" xfId="0" applyNumberFormat="1" applyFont="1" applyFill="1" applyBorder="1" applyAlignment="1" applyProtection="1">
      <alignment horizontal="center" vertical="center" wrapText="1"/>
    </xf>
    <xf numFmtId="0" fontId="162" fillId="5" borderId="0" xfId="0" applyFont="1" applyFill="1" applyAlignment="1" applyProtection="1">
      <alignment horizontal="center" vertical="center"/>
    </xf>
    <xf numFmtId="0" fontId="73" fillId="5" borderId="21" xfId="0" applyFont="1" applyFill="1" applyBorder="1" applyAlignment="1" applyProtection="1">
      <alignment horizontal="center" vertical="center" wrapText="1"/>
    </xf>
    <xf numFmtId="0" fontId="101" fillId="0" borderId="11" xfId="0" applyNumberFormat="1" applyFont="1" applyFill="1" applyBorder="1" applyAlignment="1" applyProtection="1">
      <alignment horizontal="center" vertical="center" wrapText="1"/>
      <protection locked="0"/>
    </xf>
    <xf numFmtId="179" fontId="49" fillId="0" borderId="19" xfId="5" applyNumberFormat="1" applyFont="1" applyBorder="1" applyAlignment="1" applyProtection="1">
      <alignment vertical="center"/>
    </xf>
    <xf numFmtId="0" fontId="49" fillId="0" borderId="19" xfId="5" applyNumberFormat="1" applyFont="1" applyBorder="1" applyAlignment="1" applyProtection="1">
      <alignment vertical="center"/>
    </xf>
    <xf numFmtId="0" fontId="147" fillId="0" borderId="0" xfId="5" applyNumberFormat="1" applyProtection="1">
      <alignment vertical="center"/>
    </xf>
    <xf numFmtId="179"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wrapText="1"/>
    </xf>
    <xf numFmtId="0" fontId="42" fillId="5" borderId="3" xfId="5" applyNumberFormat="1" applyFont="1" applyFill="1" applyBorder="1" applyAlignment="1" applyProtection="1">
      <alignment horizontal="center" vertical="center"/>
    </xf>
    <xf numFmtId="0" fontId="88" fillId="5" borderId="3" xfId="5" applyNumberFormat="1" applyFont="1" applyFill="1" applyBorder="1" applyAlignment="1" applyProtection="1">
      <alignment horizontal="center" vertical="center" wrapText="1"/>
    </xf>
    <xf numFmtId="0" fontId="88" fillId="5" borderId="27" xfId="5" applyNumberFormat="1" applyFont="1" applyFill="1" applyBorder="1" applyAlignment="1" applyProtection="1">
      <alignment horizontal="center" vertical="center" wrapText="1"/>
    </xf>
    <xf numFmtId="0" fontId="160" fillId="5" borderId="28" xfId="5" applyNumberFormat="1" applyFont="1" applyFill="1" applyBorder="1" applyAlignment="1" applyProtection="1">
      <alignment horizontal="center" vertical="center" wrapText="1"/>
    </xf>
    <xf numFmtId="0" fontId="128" fillId="5" borderId="2"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xf>
    <xf numFmtId="0" fontId="164" fillId="5" borderId="2" xfId="5" applyNumberFormat="1" applyFont="1" applyFill="1" applyBorder="1" applyAlignment="1" applyProtection="1">
      <alignment horizontal="center" vertical="center"/>
    </xf>
    <xf numFmtId="0" fontId="147" fillId="0" borderId="0" xfId="5" applyNumberFormat="1" applyFont="1" applyProtection="1">
      <alignment vertical="center"/>
    </xf>
    <xf numFmtId="0" fontId="88" fillId="5" borderId="26" xfId="5" applyNumberFormat="1" applyFont="1" applyFill="1" applyBorder="1" applyAlignment="1" applyProtection="1">
      <alignment vertical="center" wrapText="1"/>
    </xf>
    <xf numFmtId="0" fontId="42" fillId="5" borderId="6"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wrapText="1"/>
    </xf>
    <xf numFmtId="0" fontId="42" fillId="5" borderId="27" xfId="5" applyNumberFormat="1" applyFont="1" applyFill="1" applyBorder="1" applyAlignment="1" applyProtection="1">
      <alignment horizontal="center" vertical="center"/>
    </xf>
    <xf numFmtId="0" fontId="42" fillId="5" borderId="41" xfId="5" applyNumberFormat="1" applyFont="1" applyFill="1" applyBorder="1" applyAlignment="1" applyProtection="1">
      <alignment horizontal="center" vertical="center"/>
    </xf>
    <xf numFmtId="0" fontId="88" fillId="5" borderId="11"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wrapText="1"/>
    </xf>
    <xf numFmtId="0" fontId="160" fillId="5" borderId="12" xfId="5" applyNumberFormat="1" applyFont="1" applyFill="1" applyBorder="1" applyAlignment="1" applyProtection="1">
      <alignment horizontal="center" vertical="center" wrapText="1"/>
    </xf>
    <xf numFmtId="0" fontId="128" fillId="5" borderId="11" xfId="5" applyNumberFormat="1" applyFont="1" applyFill="1" applyBorder="1" applyAlignment="1" applyProtection="1">
      <alignment horizontal="center" vertical="center" wrapText="1"/>
    </xf>
    <xf numFmtId="0" fontId="88" fillId="5" borderId="43" xfId="5" applyNumberFormat="1" applyFont="1" applyFill="1" applyBorder="1" applyAlignment="1" applyProtection="1">
      <alignment horizontal="center" vertical="center" wrapText="1"/>
    </xf>
    <xf numFmtId="0" fontId="160" fillId="5" borderId="44" xfId="5" applyNumberFormat="1" applyFont="1" applyFill="1" applyBorder="1" applyAlignment="1" applyProtection="1">
      <alignment horizontal="center" vertical="center" wrapText="1"/>
    </xf>
    <xf numFmtId="0" fontId="160" fillId="5" borderId="46" xfId="5" applyNumberFormat="1" applyFont="1" applyFill="1" applyBorder="1" applyAlignment="1" applyProtection="1">
      <alignment horizontal="center" vertical="center" wrapText="1"/>
    </xf>
    <xf numFmtId="179" fontId="42" fillId="5" borderId="2" xfId="5" applyNumberFormat="1" applyFont="1" applyFill="1" applyBorder="1" applyAlignment="1" applyProtection="1">
      <alignment horizontal="center" vertical="center" wrapText="1"/>
    </xf>
    <xf numFmtId="179" fontId="147" fillId="0" borderId="0" xfId="5" applyNumberFormat="1" applyProtection="1">
      <alignment vertical="center"/>
    </xf>
    <xf numFmtId="0" fontId="99" fillId="5" borderId="10" xfId="3" applyFont="1" applyFill="1" applyBorder="1" applyAlignment="1" applyProtection="1">
      <alignment horizontal="right" vertical="center"/>
    </xf>
    <xf numFmtId="179" fontId="86" fillId="5" borderId="2" xfId="3" applyNumberFormat="1" applyFont="1" applyFill="1" applyBorder="1" applyAlignment="1" applyProtection="1">
      <alignment horizontal="center" vertical="center" wrapText="1"/>
    </xf>
    <xf numFmtId="177" fontId="86" fillId="0" borderId="2" xfId="3" applyNumberFormat="1" applyFont="1" applyFill="1" applyBorder="1" applyAlignment="1" applyProtection="1">
      <alignment horizontal="center" vertical="center" wrapText="1"/>
      <protection locked="0"/>
    </xf>
    <xf numFmtId="0" fontId="85" fillId="5" borderId="14" xfId="3" applyFont="1" applyFill="1" applyBorder="1" applyAlignment="1" applyProtection="1">
      <alignment horizontal="center" vertical="center"/>
    </xf>
    <xf numFmtId="0" fontId="97" fillId="5" borderId="49" xfId="3" applyFont="1" applyFill="1" applyBorder="1" applyAlignment="1" applyProtection="1">
      <alignment horizontal="center" vertical="center"/>
    </xf>
    <xf numFmtId="0" fontId="97" fillId="5" borderId="29" xfId="3" applyNumberFormat="1" applyFont="1" applyFill="1" applyBorder="1" applyAlignment="1" applyProtection="1">
      <alignment horizontal="center" vertical="center" wrapText="1"/>
    </xf>
    <xf numFmtId="0" fontId="88" fillId="0" borderId="6" xfId="3" applyFont="1" applyFill="1" applyBorder="1" applyAlignment="1" applyProtection="1">
      <alignment horizontal="center" vertical="center" wrapText="1"/>
      <protection locked="0"/>
    </xf>
    <xf numFmtId="0" fontId="88" fillId="5" borderId="21" xfId="3" applyFont="1" applyFill="1" applyBorder="1" applyAlignment="1" applyProtection="1">
      <alignment horizontal="center" vertical="center" wrapText="1"/>
    </xf>
    <xf numFmtId="0" fontId="88" fillId="5" borderId="17" xfId="3" applyFont="1" applyFill="1" applyBorder="1" applyAlignment="1" applyProtection="1">
      <alignment horizontal="center" vertical="center" wrapText="1"/>
    </xf>
    <xf numFmtId="9" fontId="88" fillId="5" borderId="2"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8" fillId="5" borderId="10" xfId="3" applyFont="1" applyFill="1" applyBorder="1" applyAlignment="1" applyProtection="1">
      <alignment horizontal="center" vertical="center" wrapText="1"/>
    </xf>
    <xf numFmtId="0" fontId="165" fillId="6" borderId="2" xfId="3" applyFont="1" applyFill="1" applyBorder="1" applyAlignment="1" applyProtection="1">
      <alignment horizontal="center" vertical="center" wrapText="1"/>
      <protection locked="0"/>
    </xf>
    <xf numFmtId="0" fontId="88" fillId="5" borderId="44" xfId="3" applyFont="1" applyFill="1" applyBorder="1" applyAlignment="1" applyProtection="1">
      <alignment horizontal="center" vertical="center" wrapText="1"/>
    </xf>
    <xf numFmtId="0" fontId="88" fillId="0" borderId="44" xfId="3" applyFont="1" applyFill="1" applyBorder="1" applyAlignment="1" applyProtection="1">
      <alignment horizontal="center" vertical="center" wrapText="1"/>
      <protection locked="0"/>
    </xf>
    <xf numFmtId="0" fontId="88" fillId="0" borderId="46" xfId="3" applyFont="1" applyFill="1" applyBorder="1" applyAlignment="1" applyProtection="1">
      <alignment horizontal="center" vertical="center" wrapText="1"/>
      <protection locked="0"/>
    </xf>
    <xf numFmtId="0" fontId="97" fillId="5" borderId="6" xfId="3" applyFont="1" applyFill="1" applyBorder="1" applyAlignment="1" applyProtection="1">
      <alignment horizontal="center" vertical="center" wrapText="1"/>
    </xf>
    <xf numFmtId="0" fontId="88" fillId="5" borderId="3" xfId="3" applyFont="1" applyFill="1" applyBorder="1" applyAlignment="1" applyProtection="1">
      <alignment horizontal="center" vertical="center" wrapText="1"/>
    </xf>
    <xf numFmtId="0" fontId="88" fillId="5" borderId="52" xfId="3" applyFont="1" applyFill="1" applyBorder="1" applyAlignment="1" applyProtection="1">
      <alignment horizontal="center" vertical="center" wrapText="1"/>
    </xf>
    <xf numFmtId="185" fontId="85" fillId="5" borderId="83" xfId="3" applyNumberFormat="1" applyFont="1" applyFill="1" applyBorder="1" applyAlignment="1" applyProtection="1">
      <alignment horizontal="center" vertical="center" wrapText="1"/>
    </xf>
    <xf numFmtId="14" fontId="86" fillId="5" borderId="83" xfId="3" applyNumberFormat="1" applyFont="1" applyFill="1" applyBorder="1" applyAlignment="1" applyProtection="1">
      <alignment horizontal="center" vertical="center" wrapText="1"/>
    </xf>
    <xf numFmtId="14" fontId="86" fillId="5" borderId="37"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5" fillId="5" borderId="21" xfId="3" applyFont="1" applyFill="1" applyBorder="1" applyAlignment="1" applyProtection="1">
      <alignment horizontal="center" vertical="center" wrapText="1"/>
    </xf>
    <xf numFmtId="185" fontId="85" fillId="5" borderId="10" xfId="3" applyNumberFormat="1" applyFont="1" applyFill="1" applyBorder="1" applyAlignment="1" applyProtection="1">
      <alignment horizontal="center" vertical="center" wrapText="1"/>
    </xf>
    <xf numFmtId="0" fontId="97" fillId="5" borderId="2" xfId="3" applyFont="1" applyFill="1" applyBorder="1" applyAlignment="1" applyProtection="1">
      <alignment horizontal="center" vertical="center" wrapText="1"/>
    </xf>
    <xf numFmtId="0" fontId="97" fillId="5" borderId="3" xfId="3" applyFont="1" applyFill="1" applyBorder="1" applyAlignment="1" applyProtection="1">
      <alignment horizontal="center" vertical="center" wrapText="1"/>
    </xf>
    <xf numFmtId="0" fontId="97" fillId="5" borderId="44" xfId="3" applyFont="1" applyFill="1" applyBorder="1" applyAlignment="1" applyProtection="1">
      <alignment horizontal="center" vertical="center" wrapText="1"/>
    </xf>
    <xf numFmtId="0" fontId="147" fillId="5" borderId="0" xfId="3" applyFill="1" applyProtection="1">
      <alignment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31" xfId="3" applyFill="1" applyBorder="1" applyProtection="1">
      <alignment vertical="center"/>
    </xf>
    <xf numFmtId="0" fontId="148" fillId="5" borderId="0" xfId="3" applyFont="1" applyFill="1" applyProtection="1">
      <alignment vertical="center"/>
    </xf>
    <xf numFmtId="0" fontId="147" fillId="5" borderId="53" xfId="3" applyFill="1" applyBorder="1" applyAlignment="1" applyProtection="1">
      <alignment horizontal="center" vertical="center"/>
    </xf>
    <xf numFmtId="0" fontId="147" fillId="5" borderId="27" xfId="3" applyFill="1" applyBorder="1" applyAlignment="1" applyProtection="1">
      <alignment horizontal="center" vertical="center"/>
    </xf>
    <xf numFmtId="0" fontId="147" fillId="5" borderId="41" xfId="3" applyFill="1" applyBorder="1" applyAlignment="1" applyProtection="1">
      <alignment horizontal="center"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28" xfId="3" applyFont="1" applyFill="1" applyBorder="1" applyProtection="1">
      <alignment vertical="center"/>
    </xf>
    <xf numFmtId="0" fontId="168" fillId="5" borderId="29" xfId="3" applyFont="1" applyFill="1" applyBorder="1" applyAlignment="1" applyProtection="1">
      <alignment horizontal="center" vertical="center"/>
    </xf>
    <xf numFmtId="0" fontId="148" fillId="5" borderId="31" xfId="3" applyFont="1" applyFill="1" applyBorder="1" applyProtection="1">
      <alignment vertical="center"/>
    </xf>
    <xf numFmtId="0" fontId="168" fillId="5" borderId="44" xfId="3" applyFont="1" applyFill="1" applyBorder="1" applyAlignment="1" applyProtection="1">
      <alignment horizontal="center" vertical="center"/>
    </xf>
    <xf numFmtId="0" fontId="168" fillId="5" borderId="45" xfId="3" applyFont="1" applyFill="1" applyBorder="1" applyAlignment="1" applyProtection="1">
      <alignment horizontal="center" vertical="center"/>
    </xf>
    <xf numFmtId="0" fontId="167" fillId="5" borderId="53" xfId="3" applyFont="1" applyFill="1" applyBorder="1" applyAlignment="1" applyProtection="1">
      <alignment vertical="center" wrapText="1"/>
    </xf>
    <xf numFmtId="0" fontId="167" fillId="5" borderId="6" xfId="3" applyFont="1" applyFill="1" applyBorder="1" applyAlignment="1" applyProtection="1">
      <alignment horizontal="center" vertical="center" wrapText="1"/>
    </xf>
    <xf numFmtId="0" fontId="167" fillId="5" borderId="29" xfId="3" applyFont="1" applyFill="1" applyBorder="1" applyAlignment="1" applyProtection="1">
      <alignment horizontal="center" vertical="center" wrapText="1"/>
    </xf>
    <xf numFmtId="0" fontId="149" fillId="5" borderId="1" xfId="3" applyFont="1" applyFill="1" applyBorder="1" applyAlignment="1" applyProtection="1">
      <alignment horizontal="center" vertical="center"/>
    </xf>
    <xf numFmtId="0" fontId="149" fillId="5" borderId="29" xfId="3" applyFont="1" applyFill="1" applyBorder="1" applyProtection="1">
      <alignment vertical="center"/>
    </xf>
    <xf numFmtId="0" fontId="167" fillId="5" borderId="17" xfId="3" applyFont="1" applyFill="1" applyBorder="1" applyAlignment="1" applyProtection="1">
      <alignment horizontal="center" vertical="center" wrapText="1"/>
    </xf>
    <xf numFmtId="0" fontId="149" fillId="5" borderId="11" xfId="3" applyFont="1" applyFill="1" applyBorder="1" applyAlignment="1" applyProtection="1">
      <alignment horizontal="center" vertical="center"/>
    </xf>
    <xf numFmtId="0" fontId="149" fillId="5" borderId="5" xfId="3" applyFont="1" applyFill="1" applyBorder="1" applyProtection="1">
      <alignment vertical="center"/>
    </xf>
    <xf numFmtId="0" fontId="167" fillId="5" borderId="21" xfId="3" applyFont="1" applyFill="1" applyBorder="1" applyAlignment="1" applyProtection="1">
      <alignment horizontal="center" vertical="center" wrapText="1"/>
    </xf>
    <xf numFmtId="0" fontId="167" fillId="5" borderId="55" xfId="3" applyFont="1" applyFill="1" applyBorder="1" applyAlignment="1" applyProtection="1">
      <alignment horizontal="center" vertical="center" wrapText="1"/>
    </xf>
    <xf numFmtId="0" fontId="167" fillId="5" borderId="44" xfId="3" applyFont="1" applyFill="1" applyBorder="1" applyAlignment="1" applyProtection="1">
      <alignment horizontal="center" vertical="center" wrapText="1"/>
    </xf>
    <xf numFmtId="0" fontId="162" fillId="5" borderId="45" xfId="3" applyFont="1" applyFill="1" applyBorder="1" applyProtection="1">
      <alignment vertical="center"/>
    </xf>
    <xf numFmtId="0" fontId="167" fillId="5" borderId="5" xfId="3" applyFont="1" applyFill="1" applyBorder="1" applyAlignment="1" applyProtection="1">
      <alignment horizontal="center" vertical="center" wrapText="1"/>
    </xf>
    <xf numFmtId="0" fontId="149" fillId="5" borderId="43" xfId="3" applyFont="1" applyFill="1" applyBorder="1" applyAlignment="1" applyProtection="1">
      <alignment horizontal="center" vertical="center"/>
    </xf>
    <xf numFmtId="0" fontId="149" fillId="5" borderId="45" xfId="3" applyFont="1" applyFill="1" applyBorder="1" applyProtection="1">
      <alignment vertical="center"/>
    </xf>
    <xf numFmtId="0" fontId="162" fillId="5" borderId="5" xfId="3" applyFont="1" applyFill="1" applyBorder="1" applyProtection="1">
      <alignment vertical="center"/>
    </xf>
    <xf numFmtId="0" fontId="169" fillId="5" borderId="0" xfId="3" applyFont="1" applyFill="1" applyBorder="1" applyProtection="1">
      <alignment vertical="center"/>
    </xf>
    <xf numFmtId="0" fontId="167" fillId="5" borderId="33" xfId="3" applyFont="1" applyFill="1" applyBorder="1" applyAlignment="1" applyProtection="1">
      <alignment vertical="center" wrapText="1"/>
    </xf>
    <xf numFmtId="0" fontId="170" fillId="5" borderId="0" xfId="3" applyFont="1" applyFill="1" applyProtection="1">
      <alignment vertical="center"/>
    </xf>
    <xf numFmtId="0" fontId="169" fillId="5" borderId="0" xfId="3" applyFont="1" applyFill="1" applyProtection="1">
      <alignment vertical="center"/>
    </xf>
    <xf numFmtId="0" fontId="167" fillId="5" borderId="45" xfId="3" applyFont="1" applyFill="1" applyBorder="1" applyAlignment="1" applyProtection="1">
      <alignment horizontal="center" vertical="center" wrapText="1"/>
    </xf>
    <xf numFmtId="0" fontId="147" fillId="5" borderId="5" xfId="3" applyFill="1" applyBorder="1" applyProtection="1">
      <alignment vertical="center"/>
    </xf>
    <xf numFmtId="0" fontId="147" fillId="5" borderId="2" xfId="3" applyFill="1" applyBorder="1" applyProtection="1">
      <alignment vertical="center"/>
    </xf>
    <xf numFmtId="0" fontId="147" fillId="5" borderId="29" xfId="3" applyFill="1" applyBorder="1" applyProtection="1">
      <alignment vertical="center"/>
    </xf>
    <xf numFmtId="0" fontId="147" fillId="5" borderId="0" xfId="3" applyFill="1" applyAlignment="1" applyProtection="1">
      <alignment horizontal="center" vertical="center"/>
    </xf>
    <xf numFmtId="0" fontId="147" fillId="5" borderId="53" xfId="3" applyFill="1" applyBorder="1" applyAlignment="1" applyProtection="1">
      <alignment horizontal="right" vertical="center"/>
    </xf>
    <xf numFmtId="0" fontId="147" fillId="5" borderId="1" xfId="3" applyFill="1" applyBorder="1" applyAlignment="1" applyProtection="1">
      <alignment horizontal="center" vertical="center"/>
    </xf>
    <xf numFmtId="178" fontId="147" fillId="5" borderId="6" xfId="3" applyNumberFormat="1" applyFill="1" applyBorder="1" applyAlignment="1" applyProtection="1">
      <alignment horizontal="center" vertical="center"/>
    </xf>
    <xf numFmtId="178" fontId="147" fillId="5" borderId="29" xfId="3" applyNumberFormat="1" applyFill="1" applyBorder="1" applyAlignment="1" applyProtection="1">
      <alignment horizontal="center" vertical="center"/>
    </xf>
    <xf numFmtId="178" fontId="147" fillId="5" borderId="7" xfId="3" applyNumberFormat="1" applyFill="1" applyBorder="1" applyAlignment="1" applyProtection="1">
      <alignment horizontal="center" vertical="center"/>
    </xf>
    <xf numFmtId="0" fontId="147" fillId="5" borderId="11" xfId="3" applyFill="1" applyBorder="1" applyAlignment="1" applyProtection="1">
      <alignment horizontal="center" vertical="center"/>
    </xf>
    <xf numFmtId="178" fontId="147" fillId="5" borderId="2" xfId="3" applyNumberFormat="1" applyFill="1" applyBorder="1" applyAlignment="1" applyProtection="1">
      <alignment horizontal="center" vertical="center"/>
    </xf>
    <xf numFmtId="178" fontId="147" fillId="5" borderId="5" xfId="3" applyNumberFormat="1" applyFill="1" applyBorder="1" applyAlignment="1" applyProtection="1">
      <alignment horizontal="center" vertical="center"/>
    </xf>
    <xf numFmtId="178" fontId="147" fillId="5" borderId="12" xfId="3" applyNumberFormat="1" applyFill="1" applyBorder="1" applyAlignment="1" applyProtection="1">
      <alignment horizontal="center" vertical="center"/>
    </xf>
    <xf numFmtId="0" fontId="147" fillId="5" borderId="43" xfId="3" applyFill="1" applyBorder="1" applyAlignment="1" applyProtection="1">
      <alignment horizontal="center" vertical="center"/>
    </xf>
    <xf numFmtId="178" fontId="147" fillId="5" borderId="45" xfId="3" applyNumberFormat="1" applyFill="1" applyBorder="1" applyAlignment="1" applyProtection="1">
      <alignment horizontal="center" vertical="center"/>
    </xf>
    <xf numFmtId="178" fontId="147" fillId="5" borderId="44" xfId="3" applyNumberFormat="1" applyFill="1" applyBorder="1" applyAlignment="1" applyProtection="1">
      <alignment horizontal="center" vertical="center"/>
    </xf>
    <xf numFmtId="178" fontId="147" fillId="5" borderId="46" xfId="3" applyNumberFormat="1" applyFill="1" applyBorder="1" applyAlignment="1" applyProtection="1">
      <alignment horizontal="center" vertical="center"/>
    </xf>
    <xf numFmtId="0" fontId="166" fillId="5" borderId="1" xfId="3" applyFont="1" applyFill="1" applyBorder="1" applyAlignment="1" applyProtection="1">
      <alignment horizontal="center" vertical="center" wrapText="1"/>
    </xf>
    <xf numFmtId="0" fontId="166" fillId="5" borderId="6" xfId="3" applyFont="1" applyFill="1" applyBorder="1" applyAlignment="1" applyProtection="1">
      <alignment horizontal="center" vertical="center" wrapText="1"/>
    </xf>
    <xf numFmtId="0" fontId="166" fillId="5" borderId="7" xfId="3" applyFont="1" applyFill="1" applyBorder="1" applyAlignment="1" applyProtection="1">
      <alignment horizontal="center" vertical="center" wrapText="1"/>
    </xf>
    <xf numFmtId="0" fontId="166" fillId="5" borderId="12" xfId="3" applyFont="1" applyFill="1" applyBorder="1" applyAlignment="1" applyProtection="1">
      <alignment horizontal="center" vertical="center" wrapText="1"/>
    </xf>
    <xf numFmtId="0" fontId="166" fillId="5" borderId="22" xfId="3" applyFont="1" applyFill="1" applyBorder="1" applyAlignment="1" applyProtection="1">
      <alignment horizontal="center" vertical="center" wrapText="1"/>
    </xf>
    <xf numFmtId="0" fontId="166" fillId="5" borderId="25" xfId="3" applyFont="1" applyFill="1" applyBorder="1" applyAlignment="1" applyProtection="1">
      <alignment horizontal="center" vertical="center" wrapText="1"/>
    </xf>
    <xf numFmtId="0" fontId="147" fillId="5" borderId="2" xfId="3" applyFill="1" applyBorder="1" applyAlignment="1" applyProtection="1">
      <alignment horizontal="center" vertical="center"/>
    </xf>
    <xf numFmtId="0" fontId="171" fillId="5" borderId="19" xfId="3" applyFont="1" applyFill="1" applyBorder="1" applyAlignment="1" applyProtection="1">
      <alignment vertical="center"/>
    </xf>
    <xf numFmtId="0" fontId="171" fillId="5" borderId="0" xfId="3" applyFont="1" applyFill="1" applyBorder="1" applyAlignment="1" applyProtection="1">
      <alignment vertical="center"/>
    </xf>
    <xf numFmtId="0" fontId="166" fillId="5" borderId="5" xfId="3" applyFont="1" applyFill="1" applyBorder="1" applyAlignment="1" applyProtection="1">
      <alignment horizontal="center" vertical="center" wrapText="1"/>
    </xf>
    <xf numFmtId="0" fontId="166" fillId="5" borderId="9" xfId="3" applyFont="1" applyFill="1" applyBorder="1" applyAlignment="1" applyProtection="1">
      <alignment horizontal="center" vertical="center" wrapText="1"/>
    </xf>
    <xf numFmtId="0" fontId="166" fillId="5" borderId="0" xfId="3" applyFont="1" applyFill="1" applyBorder="1" applyAlignment="1" applyProtection="1">
      <alignment horizontal="center" vertical="center" wrapText="1"/>
    </xf>
    <xf numFmtId="0" fontId="166" fillId="5" borderId="5" xfId="3" applyFont="1" applyFill="1" applyBorder="1" applyAlignment="1" applyProtection="1">
      <alignment horizontal="left" vertical="center"/>
    </xf>
    <xf numFmtId="0" fontId="166" fillId="5" borderId="9" xfId="3" applyFont="1" applyFill="1" applyBorder="1" applyAlignment="1" applyProtection="1">
      <alignment horizontal="left" vertical="center"/>
    </xf>
    <xf numFmtId="0" fontId="166" fillId="5" borderId="0" xfId="3" applyFont="1" applyFill="1" applyBorder="1" applyAlignment="1" applyProtection="1">
      <alignment vertical="center"/>
    </xf>
    <xf numFmtId="0" fontId="166" fillId="5" borderId="0" xfId="3" applyFont="1" applyFill="1" applyBorder="1" applyAlignment="1" applyProtection="1">
      <alignment horizontal="center" vertical="center"/>
    </xf>
    <xf numFmtId="0" fontId="166" fillId="5" borderId="17" xfId="3" applyFont="1" applyFill="1" applyBorder="1" applyAlignment="1" applyProtection="1">
      <alignment vertical="center" wrapText="1"/>
    </xf>
    <xf numFmtId="0" fontId="166" fillId="5" borderId="21" xfId="3" applyFont="1" applyFill="1" applyBorder="1" applyAlignment="1" applyProtection="1">
      <alignment vertical="center" wrapText="1"/>
    </xf>
    <xf numFmtId="0" fontId="166" fillId="5" borderId="20" xfId="3" applyFont="1" applyFill="1" applyBorder="1" applyAlignment="1" applyProtection="1">
      <alignment vertical="center" wrapText="1"/>
    </xf>
    <xf numFmtId="0" fontId="166" fillId="5" borderId="0" xfId="3" applyFont="1" applyFill="1" applyAlignment="1" applyProtection="1">
      <alignment horizontal="center" vertical="center"/>
    </xf>
    <xf numFmtId="9" fontId="166" fillId="5" borderId="2" xfId="3" applyNumberFormat="1" applyFont="1" applyFill="1" applyBorder="1" applyAlignment="1" applyProtection="1">
      <alignment horizontal="center" vertical="center"/>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9" xfId="3" applyFont="1" applyFill="1" applyBorder="1" applyAlignment="1" applyProtection="1">
      <alignment vertical="center"/>
    </xf>
    <xf numFmtId="184" fontId="166" fillId="5" borderId="2" xfId="3" applyNumberFormat="1" applyFont="1" applyFill="1" applyBorder="1" applyAlignment="1" applyProtection="1">
      <alignment horizontal="center" vertical="center"/>
    </xf>
    <xf numFmtId="185" fontId="166" fillId="5" borderId="2" xfId="3" applyNumberFormat="1" applyFont="1" applyFill="1" applyBorder="1" applyAlignment="1" applyProtection="1">
      <alignment horizontal="center" vertical="center"/>
    </xf>
    <xf numFmtId="177" fontId="172" fillId="5" borderId="2" xfId="3" applyNumberFormat="1" applyFont="1" applyFill="1" applyBorder="1" applyAlignment="1" applyProtection="1">
      <alignment horizontal="center" vertical="center"/>
    </xf>
    <xf numFmtId="185" fontId="172" fillId="5" borderId="2" xfId="3" applyNumberFormat="1" applyFont="1" applyFill="1" applyBorder="1" applyAlignment="1" applyProtection="1">
      <alignment horizontal="center" vertical="center" wrapText="1"/>
    </xf>
    <xf numFmtId="184" fontId="166" fillId="5" borderId="21" xfId="3" applyNumberFormat="1" applyFont="1" applyFill="1" applyBorder="1" applyAlignment="1" applyProtection="1">
      <alignment horizontal="center" vertical="center" wrapText="1"/>
    </xf>
    <xf numFmtId="179" fontId="172" fillId="5" borderId="2" xfId="3" applyNumberFormat="1" applyFont="1" applyFill="1" applyBorder="1" applyAlignment="1" applyProtection="1">
      <alignment horizontal="center" vertical="center"/>
    </xf>
    <xf numFmtId="0" fontId="54" fillId="0" borderId="2"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6" fillId="5" borderId="21" xfId="3" applyFont="1" applyFill="1" applyBorder="1" applyAlignment="1" applyProtection="1">
      <alignment horizontal="center" vertical="center" wrapText="1"/>
    </xf>
    <xf numFmtId="0" fontId="165" fillId="6" borderId="2" xfId="0" applyFont="1" applyFill="1" applyBorder="1" applyAlignment="1" applyProtection="1">
      <alignment horizontal="center" vertical="center" wrapText="1"/>
      <protection locked="0"/>
    </xf>
    <xf numFmtId="0" fontId="152" fillId="0" borderId="0" xfId="0" applyFont="1" applyProtection="1">
      <alignment vertical="center"/>
    </xf>
    <xf numFmtId="0" fontId="173" fillId="0" borderId="0" xfId="0" applyFont="1" applyProtection="1">
      <alignment vertical="center"/>
    </xf>
    <xf numFmtId="0" fontId="72" fillId="0" borderId="2" xfId="0" applyFont="1" applyBorder="1" applyAlignment="1" applyProtection="1">
      <alignment horizontal="center" vertical="center" wrapText="1"/>
    </xf>
    <xf numFmtId="0" fontId="151" fillId="0" borderId="0" xfId="0" applyFont="1" applyProtection="1">
      <alignment vertical="center"/>
    </xf>
    <xf numFmtId="0" fontId="151" fillId="0" borderId="0" xfId="0" applyFont="1" applyAlignment="1" applyProtection="1">
      <alignment horizontal="left" vertical="center"/>
    </xf>
    <xf numFmtId="0" fontId="72" fillId="0" borderId="0" xfId="0" applyFont="1" applyProtection="1">
      <alignment vertical="center"/>
    </xf>
    <xf numFmtId="0" fontId="72" fillId="2" borderId="2" xfId="0"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wrapText="1"/>
    </xf>
    <xf numFmtId="0" fontId="74" fillId="4"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0" fontId="54" fillId="0" borderId="0" xfId="0" applyFont="1" applyProtection="1">
      <alignment vertical="center"/>
    </xf>
    <xf numFmtId="0" fontId="156" fillId="0" borderId="2" xfId="0" applyFont="1" applyBorder="1" applyAlignment="1" applyProtection="1">
      <alignment horizontal="center" vertical="center"/>
    </xf>
    <xf numFmtId="0" fontId="151" fillId="0" borderId="2" xfId="0" applyFont="1" applyBorder="1" applyAlignment="1" applyProtection="1">
      <alignment horizontal="left" vertical="center"/>
    </xf>
    <xf numFmtId="0" fontId="151" fillId="7" borderId="5" xfId="0" applyFont="1" applyFill="1" applyBorder="1" applyAlignment="1" applyProtection="1">
      <alignment vertical="center"/>
    </xf>
    <xf numFmtId="0" fontId="151" fillId="0" borderId="8" xfId="0" applyFont="1" applyBorder="1" applyAlignment="1" applyProtection="1">
      <alignment vertical="center"/>
    </xf>
    <xf numFmtId="0" fontId="151" fillId="0" borderId="9" xfId="0" applyFont="1" applyBorder="1" applyAlignment="1" applyProtection="1">
      <alignment vertical="center"/>
    </xf>
    <xf numFmtId="0" fontId="54" fillId="0" borderId="2" xfId="0" applyFont="1" applyBorder="1" applyAlignment="1" applyProtection="1">
      <alignment horizontal="left" vertical="center"/>
    </xf>
    <xf numFmtId="0" fontId="174" fillId="0" borderId="0" xfId="0" applyFont="1" applyProtection="1">
      <alignment vertical="center"/>
    </xf>
    <xf numFmtId="0" fontId="73" fillId="0" borderId="0" xfId="0" applyFont="1" applyAlignment="1" applyProtection="1">
      <alignment horizontal="left" vertical="center"/>
    </xf>
    <xf numFmtId="0" fontId="76" fillId="0" borderId="0" xfId="0" applyFont="1" applyAlignment="1" applyProtection="1">
      <alignment horizontal="left" vertical="center"/>
    </xf>
    <xf numFmtId="176" fontId="73" fillId="0" borderId="0" xfId="0" applyNumberFormat="1" applyFont="1" applyAlignment="1" applyProtection="1">
      <alignment horizontal="left" vertical="center"/>
    </xf>
    <xf numFmtId="0" fontId="151" fillId="0" borderId="3" xfId="0" applyFont="1" applyBorder="1" applyAlignment="1" applyProtection="1">
      <alignment vertical="center"/>
    </xf>
    <xf numFmtId="0" fontId="169" fillId="0" borderId="3" xfId="0" applyFont="1" applyBorder="1" applyAlignment="1" applyProtection="1">
      <alignment vertical="center"/>
    </xf>
    <xf numFmtId="0" fontId="169" fillId="0" borderId="21" xfId="0" applyFont="1" applyBorder="1" applyAlignment="1" applyProtection="1">
      <alignment vertical="center"/>
    </xf>
    <xf numFmtId="0" fontId="151" fillId="0" borderId="0" xfId="0" applyFont="1" applyAlignment="1" applyProtection="1">
      <alignment horizontal="center" vertical="center" wrapText="1"/>
    </xf>
    <xf numFmtId="0" fontId="151" fillId="0" borderId="0" xfId="0" applyFont="1" applyBorder="1" applyAlignment="1" applyProtection="1">
      <alignment horizontal="center" vertical="center"/>
    </xf>
    <xf numFmtId="0" fontId="78" fillId="5" borderId="2" xfId="0" applyFont="1" applyFill="1" applyBorder="1" applyAlignment="1" applyProtection="1">
      <alignment horizontal="center" vertical="center" wrapText="1"/>
      <protection locked="0"/>
    </xf>
    <xf numFmtId="0" fontId="78" fillId="5" borderId="5" xfId="0" applyFont="1" applyFill="1" applyBorder="1" applyAlignment="1" applyProtection="1">
      <alignment horizontal="left" vertical="center"/>
      <protection locked="0"/>
    </xf>
    <xf numFmtId="0" fontId="78" fillId="5" borderId="5" xfId="0" applyFont="1" applyFill="1" applyBorder="1" applyAlignment="1" applyProtection="1">
      <alignment horizontal="center" vertical="center"/>
      <protection locked="0"/>
    </xf>
    <xf numFmtId="0" fontId="78" fillId="5" borderId="9" xfId="0" applyFont="1" applyFill="1" applyBorder="1" applyAlignment="1" applyProtection="1">
      <alignment horizontal="left" vertical="center"/>
      <protection locked="0"/>
    </xf>
    <xf numFmtId="0" fontId="78" fillId="5" borderId="9" xfId="0" applyFont="1" applyFill="1" applyBorder="1" applyAlignment="1" applyProtection="1">
      <alignment horizontal="center" vertical="center"/>
      <protection locked="0"/>
    </xf>
    <xf numFmtId="0" fontId="78" fillId="5" borderId="17" xfId="0" applyFont="1" applyFill="1" applyBorder="1" applyAlignment="1" applyProtection="1">
      <alignment horizontal="center" vertical="center" wrapText="1"/>
      <protection locked="0"/>
    </xf>
    <xf numFmtId="0" fontId="78" fillId="5" borderId="21" xfId="0"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wrapText="1"/>
    </xf>
    <xf numFmtId="0" fontId="81" fillId="5" borderId="17" xfId="0" applyFont="1" applyFill="1" applyBorder="1" applyAlignment="1" applyProtection="1">
      <alignment horizontal="left" vertical="center"/>
    </xf>
    <xf numFmtId="179" fontId="78" fillId="5" borderId="0" xfId="0" applyNumberFormat="1" applyFont="1" applyFill="1" applyBorder="1" applyAlignment="1" applyProtection="1">
      <alignment horizontal="center" vertical="center" wrapText="1"/>
    </xf>
    <xf numFmtId="179" fontId="81" fillId="5" borderId="0" xfId="0" applyNumberFormat="1" applyFont="1" applyFill="1" applyBorder="1" applyAlignment="1" applyProtection="1">
      <alignment horizontal="center" vertical="center" wrapText="1"/>
    </xf>
    <xf numFmtId="176" fontId="78" fillId="5" borderId="0" xfId="0" applyNumberFormat="1" applyFont="1" applyFill="1" applyAlignment="1" applyProtection="1">
      <alignment horizontal="center" vertical="center" wrapText="1"/>
    </xf>
    <xf numFmtId="0" fontId="73" fillId="5" borderId="5" xfId="0" applyFont="1" applyFill="1" applyBorder="1" applyProtection="1">
      <alignment vertical="center"/>
    </xf>
    <xf numFmtId="0" fontId="73" fillId="5" borderId="8" xfId="0" applyFont="1" applyFill="1" applyBorder="1" applyProtection="1">
      <alignment vertical="center"/>
    </xf>
    <xf numFmtId="0" fontId="77" fillId="5" borderId="9" xfId="0" applyFont="1" applyFill="1" applyBorder="1" applyAlignment="1" applyProtection="1">
      <alignment horizontal="center" vertical="center"/>
    </xf>
    <xf numFmtId="0" fontId="73" fillId="5" borderId="21" xfId="0" applyFont="1" applyFill="1" applyBorder="1" applyProtection="1">
      <alignment vertical="center"/>
    </xf>
    <xf numFmtId="0" fontId="78" fillId="5" borderId="0" xfId="0" applyFont="1" applyFill="1" applyAlignment="1" applyProtection="1">
      <alignment vertical="center"/>
    </xf>
    <xf numFmtId="0" fontId="78" fillId="0" borderId="0" xfId="0" applyFont="1" applyAlignment="1" applyProtection="1">
      <alignment vertical="center"/>
    </xf>
    <xf numFmtId="0" fontId="73" fillId="5" borderId="0" xfId="0" applyFont="1" applyFill="1" applyAlignment="1" applyProtection="1">
      <alignment vertical="center"/>
    </xf>
    <xf numFmtId="0" fontId="73" fillId="5" borderId="0" xfId="0" applyFont="1" applyFill="1" applyAlignment="1" applyProtection="1">
      <alignment horizontal="center" vertical="center"/>
    </xf>
    <xf numFmtId="0" fontId="73" fillId="0" borderId="0" xfId="0" applyFont="1" applyAlignment="1" applyProtection="1">
      <alignment vertical="center"/>
    </xf>
    <xf numFmtId="0" fontId="73" fillId="5" borderId="0" xfId="0" applyFont="1" applyFill="1" applyAlignment="1" applyProtection="1">
      <alignment vertical="center" wrapText="1"/>
    </xf>
    <xf numFmtId="179" fontId="73" fillId="5" borderId="37" xfId="0" applyNumberFormat="1" applyFont="1" applyFill="1" applyBorder="1" applyAlignment="1" applyProtection="1">
      <alignment vertical="center"/>
    </xf>
    <xf numFmtId="0" fontId="83" fillId="5" borderId="37" xfId="0" applyFont="1" applyFill="1" applyBorder="1" applyAlignment="1" applyProtection="1">
      <alignment vertical="center"/>
    </xf>
    <xf numFmtId="0" fontId="73" fillId="5" borderId="36" xfId="0" applyFont="1" applyFill="1" applyBorder="1" applyAlignment="1" applyProtection="1">
      <alignment horizontal="center" vertical="center"/>
    </xf>
    <xf numFmtId="0" fontId="73" fillId="5" borderId="37" xfId="0" applyFont="1" applyFill="1" applyBorder="1" applyAlignment="1" applyProtection="1">
      <alignment horizontal="center" vertical="center"/>
    </xf>
    <xf numFmtId="0" fontId="73" fillId="0" borderId="0" xfId="0" applyFont="1" applyAlignment="1" applyProtection="1">
      <alignment vertical="center" wrapText="1"/>
    </xf>
    <xf numFmtId="0" fontId="151" fillId="5" borderId="12" xfId="0" applyFont="1" applyFill="1" applyBorder="1" applyAlignment="1" applyProtection="1">
      <alignment horizontal="center" vertical="center"/>
    </xf>
    <xf numFmtId="0" fontId="87" fillId="5" borderId="0" xfId="0" applyFont="1" applyFill="1" applyAlignment="1" applyProtection="1">
      <alignment vertical="center" wrapText="1"/>
    </xf>
    <xf numFmtId="0" fontId="78" fillId="0" borderId="0" xfId="0" applyFont="1" applyFill="1" applyAlignment="1" applyProtection="1">
      <alignment vertical="center"/>
    </xf>
    <xf numFmtId="0" fontId="78" fillId="0" borderId="0" xfId="0" applyFont="1" applyAlignment="1" applyProtection="1">
      <alignment vertical="center" wrapText="1"/>
    </xf>
    <xf numFmtId="179" fontId="78" fillId="0" borderId="0" xfId="0" applyNumberFormat="1" applyFont="1" applyAlignment="1" applyProtection="1">
      <alignment vertical="center"/>
    </xf>
    <xf numFmtId="0" fontId="78" fillId="0" borderId="0" xfId="0" applyFont="1" applyAlignment="1" applyProtection="1">
      <alignment horizontal="center" vertical="center"/>
    </xf>
    <xf numFmtId="0" fontId="73" fillId="6" borderId="6" xfId="2"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0" fontId="50" fillId="5" borderId="36" xfId="0" applyFont="1" applyFill="1" applyBorder="1" applyAlignment="1" applyProtection="1">
      <alignment horizontal="center" vertical="center" wrapText="1"/>
    </xf>
    <xf numFmtId="0" fontId="50" fillId="5" borderId="49" xfId="0" applyFont="1" applyFill="1" applyBorder="1" applyAlignment="1" applyProtection="1">
      <alignment horizontal="right" vertical="center" wrapText="1"/>
    </xf>
    <xf numFmtId="0" fontId="50" fillId="5" borderId="38" xfId="0" applyFont="1" applyFill="1" applyBorder="1" applyAlignment="1" applyProtection="1">
      <alignment horizontal="center" vertical="center"/>
    </xf>
    <xf numFmtId="0" fontId="50" fillId="5" borderId="0" xfId="0" applyFont="1" applyFill="1" applyBorder="1" applyAlignment="1" applyProtection="1">
      <alignment horizontal="right" vertical="center" wrapText="1"/>
    </xf>
    <xf numFmtId="0" fontId="50" fillId="5" borderId="36" xfId="0" applyFont="1" applyFill="1" applyBorder="1" applyAlignment="1" applyProtection="1">
      <alignment horizontal="right" vertical="center" wrapText="1"/>
    </xf>
    <xf numFmtId="0" fontId="54" fillId="5" borderId="37" xfId="0" applyFont="1" applyFill="1" applyBorder="1" applyAlignment="1" applyProtection="1">
      <alignment horizontal="center" vertical="center"/>
    </xf>
    <xf numFmtId="0" fontId="50" fillId="5" borderId="53" xfId="0" applyFont="1" applyFill="1" applyBorder="1" applyAlignment="1" applyProtection="1">
      <alignment vertical="center" wrapText="1"/>
    </xf>
    <xf numFmtId="0" fontId="54" fillId="5" borderId="6" xfId="0" applyFont="1" applyFill="1" applyBorder="1" applyAlignment="1" applyProtection="1">
      <alignment horizontal="center" vertical="center" wrapText="1"/>
    </xf>
    <xf numFmtId="0" fontId="50" fillId="5" borderId="24" xfId="0" applyFont="1" applyFill="1" applyBorder="1" applyAlignment="1" applyProtection="1">
      <alignment vertical="center" wrapText="1"/>
    </xf>
    <xf numFmtId="0" fontId="54" fillId="5" borderId="20"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xf>
    <xf numFmtId="49" fontId="54" fillId="5" borderId="24" xfId="0" applyNumberFormat="1"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xf>
    <xf numFmtId="49" fontId="54" fillId="5" borderId="23" xfId="0" applyNumberFormat="1" applyFont="1" applyFill="1" applyBorder="1" applyAlignment="1" applyProtection="1">
      <alignment horizontal="center" vertical="center" wrapText="1"/>
    </xf>
    <xf numFmtId="0" fontId="54" fillId="5" borderId="47" xfId="0" applyFont="1" applyFill="1" applyBorder="1" applyAlignment="1" applyProtection="1">
      <alignment horizontal="center" vertical="center" wrapText="1"/>
    </xf>
    <xf numFmtId="0" fontId="50" fillId="5" borderId="23" xfId="0" applyFont="1" applyFill="1" applyBorder="1" applyAlignment="1" applyProtection="1">
      <alignment vertical="center" wrapText="1"/>
    </xf>
    <xf numFmtId="0" fontId="54" fillId="5" borderId="44" xfId="0" applyFont="1" applyFill="1" applyBorder="1" applyAlignment="1" applyProtection="1">
      <alignment horizontal="center" vertical="center" wrapText="1"/>
    </xf>
    <xf numFmtId="0" fontId="50" fillId="5" borderId="26" xfId="0" applyFont="1" applyFill="1" applyBorder="1" applyAlignment="1" applyProtection="1">
      <alignment horizontal="center" vertical="center" wrapText="1"/>
    </xf>
    <xf numFmtId="0" fontId="50" fillId="5" borderId="26" xfId="0" applyFont="1" applyFill="1" applyBorder="1" applyAlignment="1" applyProtection="1">
      <alignment horizontal="right" vertical="center" wrapText="1"/>
    </xf>
    <xf numFmtId="0" fontId="50" fillId="5" borderId="39" xfId="0" applyFont="1" applyFill="1" applyBorder="1" applyAlignment="1" applyProtection="1">
      <alignment horizontal="center" vertical="center" wrapText="1"/>
    </xf>
    <xf numFmtId="0" fontId="50" fillId="5" borderId="82" xfId="0" applyFont="1" applyFill="1" applyBorder="1" applyAlignment="1" applyProtection="1">
      <alignment horizontal="right" vertical="center" wrapText="1"/>
    </xf>
    <xf numFmtId="0" fontId="54" fillId="5" borderId="1" xfId="0" applyFont="1" applyFill="1" applyBorder="1" applyAlignment="1" applyProtection="1">
      <alignment horizontal="center" vertical="center" wrapText="1"/>
    </xf>
    <xf numFmtId="49" fontId="54" fillId="5" borderId="41" xfId="0" applyNumberFormat="1" applyFont="1" applyFill="1" applyBorder="1" applyAlignment="1" applyProtection="1">
      <alignment horizontal="center" vertical="center" wrapText="1"/>
    </xf>
    <xf numFmtId="0" fontId="54" fillId="5" borderId="7" xfId="0" applyNumberFormat="1" applyFont="1" applyFill="1" applyBorder="1" applyAlignment="1" applyProtection="1">
      <alignment horizontal="center" vertical="center" wrapText="1"/>
    </xf>
    <xf numFmtId="0" fontId="54" fillId="5" borderId="50" xfId="0" applyFont="1" applyFill="1" applyBorder="1" applyAlignment="1" applyProtection="1">
      <alignment horizontal="center" vertical="center" wrapText="1"/>
    </xf>
    <xf numFmtId="49" fontId="54" fillId="5" borderId="12" xfId="0" applyNumberFormat="1" applyFont="1" applyFill="1" applyBorder="1" applyAlignment="1" applyProtection="1">
      <alignment horizontal="center" vertical="center" wrapText="1"/>
    </xf>
    <xf numFmtId="0" fontId="54" fillId="5" borderId="1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54" fillId="5" borderId="46" xfId="0" applyNumberFormat="1" applyFont="1" applyFill="1" applyBorder="1" applyAlignment="1" applyProtection="1">
      <alignment horizontal="center" vertical="center" wrapText="1"/>
    </xf>
    <xf numFmtId="0" fontId="78" fillId="0" borderId="0" xfId="0" applyFont="1" applyProtection="1">
      <alignment vertical="center"/>
    </xf>
    <xf numFmtId="0" fontId="78" fillId="5" borderId="16" xfId="0" applyFont="1" applyFill="1" applyBorder="1" applyProtection="1">
      <alignment vertical="center"/>
    </xf>
    <xf numFmtId="0" fontId="78" fillId="5" borderId="8" xfId="0" applyFont="1" applyFill="1" applyBorder="1" applyProtection="1">
      <alignment vertical="center"/>
    </xf>
    <xf numFmtId="0" fontId="78" fillId="5" borderId="5" xfId="0" applyFont="1" applyFill="1" applyBorder="1" applyProtection="1">
      <alignment vertical="center"/>
    </xf>
    <xf numFmtId="0" fontId="78" fillId="0" borderId="0" xfId="0" applyFont="1" applyFill="1" applyProtection="1">
      <alignment vertical="center"/>
    </xf>
    <xf numFmtId="0" fontId="173" fillId="5" borderId="59" xfId="0" applyFont="1" applyFill="1" applyBorder="1" applyAlignment="1" applyProtection="1">
      <alignment horizontal="left" vertical="center"/>
    </xf>
    <xf numFmtId="0" fontId="78" fillId="5" borderId="30" xfId="0" applyFont="1" applyFill="1" applyBorder="1" applyProtection="1">
      <alignment vertical="center"/>
    </xf>
    <xf numFmtId="0" fontId="78" fillId="5" borderId="57" xfId="0" applyFont="1" applyFill="1" applyBorder="1" applyProtection="1">
      <alignment vertical="center"/>
    </xf>
    <xf numFmtId="0" fontId="173" fillId="5" borderId="64" xfId="0" applyFont="1" applyFill="1" applyBorder="1" applyAlignment="1" applyProtection="1">
      <alignment horizontal="left" vertical="center"/>
    </xf>
    <xf numFmtId="0" fontId="78" fillId="5" borderId="38" xfId="0" applyFont="1" applyFill="1" applyBorder="1" applyProtection="1">
      <alignment vertical="center"/>
    </xf>
    <xf numFmtId="0" fontId="78" fillId="5" borderId="79" xfId="0" applyFont="1" applyFill="1" applyBorder="1" applyProtection="1">
      <alignment vertical="center"/>
    </xf>
    <xf numFmtId="0" fontId="173" fillId="5" borderId="54" xfId="0" applyFont="1" applyFill="1" applyBorder="1" applyAlignment="1" applyProtection="1">
      <alignment horizontal="left" vertical="center"/>
    </xf>
    <xf numFmtId="0" fontId="78" fillId="5" borderId="61" xfId="0" applyFont="1" applyFill="1" applyBorder="1" applyProtection="1">
      <alignment vertical="center"/>
    </xf>
    <xf numFmtId="0" fontId="78" fillId="5" borderId="66" xfId="0" applyFont="1" applyFill="1" applyBorder="1" applyProtection="1">
      <alignment vertical="center"/>
    </xf>
    <xf numFmtId="0" fontId="175" fillId="5" borderId="39" xfId="0" applyFont="1" applyFill="1" applyBorder="1" applyAlignment="1" applyProtection="1">
      <alignment horizontal="center" vertical="center" wrapText="1"/>
    </xf>
    <xf numFmtId="0" fontId="78" fillId="5" borderId="80" xfId="0" applyFont="1" applyFill="1" applyBorder="1" applyProtection="1">
      <alignment vertical="center"/>
    </xf>
    <xf numFmtId="0" fontId="175" fillId="5" borderId="65" xfId="0" applyFont="1" applyFill="1" applyBorder="1" applyAlignment="1" applyProtection="1">
      <alignment horizontal="center" vertical="center" wrapText="1"/>
    </xf>
    <xf numFmtId="0" fontId="151" fillId="5" borderId="66" xfId="0" applyFont="1" applyFill="1" applyBorder="1" applyAlignment="1" applyProtection="1">
      <alignment vertical="center" wrapText="1"/>
    </xf>
    <xf numFmtId="0" fontId="175" fillId="5" borderId="82"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8" fillId="5" borderId="53" xfId="0" applyFont="1" applyFill="1" applyBorder="1" applyAlignment="1" applyProtection="1">
      <alignment horizontal="justify" vertical="center" wrapText="1"/>
    </xf>
    <xf numFmtId="0" fontId="178" fillId="5" borderId="27" xfId="0" applyFont="1" applyFill="1" applyBorder="1" applyAlignment="1" applyProtection="1">
      <alignment horizontal="center" vertical="center" wrapText="1"/>
    </xf>
    <xf numFmtId="0" fontId="179" fillId="5" borderId="11"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79" fontId="173" fillId="5" borderId="2" xfId="0" applyNumberFormat="1"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79" fillId="5" borderId="25" xfId="0" applyFont="1" applyFill="1" applyBorder="1" applyAlignment="1" applyProtection="1">
      <alignment horizontal="center" vertical="center" wrapText="1"/>
    </xf>
    <xf numFmtId="0" fontId="179" fillId="5" borderId="43" xfId="0" applyFont="1" applyFill="1" applyBorder="1" applyAlignment="1" applyProtection="1">
      <alignment horizontal="center" vertical="center" wrapText="1"/>
    </xf>
    <xf numFmtId="0" fontId="179" fillId="5" borderId="44" xfId="0" applyFont="1" applyFill="1" applyBorder="1" applyAlignment="1" applyProtection="1">
      <alignment horizontal="center" vertical="center" wrapText="1"/>
    </xf>
    <xf numFmtId="179" fontId="173" fillId="5" borderId="44" xfId="0" applyNumberFormat="1" applyFont="1" applyFill="1" applyBorder="1" applyAlignment="1" applyProtection="1">
      <alignment horizontal="center" vertical="center" wrapText="1"/>
    </xf>
    <xf numFmtId="0" fontId="78" fillId="5" borderId="55" xfId="0" applyFont="1" applyFill="1" applyBorder="1" applyProtection="1">
      <alignment vertical="center"/>
    </xf>
    <xf numFmtId="0" fontId="173" fillId="5" borderId="69" xfId="0" applyFont="1" applyFill="1" applyBorder="1" applyAlignment="1" applyProtection="1">
      <alignment horizontal="center" vertical="center" wrapText="1"/>
    </xf>
    <xf numFmtId="0" fontId="95" fillId="0" borderId="0" xfId="0" applyFont="1" applyBorder="1" applyAlignment="1" applyProtection="1">
      <alignment horizontal="left" vertical="center" wrapText="1"/>
    </xf>
    <xf numFmtId="0" fontId="152" fillId="5" borderId="0" xfId="0" applyFont="1" applyFill="1" applyBorder="1" applyAlignment="1" applyProtection="1">
      <alignment horizontal="left" vertical="center"/>
    </xf>
    <xf numFmtId="0" fontId="89" fillId="5" borderId="0" xfId="0" applyFont="1" applyFill="1" applyBorder="1" applyAlignment="1" applyProtection="1">
      <alignment horizontal="left" vertical="center"/>
    </xf>
    <xf numFmtId="0" fontId="71" fillId="5" borderId="0" xfId="0" applyFont="1" applyFill="1" applyBorder="1" applyAlignment="1" applyProtection="1">
      <alignment vertical="center"/>
    </xf>
    <xf numFmtId="0" fontId="71" fillId="5" borderId="0" xfId="0" applyFont="1" applyFill="1" applyBorder="1" applyAlignment="1" applyProtection="1">
      <alignment horizontal="center" vertical="center"/>
    </xf>
    <xf numFmtId="9" fontId="78" fillId="5" borderId="0" xfId="0" applyNumberFormat="1" applyFont="1" applyFill="1" applyAlignment="1" applyProtection="1">
      <alignment horizontal="center" vertical="center"/>
    </xf>
    <xf numFmtId="0" fontId="159" fillId="5" borderId="5" xfId="0" applyFont="1" applyFill="1" applyBorder="1" applyAlignment="1" applyProtection="1">
      <alignment horizontal="center" vertical="center" wrapText="1"/>
    </xf>
    <xf numFmtId="0" fontId="159" fillId="5" borderId="8"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10" fontId="78" fillId="5" borderId="0" xfId="0" applyNumberFormat="1" applyFont="1" applyFill="1" applyAlignment="1" applyProtection="1">
      <alignment horizontal="center" vertical="center"/>
    </xf>
    <xf numFmtId="0" fontId="180" fillId="5" borderId="2"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0" fontId="181" fillId="5" borderId="2" xfId="0" applyNumberFormat="1" applyFont="1" applyFill="1" applyBorder="1" applyAlignment="1" applyProtection="1">
      <alignment horizontal="center" vertical="center"/>
    </xf>
    <xf numFmtId="0" fontId="81" fillId="5" borderId="0" xfId="0" applyFont="1" applyFill="1" applyProtection="1">
      <alignment vertical="center"/>
    </xf>
    <xf numFmtId="9" fontId="181" fillId="5" borderId="2" xfId="0" applyNumberFormat="1" applyFont="1" applyFill="1" applyBorder="1" applyAlignment="1" applyProtection="1">
      <alignment horizontal="center" vertical="center"/>
    </xf>
    <xf numFmtId="0" fontId="181" fillId="5" borderId="10" xfId="0" applyFont="1" applyFill="1" applyBorder="1" applyAlignment="1" applyProtection="1">
      <alignment horizontal="center" vertical="center" wrapText="1"/>
    </xf>
    <xf numFmtId="9" fontId="181" fillId="5" borderId="10" xfId="0" applyNumberFormat="1" applyFont="1" applyFill="1" applyBorder="1" applyAlignment="1" applyProtection="1">
      <alignment horizontal="center" vertical="center"/>
    </xf>
    <xf numFmtId="0" fontId="181" fillId="5" borderId="5" xfId="0" applyFont="1" applyFill="1" applyBorder="1" applyAlignment="1" applyProtection="1">
      <alignment vertical="center" wrapText="1"/>
    </xf>
    <xf numFmtId="0" fontId="181" fillId="5" borderId="8" xfId="0" applyFont="1" applyFill="1" applyBorder="1" applyAlignment="1" applyProtection="1">
      <alignment horizontal="center" vertical="center" wrapText="1"/>
    </xf>
    <xf numFmtId="0" fontId="181" fillId="5" borderId="9" xfId="0" applyFont="1" applyFill="1" applyBorder="1" applyAlignment="1" applyProtection="1">
      <alignment vertical="center" wrapText="1"/>
    </xf>
    <xf numFmtId="0" fontId="78" fillId="5" borderId="0" xfId="0" applyFont="1" applyFill="1" applyBorder="1" applyAlignment="1" applyProtection="1">
      <alignment horizontal="left" vertical="center" wrapText="1"/>
    </xf>
    <xf numFmtId="0" fontId="181" fillId="5" borderId="84" xfId="0" applyFont="1" applyFill="1" applyBorder="1" applyAlignment="1" applyProtection="1">
      <alignment vertical="center" wrapText="1"/>
    </xf>
    <xf numFmtId="0" fontId="181" fillId="5" borderId="85" xfId="0" applyFont="1" applyFill="1" applyBorder="1" applyAlignment="1" applyProtection="1">
      <alignment horizontal="center" vertical="center" wrapText="1"/>
    </xf>
    <xf numFmtId="0" fontId="181" fillId="5" borderId="86" xfId="0" applyFont="1" applyFill="1" applyBorder="1" applyAlignment="1" applyProtection="1">
      <alignment vertical="center" wrapText="1"/>
    </xf>
    <xf numFmtId="49" fontId="87" fillId="5" borderId="31" xfId="0" applyNumberFormat="1" applyFont="1" applyFill="1" applyBorder="1" applyAlignment="1" applyProtection="1">
      <alignment horizontal="left" vertical="center" wrapText="1"/>
    </xf>
    <xf numFmtId="0" fontId="97" fillId="5" borderId="0" xfId="0" applyFont="1" applyFill="1" applyBorder="1" applyAlignment="1" applyProtection="1">
      <alignment horizontal="left" vertical="center" wrapText="1"/>
    </xf>
    <xf numFmtId="177" fontId="97" fillId="5" borderId="0" xfId="0" applyNumberFormat="1" applyFont="1" applyFill="1" applyBorder="1" applyAlignment="1" applyProtection="1">
      <alignment horizontal="center" vertical="center" wrapText="1"/>
    </xf>
    <xf numFmtId="10" fontId="88"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alignment horizontal="left" vertical="center"/>
    </xf>
    <xf numFmtId="0" fontId="151" fillId="0" borderId="0" xfId="0" applyFont="1" applyFill="1" applyProtection="1">
      <alignment vertical="center"/>
    </xf>
    <xf numFmtId="0" fontId="78" fillId="5" borderId="0" xfId="4" applyFont="1" applyFill="1" applyBorder="1" applyAlignment="1" applyProtection="1">
      <alignment horizontal="left" vertical="center" wrapText="1"/>
    </xf>
    <xf numFmtId="0" fontId="151" fillId="5" borderId="0" xfId="4" applyFont="1" applyFill="1" applyAlignment="1" applyProtection="1">
      <alignment vertical="center" wrapText="1"/>
    </xf>
    <xf numFmtId="0" fontId="151" fillId="5" borderId="0" xfId="4" applyFont="1" applyFill="1" applyProtection="1"/>
    <xf numFmtId="0" fontId="151" fillId="5" borderId="0" xfId="0" applyFont="1" applyFill="1" applyAlignment="1" applyProtection="1">
      <alignment vertical="center"/>
    </xf>
    <xf numFmtId="0" fontId="151" fillId="5" borderId="0" xfId="0" applyFont="1" applyFill="1" applyAlignment="1" applyProtection="1">
      <alignment horizontal="left" vertical="center"/>
    </xf>
    <xf numFmtId="0" fontId="151" fillId="5" borderId="0" xfId="4" applyFont="1" applyFill="1" applyAlignment="1" applyProtection="1">
      <alignment horizontal="left"/>
    </xf>
    <xf numFmtId="0" fontId="73" fillId="6" borderId="2" xfId="0" applyFont="1" applyFill="1" applyBorder="1" applyProtection="1">
      <alignment vertical="center"/>
      <protection locked="0"/>
    </xf>
    <xf numFmtId="0" fontId="159" fillId="5" borderId="14" xfId="0" applyFont="1" applyFill="1" applyBorder="1" applyAlignment="1" applyProtection="1">
      <alignment horizontal="left" vertical="center" wrapText="1"/>
    </xf>
    <xf numFmtId="0" fontId="159" fillId="5" borderId="14" xfId="0" applyFont="1" applyFill="1" applyBorder="1" applyAlignment="1" applyProtection="1">
      <alignment horizontal="center" vertical="center" wrapText="1"/>
    </xf>
    <xf numFmtId="0" fontId="159" fillId="5" borderId="32" xfId="0" applyFont="1" applyFill="1" applyBorder="1" applyAlignment="1" applyProtection="1">
      <alignment horizontal="center" vertical="center" wrapText="1"/>
    </xf>
    <xf numFmtId="190" fontId="180" fillId="5" borderId="21" xfId="0" applyNumberFormat="1" applyFont="1" applyFill="1" applyBorder="1" applyAlignment="1" applyProtection="1">
      <alignment horizontal="center" vertical="center" wrapText="1"/>
    </xf>
    <xf numFmtId="0" fontId="88" fillId="5" borderId="2" xfId="2" applyFont="1" applyFill="1" applyBorder="1" applyAlignment="1" applyProtection="1">
      <alignment horizontal="left"/>
    </xf>
    <xf numFmtId="0" fontId="97" fillId="5" borderId="2" xfId="2" applyFont="1" applyFill="1" applyBorder="1" applyAlignment="1" applyProtection="1">
      <alignment horizontal="left"/>
    </xf>
    <xf numFmtId="0" fontId="88" fillId="5" borderId="2" xfId="2" applyFont="1" applyFill="1" applyBorder="1" applyAlignment="1" applyProtection="1"/>
    <xf numFmtId="0" fontId="158" fillId="5" borderId="9" xfId="2" applyFont="1" applyFill="1" applyBorder="1" applyAlignment="1" applyProtection="1">
      <alignment horizontal="left"/>
    </xf>
    <xf numFmtId="0" fontId="102" fillId="5" borderId="9" xfId="0" applyFont="1" applyFill="1" applyBorder="1" applyAlignment="1" applyProtection="1">
      <alignment vertical="center" wrapText="1"/>
    </xf>
    <xf numFmtId="0" fontId="158" fillId="5" borderId="2" xfId="0" applyFont="1" applyFill="1" applyBorder="1" applyAlignment="1" applyProtection="1">
      <alignment vertical="center" wrapText="1"/>
    </xf>
    <xf numFmtId="0" fontId="158" fillId="5" borderId="0" xfId="0" applyFont="1" applyFill="1" applyBorder="1" applyAlignment="1" applyProtection="1">
      <alignment vertical="center" wrapText="1"/>
    </xf>
    <xf numFmtId="0" fontId="102" fillId="5" borderId="0" xfId="0" applyFont="1" applyFill="1" applyBorder="1" applyAlignment="1" applyProtection="1">
      <alignment vertical="center" wrapText="1"/>
    </xf>
    <xf numFmtId="0" fontId="102" fillId="5" borderId="65" xfId="0" applyFont="1" applyFill="1" applyBorder="1" applyAlignment="1" applyProtection="1">
      <alignment vertical="center" wrapText="1"/>
    </xf>
    <xf numFmtId="0" fontId="100" fillId="0" borderId="0" xfId="0"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86"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187" fontId="86" fillId="3" borderId="9" xfId="0" applyNumberFormat="1" applyFont="1" applyFill="1" applyBorder="1" applyAlignment="1" applyProtection="1">
      <alignment horizontal="center" vertical="center"/>
    </xf>
    <xf numFmtId="187" fontId="86" fillId="3" borderId="9" xfId="0" applyNumberFormat="1" applyFont="1" applyFill="1" applyBorder="1" applyAlignment="1" applyProtection="1">
      <alignment horizontal="center" vertical="center" wrapText="1"/>
    </xf>
    <xf numFmtId="187" fontId="86" fillId="3" borderId="2" xfId="0" applyNumberFormat="1" applyFont="1" applyFill="1" applyBorder="1" applyAlignment="1" applyProtection="1">
      <alignment horizontal="center" vertical="center" wrapText="1"/>
    </xf>
    <xf numFmtId="187" fontId="86" fillId="0" borderId="0" xfId="0" applyNumberFormat="1" applyFont="1" applyFill="1" applyAlignment="1" applyProtection="1">
      <alignment horizontal="center" vertical="center"/>
    </xf>
    <xf numFmtId="181" fontId="86" fillId="0" borderId="0" xfId="0" applyNumberFormat="1" applyFont="1" applyFill="1" applyAlignment="1" applyProtection="1">
      <alignment horizontal="center" vertical="center"/>
    </xf>
    <xf numFmtId="0" fontId="107" fillId="0" borderId="0" xfId="0" applyFont="1" applyFill="1" applyAlignment="1" applyProtection="1">
      <alignment horizontal="center" vertical="center"/>
    </xf>
    <xf numFmtId="0" fontId="111" fillId="0" borderId="0" xfId="0" applyFont="1" applyFill="1" applyAlignment="1" applyProtection="1">
      <alignment horizontal="center" vertical="center"/>
    </xf>
    <xf numFmtId="49" fontId="73" fillId="0" borderId="0" xfId="0" applyNumberFormat="1" applyFont="1" applyFill="1" applyAlignment="1" applyProtection="1">
      <alignment horizontal="center" vertical="center"/>
    </xf>
    <xf numFmtId="0" fontId="101" fillId="5" borderId="11" xfId="0" applyNumberFormat="1" applyFont="1" applyFill="1" applyBorder="1" applyAlignment="1" applyProtection="1">
      <alignment horizontal="center" vertical="center" wrapText="1"/>
    </xf>
    <xf numFmtId="9" fontId="97" fillId="0" borderId="5" xfId="2" applyNumberFormat="1" applyFont="1" applyFill="1" applyBorder="1" applyAlignment="1" applyProtection="1">
      <alignment horizontal="center" vertical="center"/>
      <protection locked="0"/>
    </xf>
    <xf numFmtId="0" fontId="100" fillId="5" borderId="0" xfId="0" applyFont="1" applyFill="1" applyAlignment="1" applyProtection="1">
      <alignment vertical="center"/>
    </xf>
    <xf numFmtId="0" fontId="108" fillId="5" borderId="0" xfId="0" applyFont="1" applyFill="1" applyBorder="1" applyAlignment="1" applyProtection="1">
      <alignment vertical="center"/>
    </xf>
    <xf numFmtId="0" fontId="99" fillId="5" borderId="21" xfId="0" applyFont="1" applyFill="1" applyBorder="1" applyAlignment="1" applyProtection="1">
      <alignment vertical="center"/>
    </xf>
    <xf numFmtId="0" fontId="73" fillId="5" borderId="0" xfId="0" applyFont="1" applyFill="1" applyBorder="1" applyAlignment="1" applyProtection="1">
      <alignment horizontal="center"/>
    </xf>
    <xf numFmtId="0" fontId="73" fillId="5" borderId="0" xfId="0" applyFont="1" applyFill="1" applyBorder="1" applyAlignment="1" applyProtection="1"/>
    <xf numFmtId="0" fontId="73" fillId="5" borderId="65" xfId="0" applyFont="1" applyFill="1" applyBorder="1" applyAlignment="1" applyProtection="1"/>
    <xf numFmtId="0" fontId="73" fillId="5" borderId="10" xfId="0" applyFont="1" applyFill="1" applyBorder="1" applyAlignment="1" applyProtection="1"/>
    <xf numFmtId="0" fontId="73" fillId="5" borderId="5" xfId="0" applyFont="1" applyFill="1" applyBorder="1" applyAlignment="1" applyProtection="1">
      <alignment horizontal="center"/>
    </xf>
    <xf numFmtId="0" fontId="73" fillId="5" borderId="3" xfId="0" applyFont="1" applyFill="1" applyBorder="1" applyAlignment="1" applyProtection="1"/>
    <xf numFmtId="0" fontId="108" fillId="5" borderId="55" xfId="0" applyFont="1" applyFill="1" applyBorder="1" applyAlignment="1" applyProtection="1">
      <alignment vertical="center"/>
    </xf>
    <xf numFmtId="0" fontId="73" fillId="5" borderId="55" xfId="0" applyFont="1" applyFill="1" applyBorder="1" applyAlignment="1" applyProtection="1">
      <alignment horizontal="center"/>
    </xf>
    <xf numFmtId="0" fontId="73" fillId="5" borderId="55" xfId="0" applyFont="1" applyFill="1" applyBorder="1" applyAlignment="1" applyProtection="1"/>
    <xf numFmtId="0" fontId="108" fillId="0" borderId="0" xfId="0" applyFont="1" applyFill="1" applyAlignment="1" applyProtection="1">
      <alignment horizontal="center" vertical="center"/>
    </xf>
    <xf numFmtId="49" fontId="99" fillId="5" borderId="0" xfId="0" applyNumberFormat="1" applyFont="1" applyFill="1" applyBorder="1" applyAlignment="1" applyProtection="1">
      <alignment horizontal="center"/>
    </xf>
    <xf numFmtId="0" fontId="182" fillId="0" borderId="2" xfId="0" applyFont="1" applyBorder="1" applyAlignment="1" applyProtection="1">
      <alignment horizontal="center" vertical="center"/>
      <protection locked="0"/>
    </xf>
    <xf numFmtId="177" fontId="132" fillId="0" borderId="2" xfId="2" applyNumberFormat="1" applyFont="1" applyFill="1" applyBorder="1" applyAlignment="1" applyProtection="1">
      <alignment vertical="center"/>
      <protection locked="0"/>
    </xf>
    <xf numFmtId="176" fontId="85" fillId="5" borderId="57" xfId="2" applyNumberFormat="1"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8" fillId="3" borderId="12" xfId="0" applyFont="1" applyFill="1" applyBorder="1" applyProtection="1">
      <alignment vertical="center"/>
      <protection locked="0"/>
    </xf>
    <xf numFmtId="0" fontId="73" fillId="3" borderId="25" xfId="0" applyFont="1" applyFill="1" applyBorder="1" applyProtection="1">
      <alignment vertical="center"/>
      <protection locked="0"/>
    </xf>
    <xf numFmtId="0" fontId="73" fillId="5" borderId="54" xfId="0" applyFont="1" applyFill="1" applyBorder="1" applyAlignment="1" applyProtection="1">
      <alignment vertical="center"/>
    </xf>
    <xf numFmtId="0" fontId="77" fillId="5" borderId="45" xfId="0" applyFont="1" applyFill="1" applyBorder="1" applyAlignment="1" applyProtection="1">
      <alignment vertical="center"/>
    </xf>
    <xf numFmtId="179" fontId="77" fillId="5" borderId="47" xfId="0" applyNumberFormat="1" applyFont="1" applyFill="1" applyBorder="1" applyAlignment="1" applyProtection="1">
      <alignment vertical="center"/>
    </xf>
    <xf numFmtId="179" fontId="77" fillId="5" borderId="44" xfId="0" applyNumberFormat="1" applyFont="1" applyFill="1" applyBorder="1" applyAlignment="1" applyProtection="1">
      <alignment vertical="center"/>
    </xf>
    <xf numFmtId="179" fontId="77" fillId="5" borderId="46" xfId="0" applyNumberFormat="1" applyFont="1" applyFill="1" applyBorder="1" applyAlignment="1" applyProtection="1">
      <alignment vertical="center"/>
    </xf>
    <xf numFmtId="49" fontId="54" fillId="0" borderId="50" xfId="0" applyNumberFormat="1" applyFont="1" applyFill="1" applyBorder="1" applyAlignment="1" applyProtection="1">
      <alignment horizontal="center" vertical="center" wrapText="1"/>
      <protection locked="0"/>
    </xf>
    <xf numFmtId="0" fontId="54" fillId="0" borderId="74" xfId="0" applyNumberFormat="1" applyFont="1" applyFill="1" applyBorder="1" applyAlignment="1" applyProtection="1">
      <alignment horizontal="center" vertical="center" wrapText="1"/>
      <protection locked="0"/>
    </xf>
    <xf numFmtId="0" fontId="132" fillId="0" borderId="74" xfId="0" applyNumberFormat="1" applyFont="1" applyFill="1" applyBorder="1" applyAlignment="1" applyProtection="1">
      <alignment horizontal="center" vertical="center" wrapText="1"/>
      <protection locked="0"/>
    </xf>
    <xf numFmtId="0" fontId="88" fillId="0" borderId="25" xfId="2" applyNumberFormat="1" applyFont="1" applyFill="1" applyBorder="1" applyAlignment="1" applyProtection="1">
      <alignment horizontal="center" vertical="center"/>
      <protection locked="0"/>
    </xf>
    <xf numFmtId="181" fontId="78" fillId="0" borderId="7" xfId="0" applyNumberFormat="1" applyFont="1" applyFill="1" applyBorder="1" applyAlignment="1" applyProtection="1">
      <alignment horizontal="center" vertical="center"/>
      <protection locked="0"/>
    </xf>
    <xf numFmtId="0" fontId="59" fillId="5" borderId="10" xfId="2" applyFont="1" applyFill="1" applyBorder="1" applyAlignment="1" applyProtection="1">
      <alignment vertical="center"/>
    </xf>
    <xf numFmtId="0" fontId="49" fillId="5" borderId="10" xfId="2" applyFont="1" applyFill="1" applyBorder="1" applyAlignment="1" applyProtection="1">
      <alignment vertical="center"/>
    </xf>
    <xf numFmtId="0" fontId="77" fillId="5" borderId="6" xfId="0" applyFont="1" applyFill="1" applyBorder="1" applyAlignment="1" applyProtection="1">
      <alignment vertical="center"/>
    </xf>
    <xf numFmtId="0" fontId="77" fillId="5" borderId="40" xfId="0" applyFont="1" applyFill="1" applyBorder="1" applyAlignment="1" applyProtection="1">
      <alignment horizontal="right" vertical="center"/>
    </xf>
    <xf numFmtId="0" fontId="87" fillId="5" borderId="57" xfId="0" applyFont="1" applyFill="1" applyBorder="1" applyAlignment="1" applyProtection="1">
      <alignment vertical="center"/>
    </xf>
    <xf numFmtId="0" fontId="77" fillId="5" borderId="2" xfId="0" applyFont="1" applyFill="1" applyBorder="1" applyProtection="1">
      <alignment vertical="center"/>
    </xf>
    <xf numFmtId="0" fontId="87" fillId="5" borderId="16" xfId="0" applyFont="1" applyFill="1" applyBorder="1" applyAlignment="1" applyProtection="1">
      <alignment vertical="center"/>
    </xf>
    <xf numFmtId="0" fontId="77" fillId="5" borderId="10" xfId="0" applyFont="1" applyFill="1" applyBorder="1" applyProtection="1">
      <alignment vertical="center"/>
    </xf>
    <xf numFmtId="0" fontId="87" fillId="5" borderId="16" xfId="0" applyFont="1" applyFill="1" applyBorder="1" applyProtection="1">
      <alignment vertical="center"/>
    </xf>
    <xf numFmtId="0" fontId="77" fillId="5" borderId="3" xfId="0" applyFont="1" applyFill="1" applyBorder="1" applyProtection="1">
      <alignment vertical="center"/>
    </xf>
    <xf numFmtId="0" fontId="87" fillId="5" borderId="14" xfId="0" applyFont="1" applyFill="1" applyBorder="1" applyAlignment="1" applyProtection="1">
      <alignment horizontal="right" vertical="center"/>
    </xf>
    <xf numFmtId="0" fontId="87" fillId="5" borderId="15" xfId="0" applyFont="1" applyFill="1" applyBorder="1" applyAlignment="1" applyProtection="1">
      <alignment horizontal="left" vertical="center"/>
    </xf>
    <xf numFmtId="0" fontId="72" fillId="5" borderId="2" xfId="0" applyFont="1" applyFill="1" applyBorder="1" applyAlignment="1" applyProtection="1">
      <alignment horizontal="right" vertical="center"/>
    </xf>
    <xf numFmtId="0" fontId="183" fillId="5" borderId="66" xfId="0" applyFont="1" applyFill="1" applyBorder="1" applyAlignment="1" applyProtection="1">
      <alignment horizontal="center" vertical="center" wrapText="1"/>
    </xf>
    <xf numFmtId="0" fontId="161" fillId="0" borderId="2" xfId="1" applyFont="1" applyBorder="1" applyAlignment="1" applyProtection="1">
      <alignment horizontal="center" vertical="center" wrapText="1"/>
      <protection locked="0"/>
    </xf>
    <xf numFmtId="0" fontId="150" fillId="0" borderId="2" xfId="1" applyFont="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50" fillId="0" borderId="2" xfId="1" applyFont="1" applyFill="1" applyBorder="1" applyAlignment="1" applyProtection="1">
      <alignment horizontal="center" vertical="center" wrapText="1"/>
      <protection locked="0"/>
    </xf>
    <xf numFmtId="0" fontId="134" fillId="0" borderId="2" xfId="1" applyFont="1" applyFill="1" applyBorder="1" applyAlignment="1" applyProtection="1">
      <alignment horizontal="center" vertical="center" wrapText="1"/>
      <protection locked="0"/>
    </xf>
    <xf numFmtId="0" fontId="165" fillId="0" borderId="2" xfId="1" applyFont="1" applyFill="1" applyBorder="1" applyAlignment="1" applyProtection="1">
      <alignment horizontal="center" vertical="center" wrapText="1"/>
      <protection locked="0"/>
    </xf>
    <xf numFmtId="0" fontId="184" fillId="5" borderId="59" xfId="3" applyFont="1" applyFill="1" applyBorder="1" applyAlignment="1" applyProtection="1">
      <alignment vertical="center"/>
    </xf>
    <xf numFmtId="0" fontId="49" fillId="5" borderId="30" xfId="3" applyFont="1" applyFill="1" applyBorder="1" applyAlignment="1" applyProtection="1">
      <alignment vertical="center"/>
    </xf>
    <xf numFmtId="0" fontId="42" fillId="5" borderId="0" xfId="3" applyFont="1" applyFill="1" applyAlignment="1" applyProtection="1">
      <alignment vertical="center" wrapText="1"/>
    </xf>
    <xf numFmtId="0" fontId="42" fillId="8" borderId="0" xfId="3" applyFont="1" applyFill="1" applyAlignment="1" applyProtection="1">
      <alignment vertical="center" wrapText="1"/>
    </xf>
    <xf numFmtId="0" fontId="42" fillId="8" borderId="0" xfId="3" applyFont="1" applyFill="1" applyAlignment="1" applyProtection="1">
      <alignment horizontal="center" vertical="center" wrapText="1"/>
    </xf>
    <xf numFmtId="0" fontId="42" fillId="0" borderId="0" xfId="3" applyFont="1" applyAlignment="1" applyProtection="1">
      <alignment horizontal="center" vertical="center" wrapText="1"/>
    </xf>
    <xf numFmtId="0" fontId="42" fillId="0" borderId="0" xfId="3" applyFont="1" applyAlignment="1" applyProtection="1">
      <alignment vertical="center" wrapText="1"/>
    </xf>
    <xf numFmtId="0" fontId="49" fillId="5" borderId="2" xfId="3" applyFont="1" applyFill="1" applyBorder="1" applyAlignment="1" applyProtection="1">
      <alignment vertical="center"/>
    </xf>
    <xf numFmtId="0" fontId="49" fillId="5" borderId="5" xfId="3" applyFont="1" applyFill="1" applyBorder="1" applyAlignment="1" applyProtection="1">
      <alignment vertical="center"/>
    </xf>
    <xf numFmtId="0" fontId="42" fillId="5" borderId="2" xfId="3"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center" vertical="center" wrapText="1"/>
      <protection locked="0"/>
    </xf>
    <xf numFmtId="0" fontId="42" fillId="5" borderId="0" xfId="3" applyNumberFormat="1" applyFont="1" applyFill="1" applyAlignment="1" applyProtection="1">
      <alignment vertical="center" wrapText="1"/>
    </xf>
    <xf numFmtId="0" fontId="49" fillId="5" borderId="10" xfId="3" applyFont="1" applyFill="1" applyBorder="1" applyAlignment="1" applyProtection="1">
      <alignment vertical="center"/>
    </xf>
    <xf numFmtId="0" fontId="42" fillId="6" borderId="2" xfId="3" applyNumberFormat="1" applyFont="1" applyFill="1" applyBorder="1" applyAlignment="1" applyProtection="1">
      <alignment vertical="center" wrapText="1"/>
      <protection locked="0"/>
    </xf>
    <xf numFmtId="0" fontId="42" fillId="6" borderId="2" xfId="0" applyFont="1" applyFill="1" applyBorder="1" applyAlignment="1" applyProtection="1">
      <alignment horizontal="left" vertical="center"/>
      <protection locked="0"/>
    </xf>
    <xf numFmtId="0" fontId="42" fillId="5" borderId="2" xfId="3" applyFont="1" applyFill="1" applyBorder="1" applyAlignment="1" applyProtection="1">
      <alignment horizontal="left" vertical="center" wrapText="1"/>
    </xf>
    <xf numFmtId="0" fontId="59" fillId="5" borderId="10" xfId="3" applyFont="1" applyFill="1" applyBorder="1" applyAlignment="1" applyProtection="1">
      <alignment horizontal="left" vertical="center" wrapText="1"/>
    </xf>
    <xf numFmtId="0" fontId="59" fillId="5" borderId="14" xfId="3" applyFont="1" applyFill="1" applyBorder="1" applyAlignment="1" applyProtection="1">
      <alignment vertical="center" wrapText="1"/>
    </xf>
    <xf numFmtId="0" fontId="60" fillId="5" borderId="14" xfId="3" applyFont="1" applyFill="1" applyBorder="1" applyAlignment="1" applyProtection="1">
      <alignment vertical="center" wrapText="1"/>
    </xf>
    <xf numFmtId="0" fontId="60" fillId="5" borderId="32" xfId="3" applyFont="1" applyFill="1" applyBorder="1" applyAlignment="1" applyProtection="1">
      <alignment vertical="center" wrapText="1"/>
    </xf>
    <xf numFmtId="0" fontId="60" fillId="8" borderId="0" xfId="3" applyFont="1" applyFill="1" applyAlignment="1" applyProtection="1">
      <alignment horizontal="center" vertical="center" wrapText="1"/>
    </xf>
    <xf numFmtId="0" fontId="60" fillId="0" borderId="0" xfId="3" applyFont="1" applyAlignment="1" applyProtection="1">
      <alignment horizontal="center" vertical="center" wrapText="1"/>
    </xf>
    <xf numFmtId="0" fontId="60" fillId="0" borderId="0" xfId="3" applyFont="1" applyAlignment="1" applyProtection="1">
      <alignment vertical="center" wrapText="1"/>
    </xf>
    <xf numFmtId="0" fontId="44" fillId="5" borderId="37" xfId="3" applyFont="1" applyFill="1" applyBorder="1" applyAlignment="1" applyProtection="1">
      <alignment horizontal="left" vertical="center" wrapText="1"/>
    </xf>
    <xf numFmtId="0" fontId="186" fillId="5" borderId="49" xfId="3" applyFont="1" applyFill="1" applyBorder="1" applyAlignment="1" applyProtection="1">
      <alignment vertical="center"/>
    </xf>
    <xf numFmtId="0" fontId="44" fillId="5" borderId="37" xfId="3" applyFont="1" applyFill="1" applyBorder="1" applyAlignment="1" applyProtection="1">
      <alignment horizontal="center" vertical="center" wrapText="1"/>
    </xf>
    <xf numFmtId="0" fontId="42" fillId="5" borderId="37" xfId="3" applyFont="1" applyFill="1" applyBorder="1" applyAlignment="1" applyProtection="1">
      <alignment vertical="center" wrapText="1"/>
    </xf>
    <xf numFmtId="0" fontId="42" fillId="5" borderId="38" xfId="3" applyFont="1" applyFill="1" applyBorder="1" applyAlignment="1" applyProtection="1">
      <alignment vertical="center" wrapText="1"/>
    </xf>
    <xf numFmtId="0" fontId="44" fillId="5" borderId="6" xfId="3" applyFont="1" applyFill="1" applyBorder="1" applyAlignment="1" applyProtection="1">
      <alignment horizontal="left" vertical="center" wrapText="1"/>
    </xf>
    <xf numFmtId="0" fontId="42" fillId="5" borderId="6" xfId="3" applyFont="1" applyFill="1" applyBorder="1" applyAlignment="1" applyProtection="1">
      <alignment horizontal="center" vertical="center" wrapText="1"/>
    </xf>
    <xf numFmtId="0" fontId="42"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42" fillId="5" borderId="39" xfId="3" applyFont="1" applyFill="1" applyBorder="1" applyAlignment="1" applyProtection="1">
      <alignment vertical="center" wrapText="1"/>
    </xf>
    <xf numFmtId="0" fontId="42" fillId="5" borderId="5" xfId="3" applyFont="1" applyFill="1" applyBorder="1" applyAlignment="1" applyProtection="1">
      <alignment vertical="center"/>
    </xf>
    <xf numFmtId="0" fontId="42" fillId="5" borderId="8" xfId="3" applyFont="1" applyFill="1" applyBorder="1" applyAlignment="1" applyProtection="1">
      <alignment vertical="center" wrapText="1"/>
    </xf>
    <xf numFmtId="0" fontId="42" fillId="5" borderId="16" xfId="3" applyFont="1" applyFill="1" applyBorder="1" applyAlignment="1" applyProtection="1">
      <alignment vertical="center" wrapText="1"/>
    </xf>
    <xf numFmtId="0" fontId="42" fillId="5" borderId="10" xfId="3" applyFont="1" applyFill="1" applyBorder="1" applyAlignment="1" applyProtection="1">
      <alignment horizontal="left" vertical="center" wrapText="1"/>
    </xf>
    <xf numFmtId="0" fontId="42" fillId="5" borderId="4" xfId="3" applyFont="1" applyFill="1" applyBorder="1" applyAlignment="1" applyProtection="1">
      <alignment vertical="center"/>
    </xf>
    <xf numFmtId="0" fontId="42" fillId="5" borderId="14" xfId="3" applyFont="1" applyFill="1" applyBorder="1" applyAlignment="1" applyProtection="1">
      <alignment vertical="center" wrapText="1"/>
    </xf>
    <xf numFmtId="0" fontId="42" fillId="5" borderId="15" xfId="3" applyFont="1" applyFill="1" applyBorder="1" applyAlignment="1" applyProtection="1">
      <alignment vertical="center" wrapText="1"/>
    </xf>
    <xf numFmtId="0" fontId="44" fillId="5" borderId="27" xfId="3" applyFont="1" applyFill="1" applyBorder="1" applyAlignment="1" applyProtection="1">
      <alignment horizontal="left" vertical="center" wrapText="1"/>
    </xf>
    <xf numFmtId="0" fontId="42" fillId="5" borderId="29" xfId="3" applyFont="1" applyFill="1" applyBorder="1" applyAlignment="1" applyProtection="1">
      <alignment vertical="center"/>
    </xf>
    <xf numFmtId="0" fontId="42" fillId="5" borderId="30" xfId="3" applyFont="1" applyFill="1" applyBorder="1" applyAlignment="1" applyProtection="1">
      <alignment horizontal="center" vertical="center" wrapText="1"/>
    </xf>
    <xf numFmtId="0" fontId="42" fillId="5" borderId="30" xfId="3" applyFont="1" applyFill="1" applyBorder="1" applyAlignment="1" applyProtection="1">
      <alignment vertical="center" wrapText="1"/>
    </xf>
    <xf numFmtId="0" fontId="42" fillId="5" borderId="57" xfId="3" applyFont="1" applyFill="1" applyBorder="1" applyAlignment="1" applyProtection="1">
      <alignment vertical="center" wrapText="1"/>
    </xf>
    <xf numFmtId="0" fontId="167" fillId="5" borderId="10" xfId="3" applyFont="1" applyFill="1" applyBorder="1" applyAlignment="1" applyProtection="1">
      <alignment horizontal="left" vertical="center" wrapText="1"/>
    </xf>
    <xf numFmtId="0" fontId="167" fillId="5" borderId="9" xfId="3" applyFont="1" applyFill="1" applyBorder="1" applyAlignment="1" applyProtection="1">
      <alignment horizontal="center" vertical="center" wrapText="1"/>
    </xf>
    <xf numFmtId="0" fontId="51" fillId="5" borderId="21" xfId="3" applyFont="1" applyFill="1" applyBorder="1" applyAlignment="1" applyProtection="1">
      <alignment horizontal="center" vertical="center" wrapText="1"/>
    </xf>
    <xf numFmtId="0" fontId="42" fillId="0" borderId="2" xfId="3" applyFont="1" applyFill="1" applyBorder="1" applyAlignment="1" applyProtection="1">
      <alignment horizontal="center" vertical="center"/>
      <protection locked="0"/>
    </xf>
    <xf numFmtId="0" fontId="42" fillId="0" borderId="2" xfId="3" applyFont="1" applyBorder="1" applyAlignment="1" applyProtection="1">
      <alignment horizontal="center" vertical="center" wrapText="1"/>
      <protection locked="0"/>
    </xf>
    <xf numFmtId="0" fontId="42" fillId="0" borderId="2" xfId="3" applyFont="1" applyFill="1" applyBorder="1" applyAlignment="1" applyProtection="1">
      <alignment horizontal="center" vertical="center" wrapText="1"/>
      <protection locked="0"/>
    </xf>
    <xf numFmtId="0" fontId="42" fillId="0" borderId="12" xfId="3" applyFont="1" applyFill="1" applyBorder="1" applyAlignment="1" applyProtection="1">
      <alignment horizontal="center" vertical="center" wrapText="1"/>
      <protection locked="0"/>
    </xf>
    <xf numFmtId="0" fontId="167" fillId="5" borderId="21" xfId="3" applyFont="1" applyFill="1" applyBorder="1" applyAlignment="1" applyProtection="1">
      <alignment horizontal="left" vertical="center" wrapText="1"/>
    </xf>
    <xf numFmtId="0" fontId="167" fillId="6" borderId="9" xfId="3" applyFont="1" applyFill="1" applyBorder="1" applyAlignment="1" applyProtection="1">
      <alignment horizontal="center" vertical="center" wrapText="1"/>
      <protection locked="0"/>
    </xf>
    <xf numFmtId="0" fontId="167" fillId="6" borderId="2" xfId="3" applyFont="1" applyFill="1" applyBorder="1" applyAlignment="1" applyProtection="1">
      <alignment horizontal="center" vertical="center" wrapText="1"/>
      <protection locked="0"/>
    </xf>
    <xf numFmtId="0" fontId="167" fillId="6" borderId="21" xfId="3" applyFont="1" applyFill="1" applyBorder="1" applyAlignment="1" applyProtection="1">
      <alignment horizontal="center" vertical="center" wrapText="1"/>
      <protection locked="0"/>
    </xf>
    <xf numFmtId="0" fontId="56" fillId="5" borderId="17" xfId="3" applyFont="1" applyFill="1" applyBorder="1" applyAlignment="1" applyProtection="1">
      <alignment vertical="center"/>
    </xf>
    <xf numFmtId="0" fontId="42" fillId="5" borderId="0" xfId="3" applyFont="1" applyFill="1" applyBorder="1" applyAlignment="1" applyProtection="1">
      <alignment vertical="center" wrapText="1"/>
    </xf>
    <xf numFmtId="0" fontId="186" fillId="5" borderId="19" xfId="3" applyFont="1" applyFill="1" applyBorder="1" applyAlignment="1" applyProtection="1">
      <alignment vertical="center"/>
    </xf>
    <xf numFmtId="0" fontId="186" fillId="5" borderId="63" xfId="3" applyFont="1" applyFill="1" applyBorder="1" applyAlignment="1" applyProtection="1">
      <alignment vertical="center"/>
    </xf>
    <xf numFmtId="0" fontId="167" fillId="5" borderId="55" xfId="3" applyFont="1" applyFill="1" applyBorder="1" applyAlignment="1" applyProtection="1">
      <alignment horizontal="left" vertical="center" wrapText="1"/>
    </xf>
    <xf numFmtId="0" fontId="42" fillId="5" borderId="27" xfId="3" applyFont="1" applyFill="1" applyBorder="1" applyAlignment="1" applyProtection="1">
      <alignment horizontal="left" vertical="center" wrapText="1"/>
    </xf>
    <xf numFmtId="0" fontId="42" fillId="6" borderId="27" xfId="3" applyFont="1" applyFill="1" applyBorder="1" applyAlignment="1" applyProtection="1">
      <alignment horizontal="center" vertical="center" wrapText="1"/>
      <protection locked="0"/>
    </xf>
    <xf numFmtId="0" fontId="42" fillId="6" borderId="6" xfId="3" applyFont="1" applyFill="1" applyBorder="1" applyAlignment="1" applyProtection="1">
      <alignment horizontal="right" vertical="center" wrapText="1"/>
      <protection locked="0"/>
    </xf>
    <xf numFmtId="0" fontId="42" fillId="6" borderId="6" xfId="3" applyFont="1" applyFill="1" applyBorder="1" applyAlignment="1" applyProtection="1">
      <alignment horizontal="center" vertical="center" wrapText="1"/>
      <protection locked="0"/>
    </xf>
    <xf numFmtId="0" fontId="42" fillId="5" borderId="11" xfId="3" applyFont="1" applyFill="1" applyBorder="1" applyAlignment="1" applyProtection="1">
      <alignment horizontal="center" vertical="center" wrapText="1"/>
    </xf>
    <xf numFmtId="0" fontId="42" fillId="5" borderId="10" xfId="3" applyFont="1" applyFill="1" applyBorder="1" applyAlignment="1" applyProtection="1">
      <alignment horizontal="left" vertical="center"/>
    </xf>
    <xf numFmtId="0" fontId="42" fillId="5" borderId="3" xfId="3" applyFont="1" applyFill="1" applyBorder="1" applyAlignment="1" applyProtection="1">
      <alignment horizontal="center" vertical="center" wrapText="1"/>
    </xf>
    <xf numFmtId="0" fontId="42" fillId="5" borderId="10" xfId="3" applyFont="1" applyFill="1" applyBorder="1" applyAlignment="1" applyProtection="1">
      <alignment vertical="center" wrapText="1"/>
    </xf>
    <xf numFmtId="0" fontId="42" fillId="5" borderId="10" xfId="0" applyFont="1" applyFill="1" applyBorder="1" applyAlignment="1" applyProtection="1">
      <alignment horizontal="center" vertical="center" wrapText="1"/>
    </xf>
    <xf numFmtId="9" fontId="42" fillId="5" borderId="43" xfId="3" applyNumberFormat="1" applyFont="1" applyFill="1" applyBorder="1" applyAlignment="1" applyProtection="1">
      <alignment horizontal="center" vertical="center" wrapText="1"/>
    </xf>
    <xf numFmtId="0" fontId="59" fillId="5" borderId="83" xfId="3" applyFont="1" applyFill="1" applyBorder="1" applyAlignment="1" applyProtection="1">
      <alignment horizontal="left" vertical="center" wrapText="1"/>
    </xf>
    <xf numFmtId="0" fontId="60" fillId="5" borderId="38" xfId="3" applyFont="1" applyFill="1" applyBorder="1" applyAlignment="1" applyProtection="1">
      <alignment vertical="center" wrapText="1"/>
    </xf>
    <xf numFmtId="0" fontId="60"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0" fontId="60" fillId="5" borderId="83" xfId="3" applyFont="1" applyFill="1" applyBorder="1" applyAlignment="1" applyProtection="1">
      <alignment horizontal="center" vertical="center" wrapText="1"/>
    </xf>
    <xf numFmtId="0" fontId="60" fillId="6" borderId="83" xfId="3" applyFont="1" applyFill="1" applyBorder="1" applyAlignment="1" applyProtection="1">
      <alignment horizontal="center" vertical="center" wrapText="1"/>
      <protection locked="0"/>
    </xf>
    <xf numFmtId="0" fontId="42" fillId="5" borderId="7" xfId="3" applyFont="1" applyFill="1" applyBorder="1" applyAlignment="1" applyProtection="1">
      <alignment horizontal="center" vertical="center" wrapText="1"/>
    </xf>
    <xf numFmtId="10" fontId="42" fillId="0" borderId="0" xfId="3" applyNumberFormat="1" applyFont="1" applyAlignment="1" applyProtection="1">
      <alignment horizontal="center" vertical="center" wrapText="1"/>
    </xf>
    <xf numFmtId="0" fontId="60" fillId="5" borderId="11" xfId="3" applyFont="1" applyFill="1" applyBorder="1" applyAlignment="1" applyProtection="1">
      <alignment horizontal="center" vertical="center" wrapText="1"/>
    </xf>
    <xf numFmtId="0" fontId="59" fillId="5" borderId="21" xfId="3" applyFont="1" applyFill="1" applyBorder="1" applyAlignment="1" applyProtection="1">
      <alignment horizontal="center" vertical="center" wrapText="1"/>
    </xf>
    <xf numFmtId="0" fontId="59" fillId="6" borderId="21" xfId="3" applyFont="1" applyFill="1" applyBorder="1" applyAlignment="1" applyProtection="1">
      <alignment horizontal="left" vertical="center" wrapText="1"/>
      <protection locked="0"/>
    </xf>
    <xf numFmtId="0" fontId="60" fillId="5" borderId="0" xfId="3" applyFont="1" applyFill="1" applyAlignment="1" applyProtection="1">
      <alignment vertical="center" wrapText="1"/>
    </xf>
    <xf numFmtId="0" fontId="60" fillId="5" borderId="21" xfId="3" applyFont="1" applyFill="1" applyBorder="1" applyAlignment="1" applyProtection="1">
      <alignment vertical="center" wrapText="1"/>
    </xf>
    <xf numFmtId="0" fontId="60" fillId="5" borderId="2" xfId="3" applyFont="1" applyFill="1" applyBorder="1" applyAlignment="1" applyProtection="1">
      <alignment horizontal="left" vertical="center" wrapText="1"/>
    </xf>
    <xf numFmtId="0" fontId="60" fillId="5" borderId="43" xfId="3" applyFont="1" applyFill="1" applyBorder="1" applyAlignment="1" applyProtection="1">
      <alignment horizontal="center" vertical="center" wrapText="1"/>
    </xf>
    <xf numFmtId="0" fontId="59" fillId="5" borderId="53" xfId="3" applyFont="1" applyFill="1" applyBorder="1" applyAlignment="1" applyProtection="1">
      <alignment horizontal="center" vertical="center" wrapText="1"/>
    </xf>
    <xf numFmtId="0" fontId="59" fillId="5" borderId="29" xfId="3" applyFont="1" applyFill="1" applyBorder="1" applyAlignment="1" applyProtection="1">
      <alignment horizontal="left" vertical="center" wrapText="1"/>
    </xf>
    <xf numFmtId="0" fontId="44" fillId="5" borderId="30"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59" fillId="5" borderId="24" xfId="3" applyFont="1" applyFill="1" applyBorder="1" applyAlignment="1" applyProtection="1">
      <alignment horizontal="center" vertical="center" wrapText="1"/>
    </xf>
    <xf numFmtId="0" fontId="42" fillId="5" borderId="13" xfId="3" applyFont="1" applyFill="1" applyBorder="1" applyAlignment="1" applyProtection="1">
      <alignment vertical="center" wrapText="1"/>
    </xf>
    <xf numFmtId="0" fontId="44" fillId="5" borderId="0" xfId="3" applyFont="1" applyFill="1" applyBorder="1" applyAlignment="1" applyProtection="1">
      <alignment vertical="center" wrapText="1"/>
    </xf>
    <xf numFmtId="0" fontId="42" fillId="5" borderId="65" xfId="3" applyFont="1" applyFill="1" applyBorder="1" applyAlignment="1" applyProtection="1">
      <alignment vertical="center" wrapText="1"/>
    </xf>
    <xf numFmtId="0" fontId="60" fillId="5" borderId="0" xfId="3" applyFont="1" applyFill="1" applyBorder="1" applyAlignment="1" applyProtection="1">
      <alignment horizontal="left" vertical="center" wrapText="1"/>
    </xf>
    <xf numFmtId="0" fontId="42" fillId="5" borderId="68"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2" fillId="5" borderId="66" xfId="3" applyFont="1" applyFill="1" applyBorder="1" applyAlignment="1" applyProtection="1">
      <alignment vertical="center" wrapText="1"/>
    </xf>
    <xf numFmtId="0" fontId="44" fillId="5" borderId="42" xfId="3" applyFont="1" applyFill="1" applyBorder="1" applyAlignment="1" applyProtection="1">
      <alignment vertical="center" wrapText="1"/>
    </xf>
    <xf numFmtId="0" fontId="59" fillId="5" borderId="6" xfId="3" applyFont="1" applyFill="1" applyBorder="1" applyAlignment="1" applyProtection="1">
      <alignment horizontal="center" vertical="center" wrapText="1"/>
    </xf>
    <xf numFmtId="0" fontId="59" fillId="5" borderId="29" xfId="3" applyFont="1" applyFill="1" applyBorder="1" applyAlignment="1" applyProtection="1">
      <alignment horizontal="center" vertical="center" wrapText="1"/>
    </xf>
    <xf numFmtId="0" fontId="44" fillId="5" borderId="29" xfId="3" applyFont="1" applyFill="1" applyBorder="1" applyAlignment="1" applyProtection="1">
      <alignment vertical="center" wrapText="1"/>
    </xf>
    <xf numFmtId="0" fontId="42" fillId="5" borderId="24" xfId="3" applyFont="1" applyFill="1" applyBorder="1" applyAlignment="1" applyProtection="1">
      <alignment horizontal="center" vertical="center" wrapText="1"/>
    </xf>
    <xf numFmtId="0" fontId="42" fillId="5" borderId="9" xfId="3" applyFont="1" applyFill="1" applyBorder="1" applyAlignment="1" applyProtection="1">
      <alignment horizontal="left" vertical="center" wrapText="1"/>
    </xf>
    <xf numFmtId="0" fontId="42" fillId="0" borderId="2" xfId="3" applyFont="1" applyBorder="1" applyAlignment="1" applyProtection="1">
      <alignment vertical="center" wrapText="1"/>
      <protection locked="0"/>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16" xfId="3" applyFont="1" applyFill="1" applyBorder="1" applyAlignment="1" applyProtection="1">
      <alignment vertical="center"/>
    </xf>
    <xf numFmtId="0" fontId="44" fillId="5" borderId="23" xfId="3" applyFont="1" applyFill="1" applyBorder="1" applyAlignment="1" applyProtection="1">
      <alignment vertical="center" wrapText="1"/>
    </xf>
    <xf numFmtId="0" fontId="42" fillId="5" borderId="47" xfId="3" applyFont="1" applyFill="1" applyBorder="1" applyAlignment="1" applyProtection="1">
      <alignment horizontal="left" vertical="center" wrapText="1"/>
    </xf>
    <xf numFmtId="0" fontId="42" fillId="0" borderId="44" xfId="3" applyFont="1" applyBorder="1" applyAlignment="1" applyProtection="1">
      <alignment vertical="center" wrapText="1"/>
      <protection locked="0"/>
    </xf>
    <xf numFmtId="0" fontId="42" fillId="5" borderId="44" xfId="3" applyFont="1" applyFill="1" applyBorder="1" applyAlignment="1" applyProtection="1">
      <alignment vertical="center"/>
    </xf>
    <xf numFmtId="0" fontId="42" fillId="5" borderId="56" xfId="3" applyFont="1" applyFill="1" applyBorder="1" applyAlignment="1" applyProtection="1">
      <alignment vertical="center" wrapText="1"/>
    </xf>
    <xf numFmtId="0" fontId="42" fillId="5" borderId="48" xfId="3" applyFont="1" applyFill="1" applyBorder="1" applyAlignment="1" applyProtection="1">
      <alignment vertical="center" wrapText="1"/>
    </xf>
    <xf numFmtId="0" fontId="44" fillId="5" borderId="53" xfId="3" applyFont="1" applyFill="1" applyBorder="1" applyAlignment="1" applyProtection="1">
      <alignment vertical="center" wrapText="1"/>
    </xf>
    <xf numFmtId="0" fontId="44" fillId="5" borderId="58" xfId="3" applyFont="1" applyFill="1" applyBorder="1" applyAlignment="1" applyProtection="1">
      <alignment horizontal="left" vertical="center" wrapText="1"/>
    </xf>
    <xf numFmtId="0" fontId="42" fillId="5" borderId="30" xfId="3" applyFont="1" applyFill="1" applyBorder="1" applyAlignment="1" applyProtection="1">
      <alignment vertical="center"/>
    </xf>
    <xf numFmtId="0" fontId="42" fillId="5" borderId="42" xfId="3" applyFont="1" applyFill="1" applyBorder="1" applyAlignment="1" applyProtection="1">
      <alignment vertical="center"/>
    </xf>
    <xf numFmtId="0" fontId="44" fillId="5" borderId="20" xfId="3" applyFont="1" applyFill="1" applyBorder="1" applyAlignment="1" applyProtection="1">
      <alignment vertical="center" wrapText="1"/>
    </xf>
    <xf numFmtId="0" fontId="59" fillId="5" borderId="9" xfId="3" applyFont="1" applyFill="1" applyBorder="1" applyAlignment="1" applyProtection="1">
      <alignment horizontal="center" vertical="center" wrapText="1"/>
    </xf>
    <xf numFmtId="0" fontId="59" fillId="5" borderId="2" xfId="3" applyFont="1" applyFill="1" applyBorder="1" applyAlignment="1" applyProtection="1">
      <alignment horizontal="center" vertical="center" wrapText="1"/>
    </xf>
    <xf numFmtId="0" fontId="42" fillId="5" borderId="2" xfId="3" applyFont="1" applyFill="1" applyBorder="1" applyAlignment="1" applyProtection="1">
      <alignment vertical="center" wrapText="1"/>
    </xf>
    <xf numFmtId="0" fontId="42" fillId="5" borderId="51" xfId="3" applyFont="1" applyFill="1" applyBorder="1" applyAlignment="1" applyProtection="1">
      <alignment vertical="center"/>
    </xf>
    <xf numFmtId="0" fontId="44" fillId="5" borderId="24" xfId="3" applyFont="1" applyFill="1" applyBorder="1" applyAlignment="1" applyProtection="1">
      <alignment vertical="center" wrapText="1"/>
    </xf>
    <xf numFmtId="0" fontId="167" fillId="5" borderId="20" xfId="3" applyFont="1" applyFill="1" applyBorder="1" applyAlignment="1" applyProtection="1">
      <alignment horizontal="center" vertical="center" wrapText="1"/>
    </xf>
    <xf numFmtId="0" fontId="42" fillId="5" borderId="65" xfId="3" applyFont="1" applyFill="1" applyBorder="1" applyAlignment="1" applyProtection="1">
      <alignment horizontal="center" vertical="center" wrapText="1"/>
    </xf>
    <xf numFmtId="0" fontId="167" fillId="5" borderId="47" xfId="3" applyFont="1" applyFill="1" applyBorder="1" applyAlignment="1" applyProtection="1">
      <alignment horizontal="center" vertical="center" wrapText="1"/>
    </xf>
    <xf numFmtId="0" fontId="42" fillId="5" borderId="66" xfId="3" applyFont="1" applyFill="1" applyBorder="1" applyAlignment="1" applyProtection="1">
      <alignment horizontal="center" vertical="center" wrapText="1"/>
    </xf>
    <xf numFmtId="0" fontId="42" fillId="0" borderId="0" xfId="3" applyFont="1" applyAlignment="1" applyProtection="1">
      <alignment horizontal="left" vertical="center" wrapText="1"/>
    </xf>
    <xf numFmtId="0" fontId="88" fillId="6" borderId="2" xfId="3" applyFont="1" applyFill="1" applyBorder="1" applyAlignment="1" applyProtection="1">
      <alignment horizontal="center" vertical="center" wrapText="1"/>
      <protection locked="0"/>
    </xf>
    <xf numFmtId="0" fontId="88" fillId="5" borderId="0" xfId="3" applyFont="1" applyFill="1" applyAlignment="1" applyProtection="1">
      <alignment vertical="center" wrapText="1"/>
    </xf>
    <xf numFmtId="185" fontId="88" fillId="5" borderId="3" xfId="3" applyNumberFormat="1" applyFont="1" applyFill="1" applyBorder="1" applyAlignment="1" applyProtection="1">
      <alignment horizontal="center" vertical="center" wrapText="1"/>
    </xf>
    <xf numFmtId="185" fontId="88" fillId="5" borderId="13" xfId="3" applyNumberFormat="1" applyFont="1" applyFill="1" applyBorder="1" applyAlignment="1" applyProtection="1">
      <alignment horizontal="center" vertical="center" wrapText="1"/>
    </xf>
    <xf numFmtId="0" fontId="88" fillId="5" borderId="9" xfId="3" applyFont="1" applyFill="1" applyBorder="1" applyAlignment="1" applyProtection="1">
      <alignment vertical="center" wrapText="1"/>
    </xf>
    <xf numFmtId="0" fontId="86" fillId="5" borderId="2" xfId="3" applyFont="1" applyFill="1" applyBorder="1" applyAlignment="1" applyProtection="1">
      <alignment vertical="center" wrapText="1"/>
    </xf>
    <xf numFmtId="0" fontId="88" fillId="5" borderId="14" xfId="3" applyFont="1" applyFill="1" applyBorder="1" applyAlignment="1" applyProtection="1">
      <alignment vertical="center"/>
    </xf>
    <xf numFmtId="0" fontId="86" fillId="5" borderId="10" xfId="3" applyFont="1" applyFill="1" applyBorder="1" applyAlignment="1" applyProtection="1">
      <alignment vertical="center" wrapText="1"/>
    </xf>
    <xf numFmtId="0" fontId="88" fillId="0" borderId="2" xfId="3" applyFont="1" applyBorder="1" applyAlignment="1" applyProtection="1">
      <alignment vertical="center" wrapText="1"/>
      <protection locked="0"/>
    </xf>
    <xf numFmtId="0" fontId="88" fillId="0" borderId="44" xfId="3" applyFont="1" applyBorder="1" applyAlignment="1" applyProtection="1">
      <alignment vertical="center" wrapText="1"/>
      <protection locked="0"/>
    </xf>
    <xf numFmtId="9" fontId="88" fillId="5" borderId="12" xfId="3" applyNumberFormat="1" applyFont="1" applyFill="1" applyBorder="1" applyAlignment="1" applyProtection="1">
      <alignment horizontal="center" vertical="center" wrapText="1"/>
    </xf>
    <xf numFmtId="10" fontId="88" fillId="5" borderId="44" xfId="3" applyNumberFormat="1" applyFont="1" applyFill="1" applyBorder="1" applyAlignment="1" applyProtection="1">
      <alignment horizontal="center" vertical="center" wrapText="1"/>
    </xf>
    <xf numFmtId="10" fontId="88" fillId="5" borderId="46" xfId="3" applyNumberFormat="1" applyFont="1" applyFill="1" applyBorder="1" applyAlignment="1" applyProtection="1">
      <alignment horizontal="center" vertical="center" wrapText="1"/>
    </xf>
    <xf numFmtId="10" fontId="86" fillId="0" borderId="9" xfId="3" applyNumberFormat="1" applyFont="1" applyFill="1" applyBorder="1" applyAlignment="1" applyProtection="1">
      <alignment horizontal="center" vertical="center" wrapText="1"/>
      <protection locked="0"/>
    </xf>
    <xf numFmtId="10" fontId="86" fillId="0" borderId="47" xfId="3" applyNumberFormat="1" applyFont="1" applyFill="1" applyBorder="1" applyAlignment="1" applyProtection="1">
      <alignment horizontal="center" vertical="center" wrapText="1"/>
      <protection locked="0"/>
    </xf>
    <xf numFmtId="0" fontId="88" fillId="5" borderId="26" xfId="3" applyFont="1" applyFill="1" applyBorder="1" applyAlignment="1" applyProtection="1">
      <alignment vertical="center"/>
    </xf>
    <xf numFmtId="0" fontId="88" fillId="5" borderId="39" xfId="3" applyFont="1" applyFill="1" applyBorder="1" applyAlignment="1" applyProtection="1">
      <alignment vertical="center" wrapText="1"/>
    </xf>
    <xf numFmtId="0" fontId="88" fillId="5" borderId="11" xfId="3" applyFont="1" applyFill="1" applyBorder="1" applyAlignment="1" applyProtection="1">
      <alignment vertical="center"/>
    </xf>
    <xf numFmtId="9" fontId="88" fillId="5" borderId="12" xfId="3" applyNumberFormat="1" applyFont="1" applyFill="1" applyBorder="1" applyAlignment="1" applyProtection="1">
      <alignment horizontal="center" vertical="center"/>
    </xf>
    <xf numFmtId="0" fontId="88" fillId="5" borderId="43" xfId="3" applyFont="1" applyFill="1" applyBorder="1" applyAlignment="1" applyProtection="1">
      <alignment vertical="center" wrapText="1"/>
    </xf>
    <xf numFmtId="9" fontId="88" fillId="5" borderId="46" xfId="3" applyNumberFormat="1"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protection locked="0"/>
    </xf>
    <xf numFmtId="0" fontId="169" fillId="5" borderId="0" xfId="0" applyFont="1" applyFill="1" applyAlignment="1" applyProtection="1">
      <alignment horizontal="center" vertical="center"/>
      <protection locked="0"/>
    </xf>
    <xf numFmtId="0" fontId="54" fillId="5" borderId="0" xfId="0" applyFont="1" applyFill="1" applyBorder="1" applyAlignment="1" applyProtection="1">
      <alignment horizontal="center" vertical="center"/>
      <protection locked="0"/>
    </xf>
    <xf numFmtId="0" fontId="151" fillId="5" borderId="0" xfId="0" applyFont="1" applyFill="1" applyBorder="1" applyAlignment="1" applyProtection="1">
      <alignment horizontal="center" vertical="center"/>
      <protection locked="0"/>
    </xf>
    <xf numFmtId="0" fontId="161"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154" fillId="0" borderId="2" xfId="0" applyFont="1" applyFill="1" applyBorder="1" applyAlignment="1" applyProtection="1">
      <alignment horizontal="center" vertical="center"/>
      <protection locked="0"/>
    </xf>
    <xf numFmtId="0" fontId="86"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9" fillId="5" borderId="0" xfId="0" applyFont="1" applyFill="1" applyAlignment="1" applyProtection="1">
      <alignment horizontal="left" vertical="center"/>
    </xf>
    <xf numFmtId="181" fontId="103" fillId="5" borderId="14" xfId="0" applyNumberFormat="1" applyFont="1" applyFill="1" applyBorder="1" applyAlignment="1" applyProtection="1">
      <alignment vertical="center"/>
    </xf>
    <xf numFmtId="0" fontId="103" fillId="5" borderId="14"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103" fillId="5" borderId="19"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186" fontId="73" fillId="5" borderId="5" xfId="0" applyNumberFormat="1" applyFont="1" applyFill="1" applyBorder="1" applyAlignment="1" applyProtection="1">
      <alignment horizontal="center" vertical="center"/>
    </xf>
    <xf numFmtId="49" fontId="73" fillId="5" borderId="9" xfId="0" applyNumberFormat="1"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186" fontId="86" fillId="5" borderId="5" xfId="0" applyNumberFormat="1" applyFont="1" applyFill="1" applyBorder="1" applyAlignment="1" applyProtection="1">
      <alignment horizontal="center" vertical="center"/>
    </xf>
    <xf numFmtId="49" fontId="86" fillId="5" borderId="9"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186"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6" fillId="5" borderId="21" xfId="0" applyFont="1" applyFill="1" applyBorder="1" applyAlignment="1" applyProtection="1">
      <alignment vertical="center" textRotation="255" wrapText="1"/>
    </xf>
    <xf numFmtId="181" fontId="86" fillId="5" borderId="0" xfId="0" applyNumberFormat="1" applyFont="1" applyFill="1" applyBorder="1" applyAlignment="1" applyProtection="1"/>
    <xf numFmtId="0" fontId="86" fillId="5" borderId="0" xfId="0" applyFont="1" applyFill="1" applyBorder="1" applyAlignment="1" applyProtection="1"/>
    <xf numFmtId="0" fontId="112" fillId="5" borderId="0" xfId="0" applyFont="1" applyFill="1" applyBorder="1" applyAlignment="1" applyProtection="1"/>
    <xf numFmtId="0" fontId="86" fillId="5" borderId="0" xfId="0" applyFont="1" applyFill="1" applyBorder="1" applyAlignment="1" applyProtection="1">
      <alignment horizontal="center"/>
    </xf>
    <xf numFmtId="187" fontId="86" fillId="5" borderId="0" xfId="0" applyNumberFormat="1" applyFont="1" applyFill="1" applyBorder="1" applyAlignment="1" applyProtection="1">
      <alignment horizontal="center"/>
    </xf>
    <xf numFmtId="0" fontId="86" fillId="8" borderId="0" xfId="0" applyFont="1" applyFill="1" applyAlignment="1" applyProtection="1">
      <alignment horizontal="center" vertical="center"/>
    </xf>
    <xf numFmtId="187" fontId="86" fillId="8" borderId="0" xfId="0" applyNumberFormat="1" applyFont="1" applyFill="1" applyAlignment="1" applyProtection="1">
      <alignment horizontal="center" vertical="center"/>
    </xf>
    <xf numFmtId="181" fontId="86" fillId="8" borderId="0" xfId="0" applyNumberFormat="1" applyFont="1" applyFill="1" applyAlignment="1" applyProtection="1">
      <alignment horizontal="center" vertical="center"/>
    </xf>
    <xf numFmtId="177" fontId="99" fillId="5" borderId="0" xfId="0" applyNumberFormat="1" applyFont="1" applyFill="1" applyBorder="1" applyAlignment="1" applyProtection="1"/>
    <xf numFmtId="49" fontId="99" fillId="5" borderId="0" xfId="0" applyNumberFormat="1" applyFont="1" applyFill="1" applyBorder="1" applyAlignment="1" applyProtection="1">
      <alignment horizontal="left"/>
    </xf>
    <xf numFmtId="0" fontId="108" fillId="5" borderId="0" xfId="0" applyFont="1" applyFill="1" applyAlignment="1" applyProtection="1">
      <alignment vertical="center"/>
    </xf>
    <xf numFmtId="0" fontId="118" fillId="5" borderId="0" xfId="0" applyFont="1" applyFill="1" applyAlignment="1" applyProtection="1">
      <alignment vertical="center"/>
    </xf>
    <xf numFmtId="0" fontId="60" fillId="5" borderId="0" xfId="3" applyFont="1" applyFill="1" applyAlignment="1" applyProtection="1">
      <alignment vertical="center"/>
    </xf>
    <xf numFmtId="0" fontId="42" fillId="5" borderId="0" xfId="3" applyFont="1" applyFill="1" applyAlignment="1" applyProtection="1">
      <alignment vertical="center"/>
    </xf>
    <xf numFmtId="0" fontId="88" fillId="5" borderId="0" xfId="3" applyFont="1" applyFill="1" applyAlignment="1" applyProtection="1">
      <alignment horizontal="center" vertical="center" wrapText="1"/>
    </xf>
    <xf numFmtId="10" fontId="88" fillId="5" borderId="0" xfId="3" applyNumberFormat="1" applyFont="1" applyFill="1" applyAlignment="1" applyProtection="1">
      <alignment horizontal="center" vertical="center" wrapText="1"/>
    </xf>
    <xf numFmtId="0" fontId="42" fillId="5" borderId="1" xfId="3" applyFont="1" applyFill="1" applyBorder="1" applyAlignment="1" applyProtection="1">
      <alignment horizontal="center" vertical="center" wrapText="1"/>
    </xf>
    <xf numFmtId="0" fontId="147" fillId="5" borderId="0" xfId="3" applyFill="1" applyAlignment="1" applyProtection="1">
      <alignment vertical="center"/>
    </xf>
    <xf numFmtId="0" fontId="166" fillId="5" borderId="14" xfId="3" applyFont="1" applyFill="1" applyBorder="1" applyAlignment="1" applyProtection="1">
      <alignment vertical="center"/>
    </xf>
    <xf numFmtId="0" fontId="104" fillId="5" borderId="14" xfId="0" applyFont="1" applyFill="1" applyBorder="1" applyAlignment="1" applyProtection="1">
      <alignment vertical="center"/>
    </xf>
    <xf numFmtId="0" fontId="99" fillId="5" borderId="0" xfId="0" applyFont="1" applyFill="1" applyBorder="1" applyAlignment="1" applyProtection="1">
      <alignment horizontal="center" vertical="center"/>
    </xf>
    <xf numFmtId="0" fontId="108" fillId="5" borderId="0"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82" fillId="5" borderId="2" xfId="0" applyFont="1" applyFill="1" applyBorder="1" applyAlignment="1" applyProtection="1">
      <alignment horizontal="center" vertical="center" wrapText="1"/>
    </xf>
    <xf numFmtId="187" fontId="86" fillId="5" borderId="16" xfId="0" applyNumberFormat="1" applyFont="1" applyFill="1" applyBorder="1" applyAlignment="1" applyProtection="1">
      <alignment horizontal="center" vertical="center"/>
    </xf>
    <xf numFmtId="187" fontId="86" fillId="5" borderId="16" xfId="0" applyNumberFormat="1" applyFont="1" applyFill="1" applyBorder="1" applyAlignment="1" applyProtection="1">
      <alignment horizontal="center" vertical="center" wrapText="1"/>
    </xf>
    <xf numFmtId="187" fontId="86" fillId="5" borderId="46"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xf>
    <xf numFmtId="0" fontId="86" fillId="0" borderId="72" xfId="0" applyNumberFormat="1" applyFont="1" applyFill="1" applyBorder="1" applyAlignment="1" applyProtection="1">
      <alignment horizontal="center" vertical="center" wrapText="1"/>
    </xf>
    <xf numFmtId="187" fontId="86" fillId="5" borderId="9" xfId="0" applyNumberFormat="1" applyFont="1" applyFill="1" applyBorder="1" applyAlignment="1" applyProtection="1">
      <alignment horizontal="center" vertical="center"/>
    </xf>
    <xf numFmtId="187" fontId="86" fillId="5" borderId="9" xfId="0" applyNumberFormat="1" applyFont="1" applyFill="1" applyBorder="1" applyAlignment="1" applyProtection="1">
      <alignment horizontal="center" vertical="center" wrapText="1"/>
    </xf>
    <xf numFmtId="187" fontId="86" fillId="5" borderId="2"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wrapText="1"/>
    </xf>
    <xf numFmtId="0" fontId="119" fillId="0" borderId="0" xfId="0" applyFont="1" applyProtection="1">
      <alignment vertical="center"/>
    </xf>
    <xf numFmtId="0" fontId="78" fillId="0" borderId="0" xfId="0" applyNumberFormat="1" applyFont="1" applyAlignment="1" applyProtection="1">
      <alignment horizontal="center" vertical="center"/>
    </xf>
    <xf numFmtId="49" fontId="136" fillId="5" borderId="11" xfId="0" applyNumberFormat="1" applyFont="1" applyFill="1" applyBorder="1" applyAlignment="1" applyProtection="1">
      <alignment vertical="center" wrapText="1"/>
    </xf>
    <xf numFmtId="49" fontId="136" fillId="5" borderId="43" xfId="0" applyNumberFormat="1" applyFont="1" applyFill="1" applyBorder="1" applyAlignment="1" applyProtection="1">
      <alignment vertical="center" wrapText="1"/>
    </xf>
    <xf numFmtId="49" fontId="84" fillId="5" borderId="11" xfId="0" applyNumberFormat="1" applyFont="1" applyFill="1" applyBorder="1" applyAlignment="1" applyProtection="1">
      <alignment vertical="center" wrapText="1"/>
    </xf>
    <xf numFmtId="0" fontId="72" fillId="5" borderId="87" xfId="0" applyFont="1" applyFill="1" applyBorder="1" applyAlignment="1" applyProtection="1"/>
    <xf numFmtId="0" fontId="72" fillId="5" borderId="19" xfId="0" applyFont="1" applyFill="1" applyBorder="1" applyAlignment="1" applyProtection="1"/>
    <xf numFmtId="0" fontId="72" fillId="5" borderId="63" xfId="0" applyFont="1" applyFill="1" applyBorder="1" applyAlignment="1" applyProtection="1"/>
    <xf numFmtId="184" fontId="77" fillId="5" borderId="29" xfId="0" applyNumberFormat="1" applyFont="1" applyFill="1" applyBorder="1" applyAlignment="1" applyProtection="1">
      <alignment horizontal="center"/>
    </xf>
    <xf numFmtId="0" fontId="78" fillId="5" borderId="45" xfId="0" applyFont="1" applyFill="1" applyBorder="1" applyAlignment="1" applyProtection="1"/>
    <xf numFmtId="184" fontId="154" fillId="0" borderId="44" xfId="0" applyNumberFormat="1" applyFont="1" applyFill="1" applyBorder="1" applyAlignment="1" applyProtection="1">
      <alignment horizontal="center"/>
      <protection locked="0"/>
    </xf>
    <xf numFmtId="184" fontId="78" fillId="0" borderId="44" xfId="0" applyNumberFormat="1" applyFont="1" applyFill="1" applyBorder="1" applyAlignment="1" applyProtection="1">
      <alignment horizontal="center"/>
      <protection locked="0"/>
    </xf>
    <xf numFmtId="184" fontId="78" fillId="0" borderId="46" xfId="0" applyNumberFormat="1" applyFont="1" applyFill="1" applyBorder="1" applyAlignment="1" applyProtection="1">
      <alignment horizontal="center"/>
      <protection locked="0"/>
    </xf>
    <xf numFmtId="177" fontId="78" fillId="5" borderId="44" xfId="0" applyNumberFormat="1" applyFont="1" applyFill="1" applyBorder="1" applyAlignment="1" applyProtection="1">
      <alignment horizontal="center" vertical="center" wrapText="1"/>
    </xf>
    <xf numFmtId="185" fontId="78" fillId="5" borderId="44" xfId="0" applyNumberFormat="1" applyFont="1" applyFill="1" applyBorder="1" applyAlignment="1" applyProtection="1">
      <alignment horizontal="center" vertical="center"/>
    </xf>
    <xf numFmtId="10" fontId="78" fillId="5" borderId="44" xfId="0" applyNumberFormat="1" applyFont="1" applyFill="1" applyBorder="1" applyAlignment="1" applyProtection="1">
      <alignment horizontal="center" vertical="center" wrapText="1"/>
    </xf>
    <xf numFmtId="49" fontId="78" fillId="5" borderId="11" xfId="0" applyNumberFormat="1" applyFont="1" applyFill="1" applyBorder="1" applyAlignment="1" applyProtection="1">
      <alignment horizontal="left"/>
    </xf>
    <xf numFmtId="49" fontId="78" fillId="5" borderId="43" xfId="0"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7" fillId="5" borderId="11" xfId="0" applyNumberFormat="1" applyFont="1" applyFill="1" applyBorder="1" applyAlignment="1" applyProtection="1">
      <alignment horizontal="left" vertical="center" wrapText="1"/>
    </xf>
    <xf numFmtId="49" fontId="78" fillId="5" borderId="43" xfId="0" applyNumberFormat="1" applyFont="1" applyFill="1" applyBorder="1" applyAlignment="1" applyProtection="1">
      <alignment horizontal="left" vertical="center" wrapText="1"/>
    </xf>
    <xf numFmtId="49" fontId="135" fillId="5" borderId="11" xfId="2" applyNumberFormat="1" applyFont="1" applyFill="1" applyBorder="1" applyAlignment="1" applyProtection="1">
      <alignment horizontal="left"/>
    </xf>
    <xf numFmtId="49" fontId="137" fillId="5" borderId="10" xfId="0" applyNumberFormat="1" applyFont="1" applyFill="1" applyBorder="1" applyAlignment="1" applyProtection="1">
      <alignment horizontal="left" vertical="center" wrapText="1"/>
    </xf>
    <xf numFmtId="49" fontId="138" fillId="5" borderId="33" xfId="0" applyNumberFormat="1" applyFont="1" applyFill="1" applyBorder="1" applyAlignment="1" applyProtection="1">
      <alignment horizontal="center" vertical="center" wrapText="1"/>
    </xf>
    <xf numFmtId="49" fontId="137" fillId="5" borderId="33" xfId="0" applyNumberFormat="1" applyFont="1" applyFill="1" applyBorder="1" applyAlignment="1" applyProtection="1">
      <alignment horizontal="left" vertical="center" wrapText="1"/>
    </xf>
    <xf numFmtId="49" fontId="137" fillId="5" borderId="53" xfId="0" applyNumberFormat="1" applyFont="1" applyFill="1" applyBorder="1" applyAlignment="1" applyProtection="1">
      <alignment horizontal="left" vertical="center" wrapText="1"/>
    </xf>
    <xf numFmtId="49" fontId="137"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9" fillId="5" borderId="2" xfId="2" applyNumberFormat="1" applyFont="1" applyFill="1" applyBorder="1" applyAlignment="1" applyProtection="1">
      <alignment vertical="center"/>
    </xf>
    <xf numFmtId="49" fontId="59" fillId="5" borderId="2" xfId="2" applyNumberFormat="1" applyFont="1" applyFill="1" applyBorder="1" applyAlignment="1" applyProtection="1">
      <alignment vertical="center"/>
    </xf>
    <xf numFmtId="49" fontId="85" fillId="5" borderId="3" xfId="0" applyNumberFormat="1" applyFont="1" applyFill="1" applyBorder="1" applyAlignment="1" applyProtection="1">
      <alignment vertical="center"/>
    </xf>
    <xf numFmtId="49" fontId="99" fillId="5" borderId="0" xfId="2" applyNumberFormat="1" applyFont="1" applyFill="1" applyBorder="1" applyAlignment="1" applyProtection="1">
      <alignment vertical="center"/>
    </xf>
    <xf numFmtId="49" fontId="78" fillId="5" borderId="11" xfId="0" applyNumberFormat="1" applyFont="1" applyFill="1" applyBorder="1" applyAlignment="1" applyProtection="1">
      <alignment horizontal="right" vertical="center"/>
    </xf>
    <xf numFmtId="49" fontId="78" fillId="5" borderId="11"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center" vertical="center"/>
    </xf>
    <xf numFmtId="49" fontId="78" fillId="5" borderId="22" xfId="0" applyNumberFormat="1" applyFont="1" applyFill="1" applyBorder="1" applyAlignment="1" applyProtection="1">
      <alignment horizontal="right" vertical="center"/>
    </xf>
    <xf numFmtId="0" fontId="42" fillId="5" borderId="2" xfId="3" applyNumberFormat="1" applyFont="1" applyFill="1" applyBorder="1" applyAlignment="1" applyProtection="1">
      <alignment horizontal="center" vertical="center" wrapText="1"/>
    </xf>
    <xf numFmtId="0" fontId="88" fillId="5" borderId="2" xfId="3" applyNumberFormat="1" applyFont="1" applyFill="1" applyBorder="1" applyAlignment="1" applyProtection="1">
      <alignment horizontal="center" vertical="center" wrapText="1"/>
    </xf>
    <xf numFmtId="0" fontId="187" fillId="0" borderId="0" xfId="7" applyFont="1">
      <alignment vertical="center"/>
    </xf>
    <xf numFmtId="0" fontId="147" fillId="0" borderId="0" xfId="7">
      <alignment vertical="center"/>
    </xf>
    <xf numFmtId="0" fontId="187" fillId="0" borderId="0" xfId="7" applyFont="1" applyAlignment="1">
      <alignment vertical="top" wrapText="1"/>
    </xf>
    <xf numFmtId="14" fontId="188" fillId="0" borderId="0" xfId="7" applyNumberFormat="1" applyFont="1" applyAlignment="1">
      <alignment horizontal="left" vertical="center"/>
    </xf>
    <xf numFmtId="0" fontId="80" fillId="5" borderId="33"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2" xfId="0" applyFont="1" applyFill="1" applyBorder="1" applyAlignment="1" applyProtection="1">
      <alignment horizontal="left" vertical="center"/>
    </xf>
    <xf numFmtId="14" fontId="80" fillId="0" borderId="10" xfId="0" applyNumberFormat="1" applyFont="1" applyFill="1" applyBorder="1" applyAlignment="1" applyProtection="1">
      <alignment horizontal="left" vertical="center"/>
      <protection locked="0"/>
    </xf>
    <xf numFmtId="0" fontId="80" fillId="5" borderId="10" xfId="0" applyFont="1" applyFill="1" applyBorder="1" applyAlignment="1" applyProtection="1">
      <alignment vertical="center" wrapText="1"/>
    </xf>
    <xf numFmtId="0" fontId="80" fillId="5" borderId="71" xfId="0" applyFont="1" applyFill="1" applyBorder="1" applyAlignment="1" applyProtection="1">
      <alignment horizontal="left" vertical="center"/>
    </xf>
    <xf numFmtId="0" fontId="80" fillId="5" borderId="17" xfId="0" applyFont="1" applyFill="1" applyBorder="1" applyAlignment="1" applyProtection="1">
      <alignment vertical="center" wrapText="1"/>
    </xf>
    <xf numFmtId="0" fontId="80" fillId="8" borderId="19" xfId="0" applyFont="1" applyFill="1" applyBorder="1" applyAlignment="1" applyProtection="1">
      <alignment vertical="center" wrapText="1"/>
    </xf>
    <xf numFmtId="0" fontId="80" fillId="8" borderId="20" xfId="0" applyFont="1" applyFill="1" applyBorder="1" applyAlignment="1" applyProtection="1">
      <alignment vertical="center" wrapText="1"/>
    </xf>
    <xf numFmtId="0" fontId="80" fillId="8" borderId="32" xfId="0" applyFont="1" applyFill="1" applyBorder="1" applyAlignment="1" applyProtection="1">
      <alignment vertical="center" wrapText="1"/>
    </xf>
    <xf numFmtId="0" fontId="80" fillId="5" borderId="4" xfId="0" applyFont="1" applyFill="1" applyBorder="1" applyAlignment="1" applyProtection="1">
      <alignment vertical="center" wrapText="1"/>
    </xf>
    <xf numFmtId="0" fontId="80" fillId="6" borderId="5" xfId="0" applyFont="1" applyFill="1" applyBorder="1" applyAlignment="1" applyProtection="1">
      <alignment horizontal="left" vertical="center" wrapText="1"/>
      <protection locked="0"/>
    </xf>
    <xf numFmtId="0" fontId="80" fillId="6" borderId="8"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5" borderId="84" xfId="0" applyFont="1" applyFill="1" applyBorder="1" applyAlignment="1" applyProtection="1">
      <alignment vertical="center" wrapText="1"/>
    </xf>
    <xf numFmtId="0" fontId="80" fillId="6" borderId="84" xfId="0" applyFont="1" applyFill="1" applyBorder="1" applyAlignment="1" applyProtection="1">
      <alignment horizontal="left" vertical="center"/>
      <protection locked="0"/>
    </xf>
    <xf numFmtId="0" fontId="80" fillId="6" borderId="85" xfId="0" applyFont="1" applyFill="1" applyBorder="1" applyAlignment="1" applyProtection="1">
      <alignment vertical="center" wrapText="1"/>
    </xf>
    <xf numFmtId="0" fontId="80" fillId="8" borderId="19" xfId="0" applyFont="1" applyFill="1" applyBorder="1" applyAlignment="1" applyProtection="1">
      <alignment vertical="center" wrapText="1"/>
      <protection locked="0"/>
    </xf>
    <xf numFmtId="49" fontId="80" fillId="5" borderId="21" xfId="0" applyNumberFormat="1" applyFont="1" applyFill="1" applyBorder="1" applyAlignment="1" applyProtection="1">
      <alignment horizontal="left" vertical="center" wrapText="1"/>
    </xf>
    <xf numFmtId="49" fontId="189" fillId="0" borderId="17" xfId="0" applyNumberFormat="1" applyFont="1" applyFill="1" applyBorder="1" applyAlignment="1" applyProtection="1">
      <alignment horizontal="left" vertical="center"/>
      <protection locked="0"/>
    </xf>
    <xf numFmtId="0" fontId="80" fillId="8" borderId="8" xfId="0" applyFont="1" applyFill="1" applyBorder="1" applyAlignment="1" applyProtection="1">
      <alignment vertical="center" wrapText="1"/>
      <protection locked="0"/>
    </xf>
    <xf numFmtId="49" fontId="80" fillId="5" borderId="10" xfId="0" applyNumberFormat="1" applyFont="1" applyFill="1" applyBorder="1" applyAlignment="1" applyProtection="1">
      <alignment horizontal="left" vertical="center" wrapText="1"/>
    </xf>
    <xf numFmtId="0" fontId="80" fillId="6" borderId="10" xfId="0" applyFont="1" applyFill="1" applyBorder="1" applyAlignment="1" applyProtection="1">
      <alignment horizontal="center" vertical="center" wrapText="1"/>
      <protection locked="0"/>
    </xf>
    <xf numFmtId="0" fontId="80" fillId="2" borderId="3" xfId="0" applyFont="1" applyFill="1" applyBorder="1" applyAlignment="1" applyProtection="1">
      <alignment horizontal="left" vertical="center" wrapText="1"/>
    </xf>
    <xf numFmtId="0" fontId="80" fillId="5" borderId="19" xfId="0" applyFont="1" applyFill="1" applyBorder="1" applyAlignment="1" applyProtection="1">
      <alignment vertical="center" wrapText="1"/>
    </xf>
    <xf numFmtId="177" fontId="80" fillId="6" borderId="2" xfId="2" applyNumberFormat="1" applyFont="1" applyFill="1" applyBorder="1" applyAlignment="1" applyProtection="1">
      <alignment horizontal="center" vertical="center"/>
      <protection locked="0"/>
    </xf>
    <xf numFmtId="179" fontId="80" fillId="5" borderId="2" xfId="0" applyNumberFormat="1"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80" fillId="5" borderId="65" xfId="0" applyFont="1" applyFill="1" applyBorder="1" applyAlignment="1" applyProtection="1">
      <alignment vertical="center" wrapText="1"/>
    </xf>
    <xf numFmtId="0" fontId="80" fillId="5" borderId="88" xfId="0" applyFont="1" applyFill="1" applyBorder="1" applyAlignment="1" applyProtection="1">
      <alignment vertical="center" wrapText="1"/>
    </xf>
    <xf numFmtId="0" fontId="142" fillId="6" borderId="2" xfId="0" applyFont="1" applyFill="1" applyBorder="1" applyAlignment="1" applyProtection="1">
      <alignment horizontal="center" vertical="center" wrapText="1"/>
      <protection locked="0"/>
    </xf>
    <xf numFmtId="0" fontId="80" fillId="0" borderId="0" xfId="0" applyFont="1" applyAlignment="1" applyProtection="1">
      <alignment vertical="center" wrapText="1"/>
    </xf>
    <xf numFmtId="49" fontId="80" fillId="0" borderId="0" xfId="0" applyNumberFormat="1" applyFont="1" applyAlignment="1" applyProtection="1">
      <alignment horizontal="center" vertical="center" wrapText="1"/>
    </xf>
    <xf numFmtId="0" fontId="80" fillId="0" borderId="0" xfId="0" applyFont="1" applyAlignment="1" applyProtection="1">
      <alignment horizontal="center" vertical="center" wrapText="1"/>
    </xf>
    <xf numFmtId="0" fontId="80" fillId="5" borderId="0" xfId="0" applyFont="1" applyFill="1" applyAlignment="1" applyProtection="1">
      <alignment vertical="center" wrapText="1"/>
    </xf>
    <xf numFmtId="0" fontId="80" fillId="5" borderId="0" xfId="0" applyFont="1" applyFill="1" applyAlignment="1" applyProtection="1">
      <alignment horizontal="center" vertical="center" wrapText="1"/>
    </xf>
    <xf numFmtId="0" fontId="80" fillId="0" borderId="2" xfId="0" applyFont="1" applyBorder="1" applyAlignment="1" applyProtection="1">
      <alignment vertical="center" wrapText="1"/>
    </xf>
    <xf numFmtId="0" fontId="80" fillId="5" borderId="5" xfId="0" applyFont="1" applyFill="1" applyBorder="1" applyAlignment="1" applyProtection="1">
      <alignment vertical="center"/>
    </xf>
    <xf numFmtId="0" fontId="80" fillId="2" borderId="3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183" fontId="80" fillId="0" borderId="2" xfId="0" applyNumberFormat="1" applyFont="1" applyFill="1" applyBorder="1" applyAlignment="1" applyProtection="1">
      <alignment horizontal="center" vertical="center" shrinkToFit="1"/>
      <protection locked="0"/>
    </xf>
    <xf numFmtId="0" fontId="80" fillId="5" borderId="3" xfId="0" applyFont="1" applyFill="1" applyBorder="1" applyAlignment="1" applyProtection="1">
      <alignment vertical="center"/>
    </xf>
    <xf numFmtId="0" fontId="80" fillId="6" borderId="3" xfId="0" applyFont="1" applyFill="1" applyBorder="1" applyAlignment="1" applyProtection="1">
      <alignment horizontal="center" vertical="center" wrapText="1"/>
      <protection locked="0"/>
    </xf>
    <xf numFmtId="0" fontId="80" fillId="5" borderId="55" xfId="0" applyFont="1" applyFill="1" applyBorder="1" applyAlignment="1" applyProtection="1">
      <alignment horizontal="center" vertical="center" wrapText="1"/>
    </xf>
    <xf numFmtId="0" fontId="80" fillId="6" borderId="55" xfId="0" applyFont="1" applyFill="1" applyBorder="1" applyAlignment="1" applyProtection="1">
      <alignment horizontal="center" vertical="center" wrapText="1"/>
      <protection locked="0"/>
    </xf>
    <xf numFmtId="0" fontId="190" fillId="5" borderId="55" xfId="0" applyFont="1" applyFill="1" applyBorder="1" applyAlignment="1" applyProtection="1">
      <alignment vertical="center" wrapText="1"/>
    </xf>
    <xf numFmtId="0" fontId="80" fillId="6" borderId="69" xfId="0"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xf>
    <xf numFmtId="0" fontId="80" fillId="5" borderId="35" xfId="0" applyFont="1" applyFill="1" applyBorder="1" applyAlignment="1" applyProtection="1">
      <alignment vertical="center"/>
    </xf>
    <xf numFmtId="0" fontId="80" fillId="6" borderId="12" xfId="0" applyFont="1" applyFill="1" applyBorder="1" applyAlignment="1" applyProtection="1">
      <alignment horizontal="center" vertical="center" wrapText="1"/>
      <protection locked="0"/>
    </xf>
    <xf numFmtId="0" fontId="189" fillId="0" borderId="11" xfId="0" applyFont="1" applyBorder="1" applyAlignment="1" applyProtection="1">
      <alignment vertical="center" wrapText="1"/>
      <protection locked="0"/>
    </xf>
    <xf numFmtId="0" fontId="80" fillId="6" borderId="5" xfId="0" applyFont="1" applyFill="1" applyBorder="1" applyAlignment="1" applyProtection="1">
      <alignment horizontal="center" vertical="center" wrapText="1"/>
      <protection locked="0"/>
    </xf>
    <xf numFmtId="0" fontId="80" fillId="0" borderId="89" xfId="0" applyFont="1" applyBorder="1" applyAlignment="1" applyProtection="1">
      <alignment vertical="center" wrapText="1"/>
      <protection locked="0"/>
    </xf>
    <xf numFmtId="183" fontId="189" fillId="0" borderId="12" xfId="0" applyNumberFormat="1" applyFont="1" applyFill="1" applyBorder="1" applyAlignment="1" applyProtection="1">
      <alignment horizontal="left" vertical="center" shrinkToFit="1"/>
      <protection locked="0"/>
    </xf>
    <xf numFmtId="183" fontId="189" fillId="0" borderId="57" xfId="0" applyNumberFormat="1" applyFont="1" applyFill="1" applyBorder="1" applyAlignment="1" applyProtection="1">
      <alignment horizontal="left" vertical="center" shrinkToFit="1"/>
      <protection locked="0"/>
    </xf>
    <xf numFmtId="0" fontId="189" fillId="0" borderId="12" xfId="0" applyFont="1" applyFill="1" applyBorder="1" applyAlignment="1" applyProtection="1">
      <alignment horizontal="left" vertical="center" wrapText="1"/>
      <protection locked="0"/>
    </xf>
    <xf numFmtId="0" fontId="189" fillId="0" borderId="16" xfId="0" applyFont="1" applyFill="1" applyBorder="1" applyAlignment="1" applyProtection="1">
      <alignment horizontal="left" vertical="center" wrapText="1"/>
      <protection locked="0"/>
    </xf>
    <xf numFmtId="0" fontId="189" fillId="0" borderId="72" xfId="0" applyFont="1" applyFill="1" applyBorder="1" applyAlignment="1" applyProtection="1">
      <alignment horizontal="left" vertical="center" wrapText="1"/>
      <protection locked="0"/>
    </xf>
    <xf numFmtId="0" fontId="189" fillId="0" borderId="90"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0" borderId="21" xfId="0" applyFont="1" applyBorder="1" applyAlignment="1" applyProtection="1">
      <alignment horizontal="left" vertical="center" wrapText="1"/>
      <protection locked="0"/>
    </xf>
    <xf numFmtId="0" fontId="80" fillId="2" borderId="5" xfId="0" applyFont="1" applyFill="1" applyBorder="1" applyAlignment="1" applyProtection="1">
      <alignment vertical="center"/>
      <protection locked="0"/>
    </xf>
    <xf numFmtId="0" fontId="80" fillId="6" borderId="2" xfId="0" applyFont="1" applyFill="1" applyBorder="1" applyAlignment="1" applyProtection="1">
      <alignment vertical="center" wrapText="1"/>
      <protection locked="0"/>
    </xf>
    <xf numFmtId="49" fontId="80" fillId="5" borderId="0" xfId="0" applyNumberFormat="1" applyFont="1" applyFill="1" applyAlignment="1" applyProtection="1">
      <alignment horizontal="center" vertical="center" wrapText="1"/>
    </xf>
    <xf numFmtId="0" fontId="80" fillId="5" borderId="5" xfId="0" applyFont="1" applyFill="1" applyBorder="1" applyAlignment="1" applyProtection="1">
      <alignment vertical="center" wrapText="1"/>
    </xf>
    <xf numFmtId="14" fontId="80" fillId="0" borderId="17" xfId="0" applyNumberFormat="1" applyFont="1" applyBorder="1" applyAlignment="1" applyProtection="1">
      <alignment vertical="center" wrapText="1"/>
      <protection locked="0"/>
    </xf>
    <xf numFmtId="0" fontId="80" fillId="5" borderId="20" xfId="0" applyFont="1" applyFill="1" applyBorder="1" applyAlignment="1" applyProtection="1">
      <alignment vertical="center" wrapText="1"/>
    </xf>
    <xf numFmtId="0" fontId="80" fillId="5" borderId="18"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9" xfId="0" applyFont="1" applyFill="1" applyBorder="1" applyAlignment="1" applyProtection="1">
      <alignment vertical="center" wrapText="1"/>
    </xf>
    <xf numFmtId="0" fontId="80" fillId="0" borderId="2" xfId="0" applyFont="1" applyBorder="1" applyAlignment="1" applyProtection="1">
      <alignment horizontal="center" vertical="center" wrapText="1"/>
    </xf>
    <xf numFmtId="191" fontId="80" fillId="5" borderId="2" xfId="0" applyNumberFormat="1" applyFont="1" applyFill="1" applyBorder="1" applyAlignment="1" applyProtection="1">
      <alignment vertical="center" wrapText="1"/>
    </xf>
    <xf numFmtId="0" fontId="80" fillId="5" borderId="9" xfId="0" applyNumberFormat="1" applyFont="1" applyFill="1" applyBorder="1" applyAlignment="1" applyProtection="1">
      <alignment horizontal="center" vertical="center" wrapText="1"/>
    </xf>
    <xf numFmtId="0" fontId="80" fillId="5" borderId="2" xfId="0" applyFont="1" applyFill="1" applyBorder="1" applyAlignment="1" applyProtection="1">
      <alignment vertical="center"/>
    </xf>
    <xf numFmtId="0" fontId="80" fillId="0" borderId="2" xfId="0" applyFont="1" applyBorder="1" applyAlignment="1" applyProtection="1">
      <alignment vertical="center"/>
    </xf>
    <xf numFmtId="0" fontId="80" fillId="5" borderId="3" xfId="0" applyFont="1" applyFill="1" applyBorder="1" applyAlignment="1" applyProtection="1">
      <alignment vertical="center" wrapText="1"/>
    </xf>
    <xf numFmtId="0" fontId="80" fillId="0" borderId="2" xfId="0" applyFont="1" applyBorder="1" applyAlignment="1" applyProtection="1">
      <alignment horizontal="center" vertical="center" wrapText="1"/>
      <protection locked="0"/>
    </xf>
    <xf numFmtId="0" fontId="80" fillId="5" borderId="21" xfId="0" applyFont="1" applyFill="1" applyBorder="1" applyAlignment="1" applyProtection="1">
      <alignment vertical="center" wrapText="1"/>
    </xf>
    <xf numFmtId="49" fontId="80" fillId="6" borderId="2" xfId="0" applyNumberFormat="1" applyFont="1" applyFill="1" applyBorder="1" applyAlignment="1" applyProtection="1">
      <alignment horizontal="center" vertical="center" wrapText="1"/>
      <protection locked="0"/>
    </xf>
    <xf numFmtId="49" fontId="80" fillId="0" borderId="2"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1" xfId="0" applyFont="1" applyFill="1" applyBorder="1" applyAlignment="1" applyProtection="1">
      <alignment vertical="center" wrapText="1"/>
    </xf>
    <xf numFmtId="0" fontId="80" fillId="5" borderId="91" xfId="0" applyFont="1" applyFill="1" applyBorder="1" applyAlignment="1" applyProtection="1">
      <alignment horizontal="center" vertical="center" wrapText="1"/>
    </xf>
    <xf numFmtId="0" fontId="80" fillId="5" borderId="17" xfId="0" applyFont="1" applyFill="1" applyBorder="1" applyAlignment="1" applyProtection="1">
      <alignment horizontal="left" vertical="center"/>
    </xf>
    <xf numFmtId="0" fontId="80" fillId="0" borderId="19" xfId="0" applyFont="1" applyFill="1" applyBorder="1" applyAlignment="1" applyProtection="1">
      <alignment vertical="center" wrapText="1"/>
    </xf>
    <xf numFmtId="0" fontId="80" fillId="8" borderId="19" xfId="0" applyFont="1" applyFill="1" applyBorder="1" applyAlignment="1" applyProtection="1">
      <alignment horizontal="center" vertical="center" wrapText="1"/>
    </xf>
    <xf numFmtId="0" fontId="80" fillId="6" borderId="86" xfId="0" applyFont="1" applyFill="1" applyBorder="1" applyAlignment="1" applyProtection="1">
      <alignment vertical="center" wrapText="1"/>
    </xf>
    <xf numFmtId="0" fontId="80" fillId="6" borderId="9" xfId="0" applyFont="1" applyFill="1" applyBorder="1" applyAlignment="1" applyProtection="1">
      <alignment horizontal="center" vertical="center" wrapText="1"/>
      <protection locked="0"/>
    </xf>
    <xf numFmtId="0" fontId="80" fillId="6" borderId="9" xfId="0" applyFont="1" applyFill="1" applyBorder="1" applyAlignment="1" applyProtection="1">
      <alignment horizontal="center" vertical="center" wrapText="1" shrinkToFit="1"/>
      <protection locked="0"/>
    </xf>
    <xf numFmtId="0" fontId="80" fillId="5" borderId="10" xfId="0" applyFont="1" applyFill="1" applyBorder="1" applyAlignment="1" applyProtection="1">
      <alignment horizontal="right" vertical="center" wrapText="1"/>
    </xf>
    <xf numFmtId="0" fontId="80" fillId="5" borderId="3" xfId="0" applyFont="1" applyFill="1" applyBorder="1" applyAlignment="1" applyProtection="1">
      <alignment horizontal="right" vertical="center" wrapText="1"/>
    </xf>
    <xf numFmtId="0" fontId="80" fillId="5" borderId="21"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wrapText="1"/>
    </xf>
    <xf numFmtId="0" fontId="80" fillId="5" borderId="86" xfId="0" applyFont="1" applyFill="1" applyBorder="1" applyAlignment="1" applyProtection="1">
      <alignment horizontal="right" vertical="center" wrapText="1"/>
    </xf>
    <xf numFmtId="0" fontId="80" fillId="5" borderId="22" xfId="0" applyFont="1" applyFill="1" applyBorder="1" applyAlignment="1" applyProtection="1">
      <alignment horizontal="right" vertical="center" wrapText="1"/>
    </xf>
    <xf numFmtId="0" fontId="80" fillId="5" borderId="24" xfId="0" applyFont="1" applyFill="1" applyBorder="1" applyAlignment="1" applyProtection="1">
      <alignment horizontal="left" vertical="center" wrapText="1"/>
    </xf>
    <xf numFmtId="0" fontId="80" fillId="5" borderId="92" xfId="0" applyFont="1" applyFill="1" applyBorder="1" applyAlignment="1" applyProtection="1">
      <alignment horizontal="left" vertical="center" wrapText="1"/>
    </xf>
    <xf numFmtId="179" fontId="80" fillId="5" borderId="10" xfId="0" applyNumberFormat="1"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0" fontId="80" fillId="5" borderId="21" xfId="0" applyFont="1" applyFill="1" applyBorder="1" applyAlignment="1" applyProtection="1">
      <alignment horizontal="left" vertical="center" wrapText="1"/>
    </xf>
    <xf numFmtId="0" fontId="80" fillId="8" borderId="8" xfId="0" applyFont="1" applyFill="1" applyBorder="1" applyAlignment="1" applyProtection="1">
      <alignment vertical="center" wrapText="1"/>
    </xf>
    <xf numFmtId="0" fontId="80" fillId="8" borderId="9" xfId="0" applyFont="1" applyFill="1" applyBorder="1" applyAlignment="1" applyProtection="1">
      <alignment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5" borderId="10" xfId="0" applyFont="1" applyFill="1" applyBorder="1" applyAlignment="1" applyProtection="1">
      <alignment horizontal="left" vertical="center" wrapText="1"/>
    </xf>
    <xf numFmtId="49" fontId="80" fillId="5" borderId="2" xfId="0" applyNumberFormat="1" applyFont="1" applyFill="1" applyBorder="1" applyAlignment="1" applyProtection="1">
      <alignment horizontal="center" vertical="center" wrapText="1"/>
    </xf>
    <xf numFmtId="0" fontId="167" fillId="5" borderId="0" xfId="0" applyFont="1" applyFill="1" applyBorder="1" applyAlignment="1" applyProtection="1">
      <alignment horizontal="left" vertical="center"/>
    </xf>
    <xf numFmtId="0" fontId="167" fillId="5" borderId="0" xfId="0" applyFont="1" applyFill="1" applyProtection="1">
      <alignment vertical="center"/>
    </xf>
    <xf numFmtId="0" fontId="167" fillId="5" borderId="0" xfId="0" applyFont="1" applyFill="1" applyAlignment="1" applyProtection="1">
      <alignment horizontal="center" vertical="center"/>
    </xf>
    <xf numFmtId="0" fontId="167" fillId="5" borderId="0" xfId="0" applyFont="1" applyFill="1" applyBorder="1" applyAlignment="1" applyProtection="1">
      <alignment horizontal="center" vertical="center"/>
    </xf>
    <xf numFmtId="0" fontId="169" fillId="0" borderId="0" xfId="0" applyFont="1" applyBorder="1" applyAlignment="1" applyProtection="1">
      <alignment horizontal="center" vertical="center"/>
    </xf>
    <xf numFmtId="49" fontId="80" fillId="5" borderId="5" xfId="0" applyNumberFormat="1" applyFont="1" applyFill="1" applyBorder="1" applyAlignment="1" applyProtection="1">
      <alignment horizontal="center" vertical="center" wrapText="1"/>
    </xf>
    <xf numFmtId="49" fontId="80" fillId="0" borderId="13" xfId="0" applyNumberFormat="1" applyFont="1" applyBorder="1" applyAlignment="1" applyProtection="1">
      <alignment horizontal="center" vertical="center" wrapText="1"/>
    </xf>
    <xf numFmtId="49" fontId="80" fillId="5" borderId="13" xfId="0" applyNumberFormat="1" applyFont="1" applyFill="1" applyBorder="1" applyAlignment="1" applyProtection="1">
      <alignment horizontal="center" vertical="center" wrapText="1"/>
    </xf>
    <xf numFmtId="49" fontId="80" fillId="5" borderId="13" xfId="0" applyNumberFormat="1" applyFont="1" applyFill="1" applyBorder="1" applyAlignment="1" applyProtection="1">
      <alignment horizontal="left" vertical="center"/>
    </xf>
    <xf numFmtId="0" fontId="80" fillId="5" borderId="5" xfId="0" applyFont="1" applyFill="1" applyBorder="1" applyAlignment="1" applyProtection="1">
      <alignment horizontal="left" vertical="center" wrapText="1"/>
    </xf>
    <xf numFmtId="0" fontId="191" fillId="5" borderId="0" xfId="0" applyFont="1" applyFill="1" applyProtection="1">
      <alignment vertical="center"/>
    </xf>
    <xf numFmtId="0" fontId="13" fillId="5" borderId="0" xfId="0" applyFont="1" applyFill="1" applyProtection="1">
      <alignment vertical="center"/>
    </xf>
    <xf numFmtId="0" fontId="192" fillId="0" borderId="0" xfId="0" applyFont="1" applyBorder="1" applyAlignment="1" applyProtection="1">
      <alignment horizontal="center" vertical="center"/>
    </xf>
    <xf numFmtId="0" fontId="162" fillId="0" borderId="0" xfId="0" applyFont="1" applyProtection="1">
      <alignment vertical="center"/>
    </xf>
    <xf numFmtId="0" fontId="162" fillId="0" borderId="0" xfId="0" applyFont="1" applyBorder="1" applyProtection="1">
      <alignment vertical="center"/>
    </xf>
    <xf numFmtId="183" fontId="193" fillId="0" borderId="0" xfId="0" applyNumberFormat="1" applyFont="1" applyAlignment="1" applyProtection="1">
      <alignment horizontal="left" vertical="center"/>
    </xf>
    <xf numFmtId="0" fontId="162" fillId="0" borderId="0" xfId="0" applyFont="1" applyAlignment="1" applyProtection="1">
      <alignment vertical="center" wrapText="1"/>
    </xf>
    <xf numFmtId="0" fontId="162" fillId="0" borderId="0" xfId="0" applyFont="1" applyAlignment="1" applyProtection="1">
      <alignment vertical="center" wrapText="1" shrinkToFit="1"/>
    </xf>
    <xf numFmtId="0" fontId="80" fillId="5" borderId="4" xfId="0" applyFont="1" applyFill="1" applyBorder="1" applyAlignment="1" applyProtection="1">
      <alignment vertical="center"/>
    </xf>
    <xf numFmtId="0" fontId="80" fillId="5" borderId="5" xfId="0" applyFont="1" applyFill="1" applyBorder="1" applyAlignment="1" applyProtection="1">
      <alignment horizontal="right" vertical="center" wrapText="1"/>
    </xf>
    <xf numFmtId="0" fontId="80" fillId="5" borderId="8"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xf>
    <xf numFmtId="0" fontId="80" fillId="8" borderId="5" xfId="0" applyFont="1" applyFill="1" applyBorder="1" applyAlignment="1" applyProtection="1">
      <alignment vertical="center"/>
      <protection locked="0"/>
    </xf>
    <xf numFmtId="0" fontId="80" fillId="6" borderId="2" xfId="0" applyFont="1" applyFill="1" applyBorder="1" applyAlignment="1" applyProtection="1">
      <alignment horizontal="center" vertical="center"/>
      <protection locked="0"/>
    </xf>
    <xf numFmtId="178" fontId="80" fillId="5" borderId="0" xfId="0" applyNumberFormat="1" applyFont="1" applyFill="1" applyBorder="1" applyAlignment="1" applyProtection="1">
      <alignment vertical="center" wrapText="1"/>
    </xf>
    <xf numFmtId="0" fontId="80" fillId="6" borderId="2" xfId="0" applyFont="1" applyFill="1" applyBorder="1" applyAlignment="1" applyProtection="1">
      <alignment horizontal="center" vertical="center" wrapText="1"/>
      <protection locked="0"/>
    </xf>
    <xf numFmtId="0" fontId="193"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4" fillId="0" borderId="0" xfId="0" applyFont="1" applyAlignment="1" applyProtection="1">
      <alignment horizontal="left" vertical="center"/>
    </xf>
    <xf numFmtId="0" fontId="195"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0" fontId="196" fillId="0" borderId="0" xfId="0" applyFont="1" applyAlignment="1" applyProtection="1">
      <alignment horizontal="left" vertical="center"/>
    </xf>
    <xf numFmtId="0" fontId="162"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197" fillId="0" borderId="0" xfId="0" applyFont="1" applyAlignment="1">
      <alignment horizontal="right" vertical="center" wrapText="1"/>
    </xf>
    <xf numFmtId="0" fontId="0" fillId="0" borderId="0" xfId="0" applyFont="1" applyAlignment="1">
      <alignment vertical="center" wrapText="1"/>
    </xf>
    <xf numFmtId="0" fontId="197" fillId="0" borderId="0" xfId="0" applyFont="1" applyAlignment="1">
      <alignment vertical="center" wrapText="1"/>
    </xf>
    <xf numFmtId="0" fontId="77"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198"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201" fillId="0" borderId="2"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181" fontId="73" fillId="0" borderId="5" xfId="0" applyNumberFormat="1" applyFont="1" applyFill="1" applyBorder="1" applyAlignment="1" applyProtection="1">
      <alignment horizontal="center" vertical="center"/>
      <protection locked="0"/>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xf>
    <xf numFmtId="0" fontId="78" fillId="5" borderId="27" xfId="0" applyFont="1" applyFill="1" applyBorder="1" applyAlignment="1" applyProtection="1">
      <alignment horizontal="center" vertical="center"/>
    </xf>
    <xf numFmtId="0" fontId="78" fillId="5" borderId="17" xfId="0" applyFont="1" applyFill="1" applyBorder="1" applyAlignment="1" applyProtection="1">
      <alignment horizontal="left" vertical="center"/>
    </xf>
    <xf numFmtId="0" fontId="78" fillId="5" borderId="32" xfId="0" applyFont="1" applyFill="1" applyBorder="1" applyAlignment="1" applyProtection="1">
      <alignment vertical="center"/>
    </xf>
    <xf numFmtId="0" fontId="78" fillId="5" borderId="18" xfId="0" applyFont="1" applyFill="1" applyBorder="1" applyAlignment="1" applyProtection="1">
      <alignment vertical="center"/>
    </xf>
    <xf numFmtId="0" fontId="78" fillId="5" borderId="20" xfId="0" applyFont="1" applyFill="1" applyBorder="1" applyAlignment="1" applyProtection="1">
      <alignment vertical="center"/>
    </xf>
    <xf numFmtId="0" fontId="87" fillId="5" borderId="32"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21" xfId="0" applyFont="1" applyFill="1" applyBorder="1" applyAlignment="1" applyProtection="1">
      <alignment horizontal="left" vertical="center"/>
    </xf>
    <xf numFmtId="49" fontId="78" fillId="5" borderId="53" xfId="0" applyNumberFormat="1" applyFont="1" applyFill="1" applyBorder="1" applyAlignment="1" applyProtection="1">
      <alignment horizontal="center" vertical="center"/>
    </xf>
    <xf numFmtId="49" fontId="87" fillId="5" borderId="50"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left" vertical="center"/>
    </xf>
    <xf numFmtId="49" fontId="78" fillId="5" borderId="50" xfId="0" applyNumberFormat="1" applyFont="1" applyFill="1" applyBorder="1" applyAlignment="1" applyProtection="1">
      <alignment horizontal="left" vertical="center"/>
    </xf>
    <xf numFmtId="49" fontId="78" fillId="5" borderId="10" xfId="0" applyNumberFormat="1" applyFont="1" applyFill="1" applyBorder="1" applyAlignment="1" applyProtection="1">
      <alignment horizontal="left" vertical="center"/>
    </xf>
    <xf numFmtId="49" fontId="78" fillId="5" borderId="21" xfId="0" applyNumberFormat="1" applyFont="1" applyFill="1" applyBorder="1" applyAlignment="1" applyProtection="1">
      <alignment vertical="center"/>
    </xf>
    <xf numFmtId="0" fontId="78" fillId="5" borderId="3" xfId="0" applyFont="1" applyFill="1" applyBorder="1" applyAlignment="1" applyProtection="1">
      <alignment horizontal="left" vertical="center"/>
    </xf>
    <xf numFmtId="0" fontId="80" fillId="5" borderId="9" xfId="0" applyFont="1" applyFill="1" applyBorder="1" applyAlignment="1" applyProtection="1">
      <alignment vertical="center"/>
    </xf>
    <xf numFmtId="0" fontId="80" fillId="2" borderId="9" xfId="0" applyFont="1" applyFill="1" applyBorder="1" applyAlignment="1" applyProtection="1">
      <alignment vertical="center"/>
    </xf>
    <xf numFmtId="0" fontId="80" fillId="0" borderId="5" xfId="0" applyFont="1" applyBorder="1" applyAlignment="1" applyProtection="1">
      <alignment horizontal="center" vertical="center" wrapText="1"/>
    </xf>
    <xf numFmtId="49" fontId="80" fillId="0" borderId="2" xfId="0" applyNumberFormat="1" applyFont="1" applyBorder="1" applyAlignment="1" applyProtection="1">
      <alignment horizontal="center" vertical="center" wrapText="1"/>
    </xf>
    <xf numFmtId="49" fontId="80" fillId="0" borderId="5" xfId="0" applyNumberFormat="1" applyFont="1" applyBorder="1" applyAlignment="1" applyProtection="1">
      <alignment vertical="center" wrapText="1"/>
    </xf>
    <xf numFmtId="0" fontId="80" fillId="0" borderId="0" xfId="0" applyFont="1" applyAlignment="1" applyProtection="1">
      <alignment vertical="center"/>
      <protection locked="0"/>
    </xf>
    <xf numFmtId="0" fontId="80" fillId="6" borderId="71" xfId="0" applyFont="1" applyFill="1" applyBorder="1" applyAlignment="1" applyProtection="1">
      <alignment vertical="center" wrapText="1"/>
      <protection locked="0"/>
    </xf>
    <xf numFmtId="0" fontId="80" fillId="6" borderId="5" xfId="0" applyFont="1" applyFill="1" applyBorder="1" applyAlignment="1" applyProtection="1">
      <alignment vertical="center" wrapText="1"/>
      <protection locked="0"/>
    </xf>
    <xf numFmtId="0" fontId="80" fillId="6" borderId="8" xfId="0" applyFont="1" applyFill="1" applyBorder="1" applyAlignment="1" applyProtection="1">
      <alignment horizontal="center" vertical="center" wrapText="1"/>
      <protection locked="0"/>
    </xf>
    <xf numFmtId="0" fontId="80" fillId="5" borderId="71"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49" fontId="59" fillId="5" borderId="59" xfId="0" applyNumberFormat="1" applyFont="1" applyFill="1" applyBorder="1" applyAlignment="1" applyProtection="1">
      <alignment vertical="center"/>
    </xf>
    <xf numFmtId="49" fontId="59" fillId="6" borderId="30" xfId="0" applyNumberFormat="1" applyFont="1" applyFill="1" applyBorder="1" applyAlignment="1" applyProtection="1">
      <alignment vertical="center"/>
      <protection locked="0"/>
    </xf>
    <xf numFmtId="0" fontId="49" fillId="5" borderId="10" xfId="0" applyFont="1" applyFill="1" applyBorder="1" applyAlignment="1" applyProtection="1">
      <alignment horizontal="center" vertical="center"/>
    </xf>
    <xf numFmtId="0" fontId="154" fillId="5" borderId="2" xfId="3" applyFont="1" applyFill="1" applyBorder="1" applyAlignment="1" applyProtection="1">
      <alignment horizontal="center" vertical="center"/>
    </xf>
    <xf numFmtId="0" fontId="166" fillId="0" borderId="44" xfId="3" applyNumberFormat="1" applyFont="1" applyFill="1" applyBorder="1" applyAlignment="1" applyProtection="1">
      <alignment horizontal="center" vertical="center" wrapText="1"/>
      <protection locked="0"/>
    </xf>
    <xf numFmtId="0" fontId="202" fillId="5" borderId="0" xfId="0" applyFont="1" applyFill="1" applyAlignment="1" applyProtection="1">
      <alignment horizontal="center" vertical="center"/>
    </xf>
    <xf numFmtId="0" fontId="168" fillId="5" borderId="4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1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6" xfId="0" applyFont="1" applyFill="1" applyBorder="1" applyAlignment="1" applyProtection="1">
      <alignment horizontal="center" vertical="center" wrapText="1"/>
    </xf>
    <xf numFmtId="10" fontId="154" fillId="0" borderId="6" xfId="0" applyNumberFormat="1" applyFont="1" applyBorder="1" applyAlignment="1">
      <alignment horizontal="center" vertical="center" wrapText="1"/>
    </xf>
    <xf numFmtId="10" fontId="154" fillId="0" borderId="7" xfId="0" applyNumberFormat="1" applyFont="1" applyBorder="1" applyAlignment="1">
      <alignment horizontal="center" vertical="center" wrapText="1"/>
    </xf>
    <xf numFmtId="0" fontId="167" fillId="5" borderId="2" xfId="0" applyFont="1" applyFill="1" applyBorder="1" applyAlignment="1" applyProtection="1">
      <alignment horizontal="center" vertical="center" wrapText="1"/>
    </xf>
    <xf numFmtId="10" fontId="154" fillId="0" borderId="2" xfId="0" applyNumberFormat="1" applyFont="1" applyBorder="1" applyAlignment="1">
      <alignment horizontal="center" vertical="center" wrapText="1"/>
    </xf>
    <xf numFmtId="10" fontId="154" fillId="0" borderId="12" xfId="0" applyNumberFormat="1" applyFont="1" applyBorder="1" applyAlignment="1">
      <alignment horizontal="center" vertical="center" wrapText="1"/>
    </xf>
    <xf numFmtId="0" fontId="167" fillId="5" borderId="21" xfId="0" applyFont="1" applyFill="1" applyBorder="1" applyAlignment="1" applyProtection="1">
      <alignment horizontal="center" vertical="center" wrapText="1"/>
    </xf>
    <xf numFmtId="0" fontId="167" fillId="5" borderId="33" xfId="0" applyFont="1" applyFill="1" applyBorder="1" applyAlignment="1" applyProtection="1">
      <alignment vertical="center" wrapText="1"/>
    </xf>
    <xf numFmtId="0" fontId="167" fillId="5" borderId="55" xfId="0" applyFont="1" applyFill="1" applyBorder="1" applyAlignment="1" applyProtection="1">
      <alignment horizontal="center" vertical="center" wrapText="1"/>
    </xf>
    <xf numFmtId="10" fontId="154"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7" fillId="5" borderId="44" xfId="0" applyFont="1" applyFill="1" applyBorder="1" applyAlignment="1" applyProtection="1">
      <alignment horizontal="center" vertical="center" wrapText="1"/>
    </xf>
    <xf numFmtId="10" fontId="154" fillId="0" borderId="46" xfId="0" applyNumberFormat="1" applyFont="1" applyBorder="1" applyAlignment="1">
      <alignment horizontal="center" vertical="center" wrapText="1"/>
    </xf>
    <xf numFmtId="0" fontId="167" fillId="5" borderId="10" xfId="0" applyFont="1" applyFill="1" applyBorder="1" applyAlignment="1" applyProtection="1">
      <alignment horizontal="center" vertical="center" wrapText="1"/>
    </xf>
    <xf numFmtId="10" fontId="154" fillId="0" borderId="10" xfId="0" applyNumberFormat="1" applyFont="1" applyBorder="1" applyAlignment="1">
      <alignment horizontal="center" vertical="center" wrapText="1"/>
    </xf>
    <xf numFmtId="0" fontId="167" fillId="5" borderId="83" xfId="0" applyFont="1" applyFill="1" applyBorder="1" applyAlignment="1" applyProtection="1">
      <alignment horizontal="center" vertical="center" wrapText="1"/>
    </xf>
    <xf numFmtId="10" fontId="0" fillId="0" borderId="37" xfId="0" applyNumberFormat="1" applyBorder="1">
      <alignment vertical="center"/>
    </xf>
    <xf numFmtId="10" fontId="154" fillId="0" borderId="34" xfId="0" applyNumberFormat="1" applyFont="1" applyBorder="1" applyAlignment="1">
      <alignment horizontal="center" vertical="center" wrapText="1"/>
    </xf>
    <xf numFmtId="0" fontId="167" fillId="5" borderId="24" xfId="0" applyFont="1" applyFill="1" applyBorder="1" applyAlignment="1" applyProtection="1">
      <alignment vertical="center" wrapText="1"/>
    </xf>
    <xf numFmtId="10" fontId="154"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1" fillId="5" borderId="1" xfId="0" applyNumberFormat="1" applyFont="1" applyFill="1" applyBorder="1" applyAlignment="1" applyProtection="1">
      <alignment horizontal="center" vertical="center"/>
    </xf>
    <xf numFmtId="0" fontId="151" fillId="5" borderId="29" xfId="0" applyNumberFormat="1" applyFont="1" applyFill="1" applyBorder="1" applyProtection="1">
      <alignment vertical="center"/>
    </xf>
    <xf numFmtId="10" fontId="88" fillId="5" borderId="7" xfId="3" applyNumberFormat="1" applyFont="1" applyFill="1" applyBorder="1" applyAlignment="1" applyProtection="1">
      <alignment vertical="center" wrapText="1"/>
    </xf>
    <xf numFmtId="0" fontId="151" fillId="5" borderId="11" xfId="0" applyNumberFormat="1" applyFont="1" applyFill="1" applyBorder="1" applyAlignment="1" applyProtection="1">
      <alignment horizontal="center" vertical="center"/>
    </xf>
    <xf numFmtId="0" fontId="151" fillId="5" borderId="5" xfId="0" applyNumberFormat="1" applyFont="1" applyFill="1" applyBorder="1" applyProtection="1">
      <alignment vertical="center"/>
    </xf>
    <xf numFmtId="10" fontId="88" fillId="5" borderId="12" xfId="3" applyNumberFormat="1" applyFont="1" applyFill="1" applyBorder="1" applyAlignment="1" applyProtection="1">
      <alignment vertical="center" wrapText="1"/>
    </xf>
    <xf numFmtId="0" fontId="151" fillId="5" borderId="43" xfId="0" applyNumberFormat="1" applyFont="1" applyFill="1" applyBorder="1" applyAlignment="1" applyProtection="1">
      <alignment horizontal="center" vertical="center"/>
    </xf>
    <xf numFmtId="0" fontId="151" fillId="5" borderId="45" xfId="0" applyNumberFormat="1" applyFont="1" applyFill="1" applyBorder="1" applyProtection="1">
      <alignment vertical="center"/>
    </xf>
    <xf numFmtId="10" fontId="88" fillId="5" borderId="46" xfId="3" applyNumberFormat="1" applyFont="1" applyFill="1" applyBorder="1" applyAlignment="1" applyProtection="1">
      <alignment vertical="center" wrapText="1"/>
    </xf>
    <xf numFmtId="0" fontId="49" fillId="5" borderId="5" xfId="3" applyFont="1" applyFill="1" applyBorder="1" applyAlignment="1" applyProtection="1">
      <alignment vertical="center" wrapText="1"/>
    </xf>
    <xf numFmtId="0" fontId="49" fillId="5" borderId="8" xfId="3" applyFont="1" applyFill="1" applyBorder="1" applyAlignment="1" applyProtection="1">
      <alignment vertical="center" wrapText="1"/>
    </xf>
    <xf numFmtId="0" fontId="49" fillId="5" borderId="9" xfId="3" applyFont="1" applyFill="1" applyBorder="1" applyAlignment="1" applyProtection="1">
      <alignment vertical="center" wrapText="1"/>
    </xf>
    <xf numFmtId="0" fontId="49" fillId="5" borderId="2" xfId="3" applyFont="1" applyFill="1" applyBorder="1" applyAlignment="1" applyProtection="1">
      <alignment vertical="center" wrapText="1"/>
    </xf>
    <xf numFmtId="0" fontId="54" fillId="5" borderId="5" xfId="0" applyFont="1" applyFill="1" applyBorder="1" applyAlignment="1" applyProtection="1">
      <alignment horizontal="center" vertical="center" wrapText="1"/>
    </xf>
    <xf numFmtId="0" fontId="54" fillId="5" borderId="73" xfId="0" applyNumberFormat="1" applyFont="1" applyFill="1" applyBorder="1" applyAlignment="1" applyProtection="1">
      <alignment horizontal="center" vertical="center" wrapText="1"/>
    </xf>
    <xf numFmtId="0" fontId="108" fillId="5" borderId="50" xfId="0" applyFont="1" applyFill="1" applyBorder="1" applyAlignment="1" applyProtection="1">
      <alignment horizontal="center" vertical="center"/>
    </xf>
    <xf numFmtId="0" fontId="108" fillId="0" borderId="21" xfId="0" applyFont="1" applyBorder="1" applyAlignment="1" applyProtection="1">
      <alignment horizontal="center" vertical="center"/>
      <protection locked="0"/>
    </xf>
    <xf numFmtId="0" fontId="108" fillId="0" borderId="17" xfId="0" applyFont="1" applyBorder="1" applyAlignment="1" applyProtection="1">
      <alignment horizontal="center" vertical="center"/>
      <protection locked="0"/>
    </xf>
    <xf numFmtId="0" fontId="108" fillId="0" borderId="93" xfId="0" applyFont="1" applyFill="1" applyBorder="1" applyAlignment="1" applyProtection="1">
      <alignment horizontal="center" vertical="center"/>
      <protection locked="0"/>
    </xf>
    <xf numFmtId="0" fontId="108" fillId="0" borderId="51" xfId="0" applyFont="1" applyBorder="1" applyAlignment="1" applyProtection="1">
      <alignment horizontal="center" vertical="center"/>
      <protection locked="0"/>
    </xf>
    <xf numFmtId="185" fontId="108" fillId="5" borderId="51" xfId="0" applyNumberFormat="1" applyFont="1" applyFill="1" applyBorder="1" applyAlignment="1" applyProtection="1">
      <alignment horizontal="center" vertical="center"/>
    </xf>
    <xf numFmtId="0" fontId="108" fillId="5" borderId="11" xfId="0" applyFont="1" applyFill="1" applyBorder="1" applyAlignment="1" applyProtection="1">
      <alignment horizontal="center" vertical="center"/>
    </xf>
    <xf numFmtId="0" fontId="108" fillId="0" borderId="2" xfId="0" applyFont="1" applyBorder="1" applyAlignment="1" applyProtection="1">
      <alignment horizontal="center" vertical="center"/>
      <protection locked="0"/>
    </xf>
    <xf numFmtId="0" fontId="108" fillId="0" borderId="5" xfId="0" applyFont="1" applyBorder="1" applyAlignment="1" applyProtection="1">
      <alignment horizontal="center" vertical="center"/>
      <protection locked="0"/>
    </xf>
    <xf numFmtId="0" fontId="108" fillId="0" borderId="94" xfId="0" applyFont="1" applyFill="1" applyBorder="1" applyAlignment="1" applyProtection="1">
      <alignment horizontal="center" vertical="center"/>
      <protection locked="0"/>
    </xf>
    <xf numFmtId="0" fontId="108" fillId="0" borderId="12" xfId="0" applyFont="1" applyBorder="1" applyAlignment="1" applyProtection="1">
      <alignment horizontal="center" vertical="center"/>
      <protection locked="0"/>
    </xf>
    <xf numFmtId="0" fontId="108" fillId="5" borderId="12" xfId="0" applyFont="1" applyFill="1" applyBorder="1" applyAlignment="1" applyProtection="1">
      <alignment horizontal="center" vertical="center"/>
    </xf>
    <xf numFmtId="178" fontId="108" fillId="5" borderId="12" xfId="0" applyNumberFormat="1" applyFont="1" applyFill="1" applyBorder="1" applyAlignment="1" applyProtection="1">
      <alignment horizontal="center" vertical="center"/>
    </xf>
    <xf numFmtId="178" fontId="108" fillId="0" borderId="12" xfId="0" applyNumberFormat="1" applyFont="1" applyBorder="1" applyAlignment="1" applyProtection="1">
      <alignment horizontal="center" vertical="center"/>
      <protection locked="0"/>
    </xf>
    <xf numFmtId="0" fontId="151" fillId="0" borderId="94" xfId="0" applyFont="1" applyFill="1" applyBorder="1" applyAlignment="1" applyProtection="1">
      <alignment horizontal="center" vertical="center"/>
      <protection locked="0"/>
    </xf>
    <xf numFmtId="0" fontId="108" fillId="5" borderId="44" xfId="0" applyFont="1" applyFill="1" applyBorder="1" applyAlignment="1" applyProtection="1">
      <alignment horizontal="center" vertical="center"/>
    </xf>
    <xf numFmtId="0" fontId="108" fillId="0" borderId="44" xfId="0" applyFont="1" applyBorder="1" applyAlignment="1" applyProtection="1">
      <alignment horizontal="center" vertical="center"/>
      <protection locked="0"/>
    </xf>
    <xf numFmtId="178" fontId="108" fillId="5" borderId="46" xfId="0" applyNumberFormat="1" applyFont="1" applyFill="1" applyBorder="1" applyAlignment="1" applyProtection="1">
      <alignment horizontal="center" vertical="center"/>
    </xf>
    <xf numFmtId="0" fontId="185" fillId="0" borderId="0" xfId="0" applyFont="1" applyFill="1" applyAlignment="1" applyProtection="1">
      <alignment horizontal="left" vertical="center"/>
      <protection locked="0"/>
    </xf>
    <xf numFmtId="0" fontId="60" fillId="0" borderId="0" xfId="0" applyFont="1" applyFill="1" applyAlignment="1" applyProtection="1">
      <alignment horizontal="center" vertical="center"/>
      <protection locked="0"/>
    </xf>
    <xf numFmtId="187" fontId="60" fillId="0" borderId="0" xfId="0" applyNumberFormat="1" applyFont="1" applyFill="1" applyAlignment="1" applyProtection="1">
      <alignment horizontal="center" vertical="center"/>
      <protection locked="0"/>
    </xf>
    <xf numFmtId="0" fontId="162" fillId="5" borderId="26" xfId="0" applyFont="1" applyFill="1" applyBorder="1" applyAlignment="1" applyProtection="1">
      <alignment horizontal="center" vertical="center"/>
    </xf>
    <xf numFmtId="0" fontId="142" fillId="5" borderId="28" xfId="0" applyFont="1" applyFill="1" applyBorder="1" applyAlignment="1" applyProtection="1">
      <alignment horizontal="center" vertical="center"/>
    </xf>
    <xf numFmtId="0" fontId="60" fillId="5" borderId="28" xfId="0" applyFont="1" applyFill="1" applyBorder="1" applyAlignment="1" applyProtection="1">
      <alignment horizontal="center" vertical="center"/>
    </xf>
    <xf numFmtId="0" fontId="60" fillId="5" borderId="39" xfId="0" applyFont="1" applyFill="1" applyBorder="1" applyAlignment="1" applyProtection="1">
      <alignment horizontal="center" vertical="center"/>
    </xf>
    <xf numFmtId="0" fontId="162" fillId="5" borderId="28" xfId="0" applyFont="1" applyFill="1" applyBorder="1" applyAlignment="1" applyProtection="1">
      <alignment horizontal="center" vertical="center"/>
    </xf>
    <xf numFmtId="0" fontId="142" fillId="5" borderId="39" xfId="0" applyFont="1" applyFill="1" applyBorder="1" applyAlignment="1" applyProtection="1">
      <alignment horizontal="center" vertical="center"/>
    </xf>
    <xf numFmtId="0" fontId="142" fillId="5" borderId="87" xfId="0" applyFont="1" applyFill="1" applyBorder="1" applyProtection="1">
      <alignment vertical="center"/>
    </xf>
    <xf numFmtId="0" fontId="162" fillId="5" borderId="2" xfId="0" applyFont="1" applyFill="1" applyBorder="1" applyAlignment="1" applyProtection="1">
      <alignment horizontal="center" vertical="center"/>
    </xf>
    <xf numFmtId="0" fontId="162" fillId="5" borderId="5" xfId="0" applyFont="1" applyFill="1" applyBorder="1" applyAlignment="1" applyProtection="1">
      <alignment horizontal="center" vertical="center"/>
    </xf>
    <xf numFmtId="0" fontId="162" fillId="5" borderId="94" xfId="0" applyFont="1" applyFill="1" applyBorder="1" applyAlignment="1" applyProtection="1">
      <alignment horizontal="center" vertical="center"/>
    </xf>
    <xf numFmtId="0" fontId="162" fillId="5" borderId="12" xfId="0" applyFont="1" applyFill="1" applyBorder="1" applyAlignment="1" applyProtection="1">
      <alignment horizontal="center" vertical="center"/>
    </xf>
    <xf numFmtId="0" fontId="142" fillId="5" borderId="19" xfId="0" applyFont="1" applyFill="1" applyBorder="1" applyAlignment="1" applyProtection="1">
      <alignment horizontal="center" vertical="center"/>
    </xf>
    <xf numFmtId="0" fontId="162" fillId="0" borderId="21" xfId="0" applyFont="1" applyBorder="1" applyAlignment="1" applyProtection="1">
      <alignment horizontal="center" vertical="center"/>
      <protection locked="0"/>
    </xf>
    <xf numFmtId="0" fontId="162" fillId="5" borderId="20" xfId="0" applyFont="1" applyFill="1" applyBorder="1" applyAlignment="1" applyProtection="1">
      <alignment horizontal="center" vertical="center"/>
    </xf>
    <xf numFmtId="0" fontId="142" fillId="0" borderId="2" xfId="0" applyFont="1" applyBorder="1" applyAlignment="1" applyProtection="1">
      <alignment horizontal="center" vertical="center"/>
      <protection locked="0"/>
    </xf>
    <xf numFmtId="0" fontId="162" fillId="5" borderId="9" xfId="0" applyFont="1" applyFill="1" applyBorder="1" applyAlignment="1" applyProtection="1">
      <alignment horizontal="center" vertical="center"/>
    </xf>
    <xf numFmtId="0" fontId="162" fillId="0" borderId="2" xfId="0" applyFont="1" applyBorder="1" applyAlignment="1" applyProtection="1">
      <alignment horizontal="center" vertical="center"/>
      <protection locked="0"/>
    </xf>
    <xf numFmtId="0" fontId="162" fillId="5" borderId="43" xfId="0" applyFont="1" applyFill="1" applyBorder="1" applyAlignment="1" applyProtection="1">
      <alignment horizontal="center" vertical="center"/>
    </xf>
    <xf numFmtId="0" fontId="142" fillId="5" borderId="61" xfId="0" applyFont="1" applyFill="1" applyBorder="1" applyAlignment="1" applyProtection="1">
      <alignment horizontal="center" vertical="center"/>
    </xf>
    <xf numFmtId="0" fontId="142" fillId="5" borderId="95" xfId="0" applyFont="1" applyFill="1" applyBorder="1" applyAlignment="1" applyProtection="1">
      <alignment horizontal="left" vertical="center"/>
    </xf>
    <xf numFmtId="0" fontId="60" fillId="5" borderId="61" xfId="0" applyFont="1" applyFill="1" applyBorder="1" applyAlignment="1" applyProtection="1">
      <alignment horizontal="center" vertical="center"/>
    </xf>
    <xf numFmtId="0" fontId="60" fillId="5" borderId="66" xfId="0" applyFont="1" applyFill="1" applyBorder="1" applyAlignment="1" applyProtection="1">
      <alignment horizontal="center" vertical="center"/>
    </xf>
    <xf numFmtId="0" fontId="162"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61" fillId="0" borderId="11" xfId="0" applyFont="1" applyFill="1" applyBorder="1" applyProtection="1">
      <alignment vertical="center"/>
      <protection locked="0"/>
    </xf>
    <xf numFmtId="0" fontId="198" fillId="0" borderId="2" xfId="0" applyFont="1" applyBorder="1" applyAlignment="1">
      <alignment horizontal="left" vertical="center" wrapText="1"/>
    </xf>
    <xf numFmtId="0" fontId="111" fillId="5" borderId="2" xfId="0" applyFont="1" applyFill="1" applyBorder="1" applyAlignment="1" applyProtection="1">
      <alignment horizontal="center" vertical="center"/>
    </xf>
    <xf numFmtId="0" fontId="203" fillId="5" borderId="11" xfId="0" applyFont="1" applyFill="1" applyBorder="1" applyAlignment="1" applyProtection="1">
      <alignment horizontal="center" vertical="center"/>
    </xf>
    <xf numFmtId="0" fontId="111" fillId="6" borderId="11" xfId="0" applyFont="1" applyFill="1" applyBorder="1" applyAlignment="1" applyProtection="1">
      <alignment horizontal="center" vertical="center"/>
      <protection locked="0"/>
    </xf>
    <xf numFmtId="0" fontId="203" fillId="5" borderId="43" xfId="0" applyFont="1" applyFill="1" applyBorder="1" applyAlignment="1" applyProtection="1">
      <alignment horizontal="center" vertical="center"/>
    </xf>
    <xf numFmtId="49" fontId="111" fillId="5" borderId="2" xfId="0" applyNumberFormat="1" applyFont="1" applyFill="1" applyBorder="1" applyAlignment="1" applyProtection="1">
      <alignment horizontal="center" vertical="center"/>
    </xf>
    <xf numFmtId="49" fontId="111" fillId="5" borderId="44" xfId="0" applyNumberFormat="1" applyFont="1" applyFill="1" applyBorder="1" applyAlignment="1" applyProtection="1">
      <alignment horizontal="center" vertical="center"/>
    </xf>
    <xf numFmtId="177" fontId="88" fillId="5" borderId="5" xfId="2" applyNumberFormat="1" applyFont="1" applyFill="1" applyBorder="1" applyAlignment="1" applyProtection="1">
      <alignment horizontal="center"/>
    </xf>
    <xf numFmtId="0" fontId="86" fillId="5" borderId="29" xfId="0" applyFont="1" applyFill="1" applyBorder="1" applyAlignment="1" applyProtection="1">
      <alignment horizontal="center" vertical="center"/>
    </xf>
    <xf numFmtId="0" fontId="161" fillId="5" borderId="9" xfId="0" applyFont="1" applyFill="1" applyBorder="1" applyAlignment="1" applyProtection="1">
      <alignment horizontal="center" vertical="center"/>
    </xf>
    <xf numFmtId="0" fontId="154" fillId="5" borderId="9" xfId="0" applyFont="1" applyFill="1" applyBorder="1" applyAlignment="1" applyProtection="1">
      <alignment horizontal="center" vertical="center"/>
    </xf>
    <xf numFmtId="0" fontId="154" fillId="5" borderId="12" xfId="0" applyNumberFormat="1" applyFont="1" applyFill="1" applyBorder="1" applyAlignment="1" applyProtection="1">
      <alignment horizontal="center" vertical="center"/>
    </xf>
    <xf numFmtId="49" fontId="154" fillId="5" borderId="12" xfId="0" applyNumberFormat="1" applyFont="1" applyFill="1" applyBorder="1" applyAlignment="1" applyProtection="1">
      <alignment horizontal="center" vertical="center"/>
    </xf>
    <xf numFmtId="0" fontId="154" fillId="5" borderId="11" xfId="0" applyFont="1" applyFill="1" applyBorder="1" applyAlignment="1" applyProtection="1">
      <alignment horizontal="center" vertical="center"/>
    </xf>
    <xf numFmtId="0" fontId="154" fillId="5" borderId="43" xfId="0" applyFont="1" applyFill="1" applyBorder="1" applyAlignment="1" applyProtection="1">
      <alignment horizontal="center" vertical="center"/>
    </xf>
    <xf numFmtId="49" fontId="154" fillId="5" borderId="46" xfId="0" applyNumberFormat="1" applyFont="1" applyFill="1" applyBorder="1" applyAlignment="1" applyProtection="1">
      <alignment horizontal="center" vertical="center"/>
    </xf>
    <xf numFmtId="0" fontId="204" fillId="0" borderId="0" xfId="0" applyFont="1" applyFill="1" applyAlignment="1" applyProtection="1">
      <alignment horizontal="left" vertical="center"/>
      <protection locked="0"/>
    </xf>
    <xf numFmtId="0" fontId="44" fillId="5" borderId="2" xfId="2" applyFont="1" applyFill="1" applyBorder="1" applyAlignment="1" applyProtection="1">
      <alignment horizontal="left"/>
    </xf>
    <xf numFmtId="0" fontId="78" fillId="0" borderId="50"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5" borderId="96" xfId="0" applyNumberFormat="1" applyFont="1" applyFill="1" applyBorder="1" applyAlignment="1" applyProtection="1">
      <alignment horizontal="center" vertical="center" wrapText="1"/>
    </xf>
    <xf numFmtId="0" fontId="78" fillId="0" borderId="97" xfId="0" applyNumberFormat="1" applyFont="1" applyFill="1" applyBorder="1" applyAlignment="1" applyProtection="1">
      <alignment horizontal="center" vertical="center" wrapText="1"/>
      <protection locked="0"/>
    </xf>
    <xf numFmtId="0" fontId="88" fillId="0" borderId="98" xfId="0" applyNumberFormat="1" applyFont="1" applyFill="1" applyBorder="1" applyAlignment="1" applyProtection="1">
      <alignment horizontal="center" vertical="center" wrapText="1"/>
      <protection locked="0"/>
    </xf>
    <xf numFmtId="0" fontId="88" fillId="5" borderId="99" xfId="0" applyNumberFormat="1" applyFont="1" applyFill="1" applyBorder="1" applyAlignment="1" applyProtection="1">
      <alignment horizontal="center" vertical="center" wrapText="1"/>
    </xf>
    <xf numFmtId="0" fontId="78" fillId="5" borderId="97" xfId="0" applyNumberFormat="1" applyFont="1" applyFill="1" applyBorder="1" applyAlignment="1" applyProtection="1">
      <alignment horizontal="center" vertical="center" wrapText="1"/>
    </xf>
    <xf numFmtId="0" fontId="88" fillId="5" borderId="98" xfId="0" applyNumberFormat="1" applyFont="1" applyFill="1" applyBorder="1" applyAlignment="1" applyProtection="1">
      <alignment horizontal="center" vertical="center" wrapText="1"/>
    </xf>
    <xf numFmtId="0" fontId="88"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19" fillId="0" borderId="0" xfId="0" applyFont="1" applyProtection="1">
      <alignment vertical="center"/>
      <protection locked="0"/>
    </xf>
    <xf numFmtId="0" fontId="77"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xf>
    <xf numFmtId="0" fontId="73" fillId="5" borderId="0" xfId="0" applyFont="1" applyFill="1" applyProtection="1">
      <alignment vertical="center"/>
      <protection locked="0"/>
    </xf>
    <xf numFmtId="0" fontId="73" fillId="0" borderId="0" xfId="0" applyFont="1" applyProtection="1">
      <alignment vertical="center"/>
      <protection locked="0"/>
    </xf>
    <xf numFmtId="0" fontId="73" fillId="5" borderId="0" xfId="0" applyFont="1" applyFill="1" applyBorder="1" applyProtection="1">
      <alignment vertical="center"/>
      <protection locked="0"/>
    </xf>
    <xf numFmtId="0" fontId="73" fillId="5" borderId="0" xfId="0" applyFont="1" applyFill="1" applyBorder="1" applyAlignment="1" applyProtection="1">
      <alignment vertical="center"/>
      <protection locked="0"/>
    </xf>
    <xf numFmtId="176" fontId="73" fillId="0" borderId="0" xfId="0" applyNumberFormat="1" applyFont="1" applyProtection="1">
      <alignment vertical="center"/>
      <protection locked="0"/>
    </xf>
    <xf numFmtId="0" fontId="78" fillId="5" borderId="0" xfId="0" applyFont="1" applyFill="1" applyAlignment="1" applyProtection="1">
      <alignment vertical="center"/>
      <protection locked="0"/>
    </xf>
    <xf numFmtId="179" fontId="78" fillId="5" borderId="0" xfId="0" applyNumberFormat="1" applyFont="1" applyFill="1" applyAlignment="1" applyProtection="1">
      <alignment vertical="center"/>
      <protection locked="0"/>
    </xf>
    <xf numFmtId="0" fontId="78" fillId="5" borderId="0" xfId="0" applyFont="1" applyFill="1" applyAlignment="1" applyProtection="1">
      <alignment horizontal="center" vertical="center"/>
      <protection locked="0"/>
    </xf>
    <xf numFmtId="0" fontId="73" fillId="5" borderId="0" xfId="0" applyFont="1" applyFill="1" applyAlignment="1" applyProtection="1">
      <alignment vertical="center"/>
      <protection locked="0"/>
    </xf>
    <xf numFmtId="179"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73" fillId="5" borderId="34" xfId="0" applyFont="1" applyFill="1" applyBorder="1" applyAlignment="1" applyProtection="1">
      <alignment horizontal="center" vertical="center"/>
      <protection locked="0"/>
    </xf>
    <xf numFmtId="179" fontId="73" fillId="5" borderId="0" xfId="0" applyNumberFormat="1" applyFont="1" applyFill="1" applyAlignment="1" applyProtection="1">
      <alignment horizontal="center"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179" fontId="78" fillId="0" borderId="0" xfId="0" applyNumberFormat="1" applyFont="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130" fillId="0" borderId="100" xfId="0" applyFont="1" applyBorder="1" applyAlignment="1" applyProtection="1">
      <alignment horizontal="center" vertical="center" wrapText="1"/>
      <protection locked="0"/>
    </xf>
    <xf numFmtId="0" fontId="130" fillId="0" borderId="100" xfId="0" applyNumberFormat="1" applyFont="1" applyFill="1" applyBorder="1" applyAlignment="1" applyProtection="1">
      <alignment horizontal="center" vertical="center" wrapText="1"/>
      <protection locked="0"/>
    </xf>
    <xf numFmtId="0" fontId="130" fillId="0" borderId="100" xfId="0" applyFont="1" applyFill="1" applyBorder="1" applyAlignment="1" applyProtection="1">
      <alignment horizontal="center" vertical="center" wrapText="1"/>
      <protection locked="0"/>
    </xf>
    <xf numFmtId="0" fontId="130" fillId="0" borderId="101" xfId="0" applyFont="1" applyBorder="1" applyAlignment="1" applyProtection="1">
      <alignment horizontal="center" vertical="center" wrapText="1"/>
      <protection locked="0"/>
    </xf>
    <xf numFmtId="0" fontId="131" fillId="0" borderId="0" xfId="0" applyNumberFormat="1" applyFont="1" applyAlignment="1" applyProtection="1">
      <alignment horizontal="center" vertical="center"/>
      <protection locked="0"/>
    </xf>
    <xf numFmtId="0" fontId="131"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49" fontId="54" fillId="5" borderId="0" xfId="0" applyNumberFormat="1" applyFont="1" applyFill="1" applyBorder="1" applyAlignment="1" applyProtection="1">
      <alignment horizontal="center" vertical="center" wrapText="1"/>
      <protection locked="0"/>
    </xf>
    <xf numFmtId="0" fontId="54" fillId="5" borderId="0" xfId="0"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54" fillId="5"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49" fontId="54" fillId="0"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protection locked="0"/>
    </xf>
    <xf numFmtId="0" fontId="130" fillId="0" borderId="0" xfId="0" applyFont="1" applyBorder="1" applyAlignment="1" applyProtection="1">
      <alignment horizontal="center" vertical="center" wrapText="1"/>
      <protection locked="0"/>
    </xf>
    <xf numFmtId="0" fontId="130" fillId="0" borderId="0" xfId="0" applyNumberFormat="1" applyFont="1" applyBorder="1" applyAlignment="1" applyProtection="1">
      <alignment horizontal="center" vertical="center" wrapText="1"/>
      <protection locked="0"/>
    </xf>
    <xf numFmtId="0" fontId="130" fillId="0" borderId="18" xfId="0" applyNumberFormat="1" applyFont="1" applyBorder="1" applyAlignment="1" applyProtection="1">
      <alignment horizontal="center" vertical="center" wrapText="1"/>
      <protection locked="0"/>
    </xf>
    <xf numFmtId="0" fontId="131" fillId="0" borderId="0" xfId="0" applyFont="1" applyAlignment="1" applyProtection="1">
      <alignment horizontal="center" vertical="center" wrapText="1"/>
      <protection locked="0"/>
    </xf>
    <xf numFmtId="0" fontId="131" fillId="0" borderId="0" xfId="0" applyNumberFormat="1" applyFont="1" applyFill="1" applyAlignment="1" applyProtection="1">
      <alignment horizontal="center" vertical="center" wrapText="1"/>
      <protection locked="0"/>
    </xf>
    <xf numFmtId="0" fontId="131" fillId="0"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NumberFormat="1" applyFont="1" applyFill="1" applyAlignment="1" applyProtection="1">
      <alignment horizontal="center" vertical="center" wrapText="1"/>
      <protection locked="0"/>
    </xf>
    <xf numFmtId="0" fontId="54" fillId="0" borderId="0" xfId="0" applyFont="1" applyFill="1" applyAlignment="1" applyProtection="1">
      <alignment horizontal="center" vertical="center" wrapText="1"/>
      <protection locked="0"/>
    </xf>
    <xf numFmtId="0" fontId="54" fillId="0" borderId="0" xfId="0" applyNumberFormat="1" applyFont="1" applyAlignment="1" applyProtection="1">
      <alignment horizontal="center" vertical="center"/>
      <protection locked="0"/>
    </xf>
    <xf numFmtId="0" fontId="54" fillId="5" borderId="0" xfId="0" applyFont="1" applyFill="1" applyAlignment="1" applyProtection="1">
      <alignment horizontal="center" vertical="center" wrapText="1"/>
      <protection locked="0"/>
    </xf>
    <xf numFmtId="0" fontId="54" fillId="5" borderId="0" xfId="0" applyNumberFormat="1" applyFont="1" applyFill="1" applyAlignment="1" applyProtection="1">
      <alignment horizontal="center" vertical="center" wrapText="1"/>
      <protection locked="0"/>
    </xf>
    <xf numFmtId="0" fontId="78" fillId="5" borderId="0" xfId="0" applyFont="1" applyFill="1" applyProtection="1">
      <alignment vertical="center"/>
      <protection locked="0"/>
    </xf>
    <xf numFmtId="0" fontId="155" fillId="5" borderId="0" xfId="0" applyFont="1" applyFill="1" applyAlignment="1" applyProtection="1">
      <alignment horizontal="center" vertical="center"/>
      <protection locked="0"/>
    </xf>
    <xf numFmtId="0" fontId="160" fillId="5" borderId="0" xfId="0" applyFont="1" applyFill="1" applyBorder="1" applyAlignment="1" applyProtection="1">
      <alignment horizontal="center" vertical="center"/>
      <protection locked="0"/>
    </xf>
    <xf numFmtId="0" fontId="160" fillId="5" borderId="0" xfId="0" applyFont="1" applyFill="1" applyProtection="1">
      <alignment vertical="center"/>
      <protection locked="0"/>
    </xf>
    <xf numFmtId="0" fontId="71" fillId="5" borderId="0" xfId="0" applyFont="1" applyFill="1" applyBorder="1" applyAlignment="1" applyProtection="1">
      <alignment horizontal="center" vertical="center"/>
      <protection locked="0"/>
    </xf>
    <xf numFmtId="0" fontId="151" fillId="5" borderId="0" xfId="0" applyFont="1" applyFill="1" applyProtection="1">
      <alignment vertical="center"/>
      <protection locked="0"/>
    </xf>
    <xf numFmtId="9" fontId="78" fillId="5" borderId="0" xfId="0" applyNumberFormat="1" applyFont="1" applyFill="1" applyAlignment="1" applyProtection="1">
      <alignment horizontal="center" vertical="center"/>
      <protection locked="0"/>
    </xf>
    <xf numFmtId="10" fontId="78" fillId="5" borderId="0" xfId="0" applyNumberFormat="1" applyFont="1" applyFill="1" applyAlignment="1" applyProtection="1">
      <alignment horizontal="center" vertical="center"/>
      <protection locked="0"/>
    </xf>
    <xf numFmtId="0" fontId="78" fillId="5" borderId="0" xfId="4" applyFont="1" applyFill="1" applyBorder="1" applyAlignment="1" applyProtection="1">
      <alignment horizontal="left" vertical="center" wrapText="1"/>
      <protection locked="0"/>
    </xf>
    <xf numFmtId="0" fontId="151" fillId="0" borderId="0" xfId="0" applyFont="1" applyFill="1" applyProtection="1">
      <alignment vertical="center"/>
      <protection locked="0"/>
    </xf>
    <xf numFmtId="0" fontId="151" fillId="5" borderId="0" xfId="4" applyFont="1" applyFill="1" applyAlignment="1" applyProtection="1">
      <alignment vertical="center" wrapText="1"/>
      <protection locked="0"/>
    </xf>
    <xf numFmtId="0" fontId="151" fillId="5" borderId="0" xfId="4" applyFont="1" applyFill="1" applyProtection="1">
      <protection locked="0"/>
    </xf>
    <xf numFmtId="0" fontId="78" fillId="8" borderId="0" xfId="0" applyFont="1" applyFill="1" applyBorder="1" applyProtection="1">
      <alignment vertical="center"/>
      <protection locked="0"/>
    </xf>
    <xf numFmtId="0" fontId="78" fillId="8" borderId="0" xfId="0" applyFont="1" applyFill="1" applyProtection="1">
      <alignment vertical="center"/>
      <protection locked="0"/>
    </xf>
    <xf numFmtId="0" fontId="78" fillId="8" borderId="0" xfId="0" applyFont="1" applyFill="1" applyBorder="1" applyAlignment="1" applyProtection="1">
      <alignment horizontal="right" vertical="center"/>
      <protection locked="0"/>
    </xf>
    <xf numFmtId="0" fontId="87" fillId="8" borderId="0" xfId="0" applyFont="1" applyFill="1" applyAlignment="1" applyProtection="1">
      <alignment horizontal="left" vertical="center"/>
      <protection locked="0"/>
    </xf>
    <xf numFmtId="2" fontId="78" fillId="8" borderId="0" xfId="0" applyNumberFormat="1" applyFont="1" applyFill="1" applyAlignment="1" applyProtection="1">
      <alignment vertical="center" wrapText="1"/>
      <protection locked="0"/>
    </xf>
    <xf numFmtId="0" fontId="87"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178" fillId="6" borderId="27" xfId="0" applyFont="1" applyFill="1" applyBorder="1" applyAlignment="1" applyProtection="1">
      <alignment horizontal="center" vertical="center" wrapText="1"/>
    </xf>
    <xf numFmtId="0" fontId="178" fillId="6" borderId="6" xfId="0" applyFont="1" applyFill="1" applyBorder="1" applyAlignment="1" applyProtection="1">
      <alignment horizontal="justify" vertical="center" wrapText="1"/>
    </xf>
    <xf numFmtId="0" fontId="178" fillId="6" borderId="7" xfId="0" applyFont="1" applyFill="1" applyBorder="1" applyAlignment="1" applyProtection="1">
      <alignment horizontal="justify" vertical="center" wrapText="1"/>
    </xf>
    <xf numFmtId="0" fontId="100" fillId="5" borderId="0" xfId="0" applyFont="1" applyFill="1" applyAlignment="1" applyProtection="1">
      <alignment vertical="center"/>
      <protection locked="0"/>
    </xf>
    <xf numFmtId="49" fontId="103" fillId="5" borderId="0" xfId="0" applyNumberFormat="1" applyFont="1" applyFill="1" applyBorder="1" applyAlignment="1" applyProtection="1">
      <alignment horizontal="center"/>
      <protection locked="0"/>
    </xf>
    <xf numFmtId="49" fontId="103" fillId="5" borderId="0" xfId="0" applyNumberFormat="1" applyFont="1" applyFill="1" applyBorder="1" applyAlignment="1" applyProtection="1">
      <alignment horizontal="left"/>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108" fillId="5" borderId="0" xfId="0" applyFont="1" applyFill="1" applyBorder="1" applyAlignment="1" applyProtection="1">
      <alignment vertical="center"/>
      <protection locked="0"/>
    </xf>
    <xf numFmtId="49" fontId="99" fillId="5" borderId="0" xfId="0" applyNumberFormat="1" applyFont="1" applyFill="1" applyBorder="1" applyAlignment="1" applyProtection="1">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108" fillId="8" borderId="0" xfId="0" applyFont="1" applyFill="1" applyAlignment="1" applyProtection="1">
      <alignment vertical="center"/>
      <protection locked="0"/>
    </xf>
    <xf numFmtId="0" fontId="108" fillId="0" borderId="0" xfId="0" applyFont="1" applyFill="1" applyAlignment="1" applyProtection="1">
      <alignment vertical="center"/>
      <protection locked="0"/>
    </xf>
    <xf numFmtId="0" fontId="100" fillId="5" borderId="0" xfId="0" applyFont="1" applyFill="1" applyAlignment="1" applyProtection="1">
      <alignment horizontal="center" vertical="center"/>
      <protection locked="0"/>
    </xf>
    <xf numFmtId="0" fontId="108" fillId="5" borderId="0" xfId="0" applyFont="1" applyFill="1" applyAlignment="1" applyProtection="1">
      <alignment vertical="center"/>
      <protection locked="0"/>
    </xf>
    <xf numFmtId="0" fontId="118" fillId="8" borderId="0" xfId="0" applyFont="1" applyFill="1" applyAlignment="1" applyProtection="1">
      <alignment vertical="center"/>
      <protection locked="0"/>
    </xf>
    <xf numFmtId="0" fontId="118" fillId="0" borderId="0" xfId="0" applyFont="1" applyFill="1" applyAlignment="1" applyProtection="1">
      <alignment vertical="center"/>
      <protection locked="0"/>
    </xf>
    <xf numFmtId="49" fontId="97" fillId="5" borderId="0" xfId="0" applyNumberFormat="1" applyFont="1" applyFill="1" applyBorder="1" applyAlignment="1" applyProtection="1">
      <alignment horizontal="left" vertical="center"/>
      <protection locked="0"/>
    </xf>
    <xf numFmtId="0" fontId="97"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78" fillId="5" borderId="0" xfId="0" applyFont="1" applyFill="1" applyBorder="1" applyAlignment="1" applyProtection="1">
      <alignment vertical="center"/>
      <protection locked="0"/>
    </xf>
    <xf numFmtId="0" fontId="88"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49" fontId="120" fillId="5" borderId="0" xfId="0" applyNumberFormat="1" applyFont="1" applyFill="1" applyBorder="1" applyAlignment="1" applyProtection="1">
      <alignment horizontal="left" vertical="center"/>
      <protection locked="0"/>
    </xf>
    <xf numFmtId="0" fontId="120"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122" fillId="5" borderId="0" xfId="0" applyFont="1" applyFill="1" applyBorder="1" applyAlignment="1" applyProtection="1">
      <alignment vertical="center"/>
      <protection locked="0"/>
    </xf>
    <xf numFmtId="0" fontId="123" fillId="5" borderId="0" xfId="0" applyFont="1" applyFill="1" applyBorder="1" applyAlignment="1" applyProtection="1">
      <alignment horizontal="left" vertical="center"/>
      <protection locked="0"/>
    </xf>
    <xf numFmtId="179" fontId="121" fillId="5" borderId="0" xfId="0" applyNumberFormat="1" applyFont="1" applyFill="1" applyBorder="1" applyAlignment="1" applyProtection="1">
      <alignment horizontal="center" vertical="center"/>
      <protection locked="0"/>
    </xf>
    <xf numFmtId="0" fontId="151" fillId="5" borderId="0" xfId="0" applyFont="1" applyFill="1" applyAlignment="1" applyProtection="1">
      <protection locked="0"/>
    </xf>
    <xf numFmtId="0" fontId="151" fillId="5" borderId="0" xfId="0" applyFont="1" applyFill="1" applyAlignment="1" applyProtection="1">
      <alignment horizontal="left"/>
      <protection locked="0"/>
    </xf>
    <xf numFmtId="0" fontId="77" fillId="5" borderId="0" xfId="0" applyFont="1" applyFill="1" applyAlignment="1" applyProtection="1">
      <protection locked="0"/>
    </xf>
    <xf numFmtId="0" fontId="77" fillId="5" borderId="0" xfId="0" applyFont="1" applyFill="1" applyAlignment="1" applyProtection="1">
      <alignment horizontal="left"/>
      <protection locked="0"/>
    </xf>
    <xf numFmtId="0" fontId="124" fillId="5" borderId="0" xfId="0" applyFont="1" applyFill="1" applyAlignment="1" applyProtection="1">
      <alignment horizontal="left" vertical="center"/>
      <protection locked="0"/>
    </xf>
    <xf numFmtId="0" fontId="78" fillId="5" borderId="0" xfId="0" applyFont="1" applyFill="1" applyAlignment="1" applyProtection="1">
      <alignment horizontal="left" vertical="center"/>
      <protection locked="0"/>
    </xf>
    <xf numFmtId="0" fontId="108" fillId="5" borderId="0" xfId="0" applyFont="1" applyFill="1" applyAlignment="1" applyProtection="1">
      <alignment horizontal="left" vertical="center"/>
      <protection locked="0"/>
    </xf>
    <xf numFmtId="49" fontId="73" fillId="8" borderId="0" xfId="0" applyNumberFormat="1" applyFont="1" applyFill="1" applyAlignment="1" applyProtection="1">
      <protection locked="0"/>
    </xf>
    <xf numFmtId="0" fontId="73" fillId="8" borderId="0" xfId="0" applyFont="1" applyFill="1" applyAlignment="1" applyProtection="1">
      <protection locked="0"/>
    </xf>
    <xf numFmtId="0" fontId="108" fillId="8" borderId="0" xfId="0" applyFont="1" applyFill="1" applyAlignment="1" applyProtection="1">
      <alignment horizontal="left" vertical="center"/>
      <protection locked="0"/>
    </xf>
    <xf numFmtId="8" fontId="73" fillId="8" borderId="0" xfId="0" applyNumberFormat="1" applyFont="1" applyFill="1" applyAlignment="1" applyProtection="1">
      <alignment horizontal="center"/>
      <protection locked="0"/>
    </xf>
    <xf numFmtId="0" fontId="73" fillId="8" borderId="0" xfId="0" applyFont="1" applyFill="1" applyBorder="1" applyAlignment="1" applyProtection="1">
      <protection locked="0"/>
    </xf>
    <xf numFmtId="0" fontId="88" fillId="8" borderId="0" xfId="0" applyFont="1" applyFill="1" applyBorder="1" applyAlignment="1" applyProtection="1">
      <alignment horizontal="left" vertical="center"/>
      <protection locked="0"/>
    </xf>
    <xf numFmtId="179" fontId="88" fillId="8" borderId="0" xfId="0" applyNumberFormat="1" applyFont="1" applyFill="1" applyBorder="1" applyAlignment="1" applyProtection="1">
      <alignment horizontal="center" vertical="center"/>
      <protection locked="0"/>
    </xf>
    <xf numFmtId="0" fontId="88" fillId="8" borderId="0" xfId="0" applyFont="1" applyFill="1" applyBorder="1" applyAlignment="1" applyProtection="1">
      <alignment vertical="center" wrapText="1"/>
      <protection locked="0"/>
    </xf>
    <xf numFmtId="10" fontId="88" fillId="8" borderId="0" xfId="0" applyNumberFormat="1" applyFont="1" applyFill="1" applyBorder="1" applyAlignment="1" applyProtection="1">
      <alignment horizontal="center"/>
      <protection locked="0"/>
    </xf>
    <xf numFmtId="49" fontId="97" fillId="8" borderId="0" xfId="0" applyNumberFormat="1" applyFont="1" applyFill="1" applyBorder="1" applyAlignment="1" applyProtection="1">
      <alignment horizontal="left" vertical="center"/>
      <protection locked="0"/>
    </xf>
    <xf numFmtId="0" fontId="119" fillId="8" borderId="0" xfId="0" applyFont="1" applyFill="1" applyBorder="1" applyAlignment="1" applyProtection="1">
      <alignment horizontal="center"/>
      <protection locked="0"/>
    </xf>
    <xf numFmtId="0" fontId="108" fillId="8" borderId="0" xfId="0" applyFont="1" applyFill="1" applyBorder="1" applyAlignment="1" applyProtection="1">
      <alignment vertical="center"/>
      <protection locked="0"/>
    </xf>
    <xf numFmtId="49" fontId="108" fillId="8" borderId="0" xfId="0" applyNumberFormat="1" applyFont="1" applyFill="1" applyAlignment="1" applyProtection="1">
      <alignment vertical="center"/>
      <protection locked="0"/>
    </xf>
    <xf numFmtId="0" fontId="108" fillId="8" borderId="0" xfId="0" applyFont="1" applyFill="1" applyAlignment="1" applyProtection="1">
      <alignment horizontal="center" vertical="center"/>
      <protection locked="0"/>
    </xf>
    <xf numFmtId="49" fontId="108" fillId="0" borderId="0" xfId="0" applyNumberFormat="1" applyFont="1" applyFill="1" applyAlignment="1" applyProtection="1">
      <alignment vertical="center"/>
      <protection locked="0"/>
    </xf>
    <xf numFmtId="0" fontId="108" fillId="0" borderId="0" xfId="0" applyFont="1" applyFill="1" applyAlignment="1" applyProtection="1">
      <alignment horizontal="center" vertical="center"/>
      <protection locked="0"/>
    </xf>
    <xf numFmtId="0" fontId="108" fillId="0" borderId="0" xfId="0" applyFont="1" applyFill="1" applyAlignment="1" applyProtection="1">
      <alignment horizontal="left" vertical="center"/>
      <protection locked="0"/>
    </xf>
    <xf numFmtId="0" fontId="99" fillId="5" borderId="2" xfId="2" applyFont="1" applyFill="1" applyBorder="1" applyAlignment="1" applyProtection="1">
      <alignment vertical="center"/>
      <protection locked="0"/>
    </xf>
    <xf numFmtId="0" fontId="73" fillId="8" borderId="0" xfId="0" applyFont="1" applyFill="1" applyAlignment="1" applyProtection="1">
      <alignment horizontal="center"/>
      <protection locked="0"/>
    </xf>
    <xf numFmtId="0" fontId="153" fillId="5" borderId="59" xfId="2" applyFont="1" applyFill="1" applyBorder="1" applyAlignment="1" applyProtection="1">
      <alignment vertical="center"/>
      <protection locked="0"/>
    </xf>
    <xf numFmtId="0" fontId="72" fillId="5" borderId="0" xfId="2" applyFont="1" applyFill="1" applyBorder="1" applyAlignment="1" applyProtection="1">
      <alignment vertical="center"/>
      <protection locked="0"/>
    </xf>
    <xf numFmtId="177" fontId="99" fillId="5" borderId="2" xfId="2" applyNumberFormat="1" applyFont="1" applyFill="1" applyBorder="1" applyAlignment="1" applyProtection="1">
      <alignment horizontal="right" vertical="center"/>
      <protection locked="0"/>
    </xf>
    <xf numFmtId="0" fontId="59" fillId="5" borderId="10" xfId="2" applyFont="1" applyFill="1" applyBorder="1" applyAlignment="1" applyProtection="1">
      <alignment vertical="center"/>
      <protection locked="0"/>
    </xf>
    <xf numFmtId="0" fontId="99" fillId="5" borderId="10" xfId="2" applyFont="1" applyFill="1" applyBorder="1" applyAlignment="1" applyProtection="1">
      <alignment horizontal="right" vertical="center"/>
      <protection locked="0"/>
    </xf>
    <xf numFmtId="0" fontId="99" fillId="5" borderId="0" xfId="2" applyFont="1" applyFill="1" applyBorder="1" applyAlignment="1" applyProtection="1">
      <alignment vertical="center"/>
      <protection locked="0"/>
    </xf>
    <xf numFmtId="0" fontId="72" fillId="5" borderId="30" xfId="0" applyFont="1" applyFill="1" applyBorder="1" applyAlignment="1" applyProtection="1">
      <protection locked="0"/>
    </xf>
    <xf numFmtId="0" fontId="72" fillId="5" borderId="57" xfId="0" applyFont="1" applyFill="1" applyBorder="1" applyAlignment="1" applyProtection="1">
      <protection locked="0"/>
    </xf>
    <xf numFmtId="0" fontId="101" fillId="8"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82" fillId="8" borderId="0" xfId="0" applyFont="1" applyFill="1" applyProtection="1">
      <alignment vertical="center"/>
      <protection locked="0"/>
    </xf>
    <xf numFmtId="0" fontId="82" fillId="0" borderId="0" xfId="0" applyFont="1" applyFill="1" applyProtection="1">
      <alignment vertical="center"/>
      <protection locked="0"/>
    </xf>
    <xf numFmtId="0" fontId="82" fillId="8" borderId="0" xfId="0" applyFont="1" applyFill="1" applyAlignment="1" applyProtection="1">
      <protection locked="0"/>
    </xf>
    <xf numFmtId="0" fontId="102" fillId="8" borderId="0" xfId="0" applyFont="1" applyFill="1" applyProtection="1">
      <alignment vertical="center"/>
      <protection locked="0"/>
    </xf>
    <xf numFmtId="0" fontId="81" fillId="8" borderId="0" xfId="0" applyFont="1" applyFill="1" applyAlignment="1" applyProtection="1">
      <protection locked="0"/>
    </xf>
    <xf numFmtId="0" fontId="102" fillId="8" borderId="0" xfId="0" applyFont="1" applyFill="1" applyAlignment="1" applyProtection="1">
      <protection locked="0"/>
    </xf>
    <xf numFmtId="0" fontId="82"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8" fillId="3" borderId="0" xfId="0" applyFont="1" applyFill="1" applyAlignment="1" applyProtection="1">
      <alignment horizontal="center"/>
      <protection locked="0"/>
    </xf>
    <xf numFmtId="184" fontId="78" fillId="3" borderId="0" xfId="0" applyNumberFormat="1" applyFont="1" applyFill="1" applyAlignment="1" applyProtection="1">
      <alignment horizontal="center"/>
      <protection locked="0"/>
    </xf>
    <xf numFmtId="0" fontId="102" fillId="8" borderId="0" xfId="0" applyFont="1" applyFill="1" applyAlignment="1" applyProtection="1">
      <alignment vertical="center" wrapText="1"/>
      <protection locked="0"/>
    </xf>
    <xf numFmtId="0" fontId="99"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187" fontId="103" fillId="5" borderId="0" xfId="0" applyNumberFormat="1" applyFont="1" applyFill="1" applyBorder="1" applyAlignment="1" applyProtection="1">
      <alignment horizontal="center" vertical="center"/>
      <protection locked="0"/>
    </xf>
    <xf numFmtId="181" fontId="103" fillId="5" borderId="0" xfId="0" applyNumberFormat="1" applyFont="1" applyFill="1" applyBorder="1" applyAlignment="1" applyProtection="1">
      <alignment vertical="center"/>
      <protection locked="0"/>
    </xf>
    <xf numFmtId="0" fontId="103" fillId="5" borderId="0" xfId="0" applyFont="1" applyFill="1" applyBorder="1" applyAlignment="1" applyProtection="1">
      <alignment horizontal="center" vertical="center"/>
      <protection locked="0"/>
    </xf>
    <xf numFmtId="181" fontId="73" fillId="5" borderId="0" xfId="0" applyNumberFormat="1" applyFont="1" applyFill="1" applyBorder="1" applyAlignment="1" applyProtection="1">
      <alignment vertical="center" wrapText="1"/>
      <protection locked="0"/>
    </xf>
    <xf numFmtId="0" fontId="86" fillId="5" borderId="0" xfId="0" applyFont="1" applyFill="1" applyBorder="1" applyAlignment="1" applyProtection="1">
      <alignment horizontal="center" vertical="center"/>
      <protection locked="0"/>
    </xf>
    <xf numFmtId="181" fontId="73"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106" fillId="5" borderId="18" xfId="0" applyFont="1" applyFill="1" applyBorder="1" applyAlignment="1" applyProtection="1">
      <alignment horizontal="center" vertical="center"/>
      <protection locked="0"/>
    </xf>
    <xf numFmtId="181" fontId="82" fillId="5" borderId="0" xfId="0" applyNumberFormat="1" applyFont="1" applyFill="1" applyBorder="1" applyAlignment="1" applyProtection="1">
      <alignment horizontal="center" vertical="center" wrapText="1"/>
      <protection locked="0"/>
    </xf>
    <xf numFmtId="0" fontId="86" fillId="5" borderId="18" xfId="0" applyFont="1" applyFill="1" applyBorder="1" applyAlignment="1" applyProtection="1">
      <alignment horizontal="center" vertical="center"/>
      <protection locked="0"/>
    </xf>
    <xf numFmtId="181" fontId="107"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1" fontId="86" fillId="5" borderId="0" xfId="0" applyNumberFormat="1" applyFont="1" applyFill="1" applyBorder="1" applyAlignment="1" applyProtection="1">
      <alignment vertical="center" wrapText="1"/>
      <protection locked="0"/>
    </xf>
    <xf numFmtId="0" fontId="86" fillId="5" borderId="0" xfId="0" applyFont="1" applyFill="1" applyAlignment="1" applyProtection="1">
      <alignment horizontal="center" vertical="center"/>
      <protection locked="0"/>
    </xf>
    <xf numFmtId="0" fontId="107" fillId="5" borderId="0" xfId="0" applyFont="1" applyFill="1" applyAlignment="1" applyProtection="1">
      <alignment horizontal="center" vertical="center"/>
      <protection locked="0"/>
    </xf>
    <xf numFmtId="14" fontId="86" fillId="5" borderId="0" xfId="0" applyNumberFormat="1" applyFont="1" applyFill="1" applyAlignment="1" applyProtection="1">
      <alignment horizontal="center" vertical="center"/>
      <protection locked="0"/>
    </xf>
    <xf numFmtId="9" fontId="86" fillId="5" borderId="0" xfId="0" applyNumberFormat="1" applyFont="1" applyFill="1" applyAlignment="1" applyProtection="1">
      <alignment horizontal="center" vertical="center"/>
      <protection locked="0"/>
    </xf>
    <xf numFmtId="187" fontId="86" fillId="5" borderId="0" xfId="0" applyNumberFormat="1" applyFont="1" applyFill="1" applyAlignment="1" applyProtection="1">
      <alignment horizontal="center" vertical="center"/>
      <protection locked="0"/>
    </xf>
    <xf numFmtId="181" fontId="86" fillId="5" borderId="0" xfId="0" applyNumberFormat="1" applyFont="1" applyFill="1" applyAlignment="1" applyProtection="1">
      <alignment horizontal="center" vertical="center"/>
      <protection locked="0"/>
    </xf>
    <xf numFmtId="176" fontId="86" fillId="5" borderId="0" xfId="0" applyNumberFormat="1" applyFont="1" applyFill="1" applyAlignment="1" applyProtection="1">
      <alignment horizontal="center" vertical="center"/>
      <protection locked="0"/>
    </xf>
    <xf numFmtId="187" fontId="107" fillId="5" borderId="0" xfId="0" applyNumberFormat="1" applyFont="1" applyFill="1" applyAlignment="1" applyProtection="1">
      <alignment horizontal="center" vertical="center"/>
      <protection locked="0"/>
    </xf>
    <xf numFmtId="181" fontId="107" fillId="5" borderId="0" xfId="0" applyNumberFormat="1" applyFont="1" applyFill="1" applyAlignment="1" applyProtection="1">
      <alignment horizontal="center" vertical="center"/>
      <protection locked="0"/>
    </xf>
    <xf numFmtId="0" fontId="205" fillId="5" borderId="0" xfId="0" applyFont="1" applyFill="1" applyAlignment="1" applyProtection="1">
      <alignment horizontal="left" vertical="center"/>
      <protection locked="0"/>
    </xf>
    <xf numFmtId="0" fontId="111" fillId="5" borderId="0" xfId="0" applyFont="1" applyFill="1" applyAlignment="1" applyProtection="1">
      <alignment horizontal="center" vertical="center"/>
      <protection locked="0"/>
    </xf>
    <xf numFmtId="0" fontId="88" fillId="5" borderId="0" xfId="0" applyFont="1" applyFill="1" applyAlignment="1" applyProtection="1">
      <protection locked="0"/>
    </xf>
    <xf numFmtId="0" fontId="86" fillId="5" borderId="0" xfId="0" applyFont="1" applyFill="1" applyBorder="1" applyAlignment="1" applyProtection="1">
      <protection locked="0"/>
    </xf>
    <xf numFmtId="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protection locked="0"/>
    </xf>
    <xf numFmtId="49" fontId="73" fillId="5" borderId="0" xfId="0" applyNumberFormat="1" applyFont="1" applyFill="1" applyAlignment="1" applyProtection="1">
      <alignment horizontal="center" vertical="center"/>
      <protection locked="0"/>
    </xf>
    <xf numFmtId="0" fontId="73" fillId="5" borderId="0" xfId="0" applyNumberFormat="1" applyFont="1" applyFill="1" applyBorder="1" applyAlignment="1" applyProtection="1">
      <alignment horizontal="center" vertical="center" wrapText="1"/>
      <protection locked="0"/>
    </xf>
    <xf numFmtId="0" fontId="151" fillId="5" borderId="0" xfId="0" applyFont="1" applyFill="1" applyBorder="1" applyAlignment="1" applyProtection="1">
      <alignment vertical="center"/>
      <protection locked="0"/>
    </xf>
    <xf numFmtId="0" fontId="107"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0" xfId="0" applyFont="1" applyFill="1" applyBorder="1" applyAlignment="1" applyProtection="1">
      <alignment horizontal="center" vertical="center"/>
      <protection locked="0"/>
    </xf>
    <xf numFmtId="9" fontId="82" fillId="5" borderId="0" xfId="0" applyNumberFormat="1" applyFont="1" applyFill="1" applyBorder="1" applyAlignment="1" applyProtection="1">
      <alignment horizontal="center" vertical="center"/>
      <protection locked="0"/>
    </xf>
    <xf numFmtId="0" fontId="82" fillId="5" borderId="0" xfId="0" applyFont="1" applyFill="1" applyBorder="1" applyAlignment="1" applyProtection="1">
      <alignment vertical="center" wrapText="1"/>
      <protection locked="0"/>
    </xf>
    <xf numFmtId="0" fontId="73" fillId="5" borderId="0" xfId="0" applyFont="1" applyFill="1" applyBorder="1" applyAlignment="1" applyProtection="1">
      <alignment vertical="center" wrapText="1"/>
      <protection locked="0"/>
    </xf>
    <xf numFmtId="0" fontId="86" fillId="8" borderId="0" xfId="0" applyFont="1" applyFill="1" applyAlignment="1" applyProtection="1">
      <alignment horizontal="center" vertical="center"/>
      <protection locked="0"/>
    </xf>
    <xf numFmtId="187" fontId="86" fillId="8" borderId="0" xfId="0" applyNumberFormat="1" applyFont="1" applyFill="1" applyAlignment="1" applyProtection="1">
      <alignment horizontal="center" vertical="center"/>
      <protection locked="0"/>
    </xf>
    <xf numFmtId="181" fontId="86" fillId="8" borderId="0" xfId="0" applyNumberFormat="1" applyFont="1" applyFill="1" applyAlignment="1" applyProtection="1">
      <alignment horizontal="center" vertical="center"/>
      <protection locked="0"/>
    </xf>
    <xf numFmtId="0" fontId="106" fillId="5"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187" fontId="86" fillId="0" borderId="0" xfId="0" applyNumberFormat="1" applyFont="1" applyFill="1" applyAlignment="1" applyProtection="1">
      <alignment horizontal="center" vertical="center"/>
      <protection locked="0"/>
    </xf>
    <xf numFmtId="181" fontId="86" fillId="0" borderId="0" xfId="0" applyNumberFormat="1" applyFont="1" applyFill="1" applyAlignment="1" applyProtection="1">
      <alignment horizontal="center" vertical="center"/>
      <protection locked="0"/>
    </xf>
    <xf numFmtId="0" fontId="99" fillId="5" borderId="28" xfId="2" applyFont="1" applyFill="1" applyBorder="1" applyAlignment="1" applyProtection="1">
      <alignment vertical="center"/>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88" fillId="3" borderId="0" xfId="0" applyFont="1" applyFill="1" applyAlignment="1" applyProtection="1">
      <alignment horizontal="center" vertical="center"/>
      <protection locked="0"/>
    </xf>
    <xf numFmtId="0" fontId="88" fillId="8" borderId="0" xfId="0" applyFont="1" applyFill="1" applyAlignment="1" applyProtection="1">
      <alignment vertical="center"/>
      <protection locked="0"/>
    </xf>
    <xf numFmtId="0" fontId="42" fillId="5" borderId="0" xfId="3" applyFont="1" applyFill="1" applyAlignment="1" applyProtection="1">
      <alignment vertical="center" wrapText="1"/>
      <protection locked="0"/>
    </xf>
    <xf numFmtId="0" fontId="42" fillId="5" borderId="0" xfId="3" applyFont="1" applyFill="1" applyAlignment="1" applyProtection="1">
      <alignment horizontal="center" vertical="center" wrapText="1"/>
      <protection locked="0"/>
    </xf>
    <xf numFmtId="0" fontId="60" fillId="5" borderId="0" xfId="3"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88" fillId="5" borderId="0" xfId="3" applyFont="1" applyFill="1" applyAlignment="1" applyProtection="1">
      <alignment horizontal="center" vertical="center" wrapText="1"/>
      <protection locked="0"/>
    </xf>
    <xf numFmtId="10" fontId="88" fillId="5" borderId="0" xfId="3" applyNumberFormat="1"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42" fillId="8" borderId="0" xfId="3" applyFont="1" applyFill="1" applyAlignment="1" applyProtection="1">
      <alignment vertical="center" wrapText="1"/>
      <protection locked="0"/>
    </xf>
    <xf numFmtId="0" fontId="42" fillId="8" borderId="0" xfId="3" applyFont="1" applyFill="1" applyAlignment="1" applyProtection="1">
      <alignment horizontal="center" vertical="center" wrapText="1"/>
      <protection locked="0"/>
    </xf>
    <xf numFmtId="0" fontId="42" fillId="8" borderId="0" xfId="3" applyFont="1" applyFill="1" applyAlignment="1" applyProtection="1">
      <alignment horizontal="left" vertical="center" wrapText="1"/>
      <protection locked="0"/>
    </xf>
    <xf numFmtId="0" fontId="42" fillId="0" borderId="0" xfId="3" applyFont="1" applyAlignment="1" applyProtection="1">
      <alignment vertical="center" wrapText="1"/>
      <protection locked="0"/>
    </xf>
    <xf numFmtId="0" fontId="42" fillId="0" borderId="0" xfId="3" applyFont="1" applyAlignment="1" applyProtection="1">
      <alignment horizontal="center" vertical="center" wrapText="1"/>
      <protection locked="0"/>
    </xf>
    <xf numFmtId="0" fontId="75" fillId="5" borderId="0" xfId="0" applyFont="1" applyFill="1" applyBorder="1" applyAlignment="1" applyProtection="1">
      <alignment vertical="center"/>
      <protection locked="0"/>
    </xf>
    <xf numFmtId="187" fontId="99" fillId="5" borderId="0" xfId="0" applyNumberFormat="1" applyFont="1" applyFill="1" applyBorder="1" applyAlignment="1" applyProtection="1">
      <alignment horizontal="center" vertical="center"/>
      <protection locked="0"/>
    </xf>
    <xf numFmtId="181"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0" fontId="86" fillId="5" borderId="0" xfId="0" applyFont="1" applyFill="1" applyBorder="1" applyAlignment="1" applyProtection="1">
      <alignment horizontal="center" vertical="center" wrapText="1"/>
      <protection locked="0"/>
    </xf>
    <xf numFmtId="9" fontId="86" fillId="5" borderId="0" xfId="0" applyNumberFormat="1" applyFont="1" applyFill="1" applyBorder="1" applyAlignment="1" applyProtection="1">
      <alignment horizontal="center" vertical="center" wrapText="1"/>
      <protection locked="0"/>
    </xf>
    <xf numFmtId="0" fontId="103" fillId="5" borderId="13" xfId="0" applyFont="1" applyFill="1" applyBorder="1" applyAlignment="1" applyProtection="1">
      <alignment horizontal="center" vertical="center"/>
    </xf>
    <xf numFmtId="0" fontId="86" fillId="5" borderId="13" xfId="0" applyFont="1" applyFill="1" applyBorder="1" applyAlignment="1" applyProtection="1">
      <alignment horizontal="center" vertical="center"/>
      <protection locked="0"/>
    </xf>
    <xf numFmtId="0" fontId="107" fillId="5" borderId="13" xfId="0" applyFont="1" applyFill="1" applyBorder="1" applyAlignment="1" applyProtection="1">
      <alignment horizontal="center" vertical="center"/>
      <protection locked="0"/>
    </xf>
    <xf numFmtId="0" fontId="86" fillId="5" borderId="13" xfId="0" applyFont="1" applyFill="1" applyBorder="1" applyAlignment="1" applyProtection="1">
      <protection locked="0"/>
    </xf>
    <xf numFmtId="49" fontId="73" fillId="5" borderId="13" xfId="0" applyNumberFormat="1" applyFont="1" applyFill="1" applyBorder="1" applyAlignment="1" applyProtection="1">
      <alignment horizontal="center" vertical="center"/>
      <protection locked="0"/>
    </xf>
    <xf numFmtId="9" fontId="73" fillId="5" borderId="13" xfId="0" applyNumberFormat="1" applyFont="1" applyFill="1" applyBorder="1" applyAlignment="1" applyProtection="1">
      <alignment horizontal="center" vertical="center" wrapText="1"/>
      <protection locked="0"/>
    </xf>
    <xf numFmtId="0" fontId="151" fillId="5" borderId="13" xfId="0" applyFont="1" applyFill="1" applyBorder="1" applyAlignment="1" applyProtection="1">
      <alignment vertical="center"/>
      <protection locked="0"/>
    </xf>
    <xf numFmtId="0" fontId="73"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82" fillId="5" borderId="13" xfId="0" applyFont="1" applyFill="1" applyBorder="1" applyAlignment="1" applyProtection="1">
      <alignment vertical="center" wrapText="1"/>
      <protection locked="0"/>
    </xf>
    <xf numFmtId="0" fontId="73" fillId="5" borderId="13" xfId="0" applyFont="1" applyFill="1" applyBorder="1" applyAlignment="1" applyProtection="1">
      <alignment vertical="center" wrapText="1"/>
      <protection locked="0"/>
    </xf>
    <xf numFmtId="0" fontId="86" fillId="5" borderId="13"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protection locked="0"/>
    </xf>
    <xf numFmtId="0" fontId="86" fillId="0" borderId="13" xfId="0" applyFont="1" applyFill="1" applyBorder="1" applyAlignment="1" applyProtection="1">
      <alignment horizontal="center" vertical="center"/>
    </xf>
    <xf numFmtId="0" fontId="86" fillId="5" borderId="0" xfId="0" applyFont="1" applyFill="1" applyBorder="1" applyAlignment="1" applyProtection="1">
      <alignment horizontal="center"/>
      <protection locked="0"/>
    </xf>
    <xf numFmtId="187" fontId="86" fillId="5" borderId="0" xfId="0" applyNumberFormat="1" applyFont="1" applyFill="1" applyBorder="1" applyAlignment="1" applyProtection="1">
      <alignment horizontal="center"/>
      <protection locked="0"/>
    </xf>
    <xf numFmtId="181" fontId="86" fillId="5" borderId="0" xfId="0" applyNumberFormat="1" applyFont="1" applyFill="1" applyBorder="1" applyAlignment="1" applyProtection="1">
      <protection locked="0"/>
    </xf>
    <xf numFmtId="0" fontId="78" fillId="5" borderId="0" xfId="0" applyNumberFormat="1" applyFont="1" applyFill="1" applyAlignment="1" applyProtection="1">
      <alignment horizontal="center" vertical="center"/>
      <protection locked="0"/>
    </xf>
    <xf numFmtId="0" fontId="78" fillId="0" borderId="0" xfId="0" applyNumberFormat="1" applyFont="1" applyAlignment="1" applyProtection="1">
      <alignment horizontal="center" vertical="center"/>
      <protection locked="0"/>
    </xf>
    <xf numFmtId="0" fontId="146" fillId="5" borderId="28" xfId="0" applyFont="1" applyFill="1" applyBorder="1" applyAlignment="1" applyProtection="1">
      <alignment horizontal="center" vertical="center" wrapText="1"/>
      <protection locked="0"/>
    </xf>
    <xf numFmtId="0" fontId="111" fillId="5" borderId="2" xfId="0" applyFont="1" applyFill="1" applyBorder="1" applyAlignment="1" applyProtection="1">
      <alignment horizontal="center" vertical="center"/>
      <protection locked="0"/>
    </xf>
    <xf numFmtId="9" fontId="111" fillId="6" borderId="2" xfId="0" applyNumberFormat="1" applyFont="1" applyFill="1" applyBorder="1" applyAlignment="1" applyProtection="1">
      <alignment horizontal="center" vertical="center"/>
      <protection locked="0"/>
    </xf>
    <xf numFmtId="0" fontId="210" fillId="8" borderId="0" xfId="0" applyFont="1" applyFill="1" applyAlignment="1" applyProtection="1">
      <protection locked="0"/>
    </xf>
    <xf numFmtId="0" fontId="51" fillId="5" borderId="2" xfId="0" applyFont="1" applyFill="1" applyBorder="1" applyAlignment="1" applyProtection="1">
      <alignment horizontal="left" vertical="center"/>
    </xf>
    <xf numFmtId="0" fontId="47" fillId="5" borderId="10" xfId="0" applyFont="1" applyFill="1" applyBorder="1" applyAlignment="1" applyProtection="1">
      <alignment vertical="center" wrapText="1"/>
    </xf>
    <xf numFmtId="0" fontId="73" fillId="0" borderId="12" xfId="2" applyNumberFormat="1" applyFont="1" applyFill="1" applyBorder="1" applyAlignment="1" applyProtection="1">
      <alignment horizontal="center" vertical="center"/>
      <protection locked="0"/>
    </xf>
    <xf numFmtId="0" fontId="78" fillId="5" borderId="44" xfId="0" applyFont="1" applyFill="1" applyBorder="1" applyAlignment="1" applyProtection="1">
      <alignment horizontal="center" vertical="center"/>
    </xf>
    <xf numFmtId="0" fontId="97" fillId="5" borderId="4" xfId="0" applyNumberFormat="1" applyFont="1" applyFill="1" applyBorder="1" applyAlignment="1" applyProtection="1">
      <alignment vertical="center" wrapText="1"/>
      <protection locked="0"/>
    </xf>
    <xf numFmtId="0" fontId="78" fillId="5" borderId="57" xfId="0" applyNumberFormat="1" applyFont="1" applyFill="1" applyBorder="1" applyAlignment="1" applyProtection="1">
      <alignment horizontal="center" vertical="center" wrapText="1"/>
    </xf>
    <xf numFmtId="0" fontId="88"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textRotation="255" wrapText="1"/>
      <protection locked="0"/>
    </xf>
    <xf numFmtId="0" fontId="81" fillId="0" borderId="5" xfId="0" applyNumberFormat="1" applyFont="1" applyFill="1" applyBorder="1" applyAlignment="1" applyProtection="1">
      <alignment horizontal="center"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wrapText="1"/>
      <protection locked="0"/>
    </xf>
    <xf numFmtId="0" fontId="78" fillId="5" borderId="31" xfId="0" applyNumberFormat="1" applyFont="1" applyFill="1" applyBorder="1" applyAlignment="1" applyProtection="1">
      <alignment horizontal="center" vertical="center" wrapText="1"/>
    </xf>
    <xf numFmtId="0" fontId="78" fillId="0" borderId="2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5" borderId="65" xfId="0" applyNumberFormat="1" applyFont="1" applyFill="1" applyBorder="1" applyAlignment="1" applyProtection="1">
      <alignment horizontal="center" vertical="center" wrapText="1"/>
    </xf>
    <xf numFmtId="0" fontId="87" fillId="5" borderId="13" xfId="0" applyNumberFormat="1" applyFont="1" applyFill="1" applyBorder="1" applyAlignment="1" applyProtection="1">
      <alignment vertical="center" wrapText="1"/>
      <protection locked="0"/>
    </xf>
    <xf numFmtId="0" fontId="78" fillId="0" borderId="106"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left" vertical="center" wrapText="1"/>
      <protection locked="0"/>
    </xf>
    <xf numFmtId="0" fontId="78"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78" fillId="0" borderId="110"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0" borderId="17"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protection locked="0"/>
    </xf>
    <xf numFmtId="0"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wrapText="1"/>
      <protection locked="0"/>
    </xf>
    <xf numFmtId="9"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protection locked="0"/>
    </xf>
    <xf numFmtId="0" fontId="78" fillId="0" borderId="65" xfId="0" applyFont="1" applyFill="1" applyBorder="1" applyAlignment="1" applyProtection="1">
      <alignment horizontal="center" vertical="center"/>
      <protection locked="0"/>
    </xf>
    <xf numFmtId="0" fontId="78" fillId="5" borderId="22" xfId="0" applyNumberFormat="1" applyFont="1" applyFill="1" applyBorder="1" applyAlignment="1" applyProtection="1">
      <alignment horizontal="center" vertical="center" wrapText="1"/>
    </xf>
    <xf numFmtId="0" fontId="88" fillId="5" borderId="10" xfId="0" applyNumberFormat="1" applyFont="1" applyFill="1" applyBorder="1" applyAlignment="1" applyProtection="1">
      <alignment horizontal="center" vertical="center" wrapText="1"/>
    </xf>
    <xf numFmtId="0" fontId="78" fillId="0" borderId="113" xfId="0" applyFont="1" applyFill="1" applyBorder="1" applyAlignment="1" applyProtection="1">
      <alignment horizontal="center" vertical="center"/>
      <protection locked="0"/>
    </xf>
    <xf numFmtId="0"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wrapText="1"/>
      <protection locked="0"/>
    </xf>
    <xf numFmtId="9"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protection locked="0"/>
    </xf>
    <xf numFmtId="0" fontId="78" fillId="0" borderId="110" xfId="0" applyFont="1" applyFill="1" applyBorder="1" applyAlignment="1" applyProtection="1">
      <alignment horizontal="center" vertical="center"/>
      <protection locked="0"/>
    </xf>
    <xf numFmtId="0" fontId="78" fillId="5" borderId="110" xfId="0" applyNumberFormat="1" applyFont="1" applyFill="1" applyBorder="1" applyAlignment="1" applyProtection="1">
      <alignment horizontal="center" vertical="center" wrapText="1"/>
    </xf>
    <xf numFmtId="0" fontId="88" fillId="0" borderId="111" xfId="0" applyNumberFormat="1" applyFont="1" applyFill="1" applyBorder="1" applyAlignment="1" applyProtection="1">
      <alignment horizontal="center" vertical="center" wrapText="1"/>
      <protection locked="0"/>
    </xf>
    <xf numFmtId="0" fontId="88" fillId="0" borderId="112" xfId="0" applyNumberFormat="1" applyFont="1" applyFill="1" applyBorder="1" applyAlignment="1" applyProtection="1">
      <alignment horizontal="center" vertical="center" wrapText="1"/>
      <protection locked="0"/>
    </xf>
    <xf numFmtId="0" fontId="136"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8" fillId="10" borderId="1"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left" vertical="center" wrapText="1"/>
      <protection locked="0"/>
    </xf>
    <xf numFmtId="0" fontId="78" fillId="10" borderId="29" xfId="0" applyNumberFormat="1" applyFont="1" applyFill="1" applyBorder="1" applyAlignment="1" applyProtection="1">
      <alignment horizontal="center" vertical="center" wrapText="1"/>
      <protection locked="0"/>
    </xf>
    <xf numFmtId="0" fontId="78" fillId="10" borderId="40" xfId="0" applyFont="1" applyFill="1" applyBorder="1" applyAlignment="1" applyProtection="1">
      <alignment horizontal="center" vertical="center"/>
      <protection locked="0"/>
    </xf>
    <xf numFmtId="0"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wrapText="1"/>
      <protection locked="0"/>
    </xf>
    <xf numFmtId="9"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protection locked="0"/>
    </xf>
    <xf numFmtId="0" fontId="78" fillId="10" borderId="39" xfId="0" applyFont="1" applyFill="1" applyBorder="1" applyAlignment="1" applyProtection="1">
      <alignment horizontal="center" vertical="center"/>
      <protection locked="0"/>
    </xf>
    <xf numFmtId="0" fontId="87" fillId="10" borderId="116" xfId="0" applyNumberFormat="1" applyFont="1" applyFill="1" applyBorder="1" applyAlignment="1" applyProtection="1">
      <alignment vertical="center" wrapText="1"/>
      <protection locked="0"/>
    </xf>
    <xf numFmtId="0" fontId="78" fillId="10" borderId="54" xfId="0" applyNumberFormat="1" applyFont="1" applyFill="1" applyBorder="1" applyAlignment="1" applyProtection="1">
      <alignment horizontal="center" vertical="center" wrapText="1"/>
    </xf>
    <xf numFmtId="0" fontId="78" fillId="10" borderId="43" xfId="0" applyNumberFormat="1" applyFont="1" applyFill="1" applyBorder="1" applyAlignment="1" applyProtection="1">
      <alignment horizontal="center" vertical="center" wrapText="1"/>
      <protection locked="0"/>
    </xf>
    <xf numFmtId="0" fontId="88" fillId="10" borderId="44" xfId="0" applyNumberFormat="1" applyFont="1" applyFill="1" applyBorder="1" applyAlignment="1" applyProtection="1">
      <alignment horizontal="center" vertical="center" wrapText="1"/>
      <protection locked="0"/>
    </xf>
    <xf numFmtId="0" fontId="88" fillId="10" borderId="45" xfId="0" applyNumberFormat="1" applyFont="1" applyFill="1" applyBorder="1" applyAlignment="1" applyProtection="1">
      <alignment horizontal="center" vertical="center" wrapText="1"/>
      <protection locked="0"/>
    </xf>
    <xf numFmtId="0" fontId="88" fillId="10" borderId="48" xfId="0" applyNumberFormat="1" applyFont="1" applyFill="1" applyBorder="1" applyAlignment="1" applyProtection="1">
      <alignment horizontal="center" vertical="center" wrapText="1"/>
      <protection locked="0"/>
    </xf>
    <xf numFmtId="0" fontId="73" fillId="5" borderId="2"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54" fillId="5" borderId="28" xfId="0" applyFont="1" applyFill="1" applyBorder="1" applyAlignment="1" applyProtection="1">
      <alignment vertical="center"/>
    </xf>
    <xf numFmtId="0" fontId="83" fillId="5" borderId="5" xfId="0" applyFont="1" applyFill="1" applyBorder="1" applyProtection="1">
      <alignment vertical="center"/>
    </xf>
    <xf numFmtId="0" fontId="83" fillId="5" borderId="2" xfId="0" applyFont="1" applyFill="1" applyBorder="1" applyProtection="1">
      <alignment vertical="center"/>
    </xf>
    <xf numFmtId="176" fontId="73" fillId="5" borderId="2" xfId="0" applyNumberFormat="1" applyFont="1" applyFill="1" applyBorder="1" applyProtection="1">
      <alignment vertical="center"/>
    </xf>
    <xf numFmtId="177" fontId="132" fillId="5" borderId="11" xfId="2" applyNumberFormat="1" applyFont="1" applyFill="1" applyBorder="1" applyAlignment="1" applyProtection="1">
      <alignment horizontal="left" vertical="center"/>
    </xf>
    <xf numFmtId="177" fontId="73"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73" fillId="5" borderId="2" xfId="0" applyFont="1" applyFill="1" applyBorder="1" applyAlignment="1" applyProtection="1">
      <alignment horizontal="right" vertical="center" wrapText="1"/>
    </xf>
    <xf numFmtId="177" fontId="73" fillId="5" borderId="2" xfId="2" applyNumberFormat="1" applyFont="1" applyFill="1" applyBorder="1" applyAlignment="1" applyProtection="1">
      <alignment vertical="center"/>
    </xf>
    <xf numFmtId="177" fontId="73" fillId="5" borderId="5" xfId="2" applyNumberFormat="1" applyFont="1" applyFill="1" applyBorder="1" applyAlignment="1" applyProtection="1">
      <alignment vertical="center"/>
    </xf>
    <xf numFmtId="177" fontId="73" fillId="5" borderId="11" xfId="2" applyNumberFormat="1" applyFont="1" applyFill="1" applyBorder="1" applyAlignment="1" applyProtection="1">
      <alignment horizontal="center" vertical="center"/>
    </xf>
    <xf numFmtId="183" fontId="73" fillId="5" borderId="2" xfId="0" applyNumberFormat="1" applyFont="1" applyFill="1" applyBorder="1" applyAlignment="1" applyProtection="1">
      <alignment horizontal="center" vertical="center"/>
    </xf>
    <xf numFmtId="181" fontId="82" fillId="5" borderId="2" xfId="0" applyNumberFormat="1" applyFont="1" applyFill="1" applyBorder="1" applyAlignment="1" applyProtection="1">
      <alignment horizontal="center" vertical="center"/>
    </xf>
    <xf numFmtId="179" fontId="73" fillId="5" borderId="43" xfId="2" applyNumberFormat="1" applyFont="1" applyFill="1" applyBorder="1" applyAlignment="1" applyProtection="1">
      <alignment horizontal="center" vertical="center"/>
    </xf>
    <xf numFmtId="177" fontId="83" fillId="5" borderId="11" xfId="2"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xf>
    <xf numFmtId="0" fontId="51" fillId="5" borderId="5" xfId="0" applyFont="1" applyFill="1" applyBorder="1" applyAlignment="1" applyProtection="1">
      <alignment horizontal="left" vertical="center"/>
    </xf>
    <xf numFmtId="0" fontId="84" fillId="5" borderId="9" xfId="0" applyFont="1" applyFill="1" applyBorder="1" applyAlignment="1" applyProtection="1">
      <alignment horizontal="center" vertical="center"/>
    </xf>
    <xf numFmtId="177" fontId="73" fillId="5" borderId="2" xfId="2" applyNumberFormat="1" applyFont="1" applyFill="1" applyBorder="1" applyAlignment="1" applyProtection="1">
      <alignment horizontal="center" vertical="center"/>
    </xf>
    <xf numFmtId="0" fontId="73" fillId="0" borderId="12" xfId="2" applyNumberFormat="1" applyFont="1" applyFill="1" applyBorder="1" applyAlignment="1" applyProtection="1">
      <alignment horizontal="center" vertical="center"/>
    </xf>
    <xf numFmtId="9" fontId="73" fillId="5" borderId="5" xfId="0"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81" fontId="73" fillId="5" borderId="2" xfId="0" applyNumberFormat="1" applyFont="1" applyFill="1" applyBorder="1" applyAlignment="1" applyProtection="1">
      <alignment vertical="center"/>
    </xf>
    <xf numFmtId="181" fontId="73" fillId="5" borderId="5" xfId="0" applyNumberFormat="1" applyFont="1" applyFill="1" applyBorder="1" applyAlignment="1" applyProtection="1">
      <alignment vertical="center"/>
    </xf>
    <xf numFmtId="181" fontId="73" fillId="5" borderId="12" xfId="0" applyNumberFormat="1" applyFont="1" applyFill="1" applyBorder="1" applyAlignment="1" applyProtection="1">
      <alignment vertical="center"/>
    </xf>
    <xf numFmtId="181" fontId="73" fillId="5" borderId="2" xfId="0" applyNumberFormat="1" applyFont="1" applyFill="1" applyBorder="1" applyAlignment="1" applyProtection="1">
      <alignment horizontal="center" vertical="center"/>
    </xf>
    <xf numFmtId="181" fontId="73" fillId="5" borderId="5" xfId="0" applyNumberFormat="1" applyFont="1" applyFill="1" applyBorder="1" applyAlignment="1" applyProtection="1">
      <alignment horizontal="center" vertical="center"/>
    </xf>
    <xf numFmtId="10" fontId="73" fillId="5" borderId="2" xfId="0" applyNumberFormat="1" applyFont="1" applyFill="1" applyBorder="1" applyAlignment="1" applyProtection="1">
      <alignment horizontal="center" vertical="center"/>
    </xf>
    <xf numFmtId="182" fontId="73" fillId="5" borderId="2" xfId="0" applyNumberFormat="1" applyFont="1" applyFill="1" applyBorder="1" applyAlignment="1" applyProtection="1">
      <alignment horizontal="center" vertical="center"/>
    </xf>
    <xf numFmtId="181" fontId="73" fillId="5" borderId="12" xfId="0" applyNumberFormat="1"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78" fillId="5" borderId="20" xfId="0" applyFont="1" applyFill="1" applyBorder="1" applyAlignment="1" applyProtection="1">
      <alignment horizontal="left" vertical="center"/>
      <protection locked="0"/>
    </xf>
    <xf numFmtId="0" fontId="135" fillId="5" borderId="47" xfId="0" applyFont="1" applyFill="1" applyBorder="1" applyAlignment="1" applyProtection="1">
      <alignment vertical="center"/>
    </xf>
    <xf numFmtId="0" fontId="54" fillId="5" borderId="2" xfId="0" applyFont="1" applyFill="1" applyBorder="1" applyAlignment="1" applyProtection="1">
      <alignment vertical="center"/>
    </xf>
    <xf numFmtId="0" fontId="42" fillId="5" borderId="11" xfId="2" applyFont="1" applyFill="1" applyBorder="1" applyAlignment="1" applyProtection="1"/>
    <xf numFmtId="0" fontId="212" fillId="5" borderId="9" xfId="0" applyFont="1" applyFill="1" applyBorder="1" applyAlignment="1" applyProtection="1">
      <alignment horizontal="right" vertical="center"/>
    </xf>
    <xf numFmtId="0" fontId="213" fillId="5" borderId="5" xfId="0" applyFont="1" applyFill="1" applyBorder="1" applyAlignment="1" applyProtection="1">
      <alignment horizontal="left" vertical="center"/>
    </xf>
    <xf numFmtId="0" fontId="214" fillId="5" borderId="9" xfId="0" applyFont="1" applyFill="1" applyBorder="1" applyAlignment="1" applyProtection="1">
      <alignment horizontal="right" vertical="center"/>
    </xf>
    <xf numFmtId="0" fontId="84" fillId="5" borderId="9" xfId="0" applyFont="1" applyFill="1" applyBorder="1" applyAlignment="1" applyProtection="1">
      <alignment horizontal="right" vertical="center"/>
    </xf>
    <xf numFmtId="177" fontId="54" fillId="5" borderId="2" xfId="2" applyNumberFormat="1" applyFont="1" applyFill="1" applyBorder="1" applyAlignment="1" applyProtection="1">
      <alignment vertical="center"/>
    </xf>
    <xf numFmtId="14" fontId="77" fillId="5" borderId="34" xfId="0" applyNumberFormat="1" applyFont="1" applyFill="1" applyBorder="1" applyAlignment="1" applyProtection="1">
      <alignment horizontal="center" vertical="center"/>
    </xf>
    <xf numFmtId="0" fontId="188" fillId="0" borderId="0" xfId="7" applyFont="1" applyAlignment="1">
      <alignment horizontal="center" vertical="center"/>
    </xf>
    <xf numFmtId="0" fontId="215" fillId="0" borderId="0" xfId="7" applyFont="1" applyAlignment="1">
      <alignment horizontal="center" vertical="center"/>
    </xf>
    <xf numFmtId="0" fontId="215" fillId="0" borderId="0" xfId="7" applyFont="1">
      <alignment vertical="center"/>
    </xf>
    <xf numFmtId="0" fontId="182" fillId="0" borderId="0" xfId="7" applyFont="1">
      <alignment vertical="center"/>
    </xf>
    <xf numFmtId="0" fontId="216" fillId="0" borderId="10" xfId="7" applyFont="1" applyFill="1" applyBorder="1" applyAlignment="1">
      <alignment vertical="center"/>
    </xf>
    <xf numFmtId="0" fontId="216" fillId="0" borderId="2" xfId="7" applyFont="1" applyFill="1" applyBorder="1" applyAlignment="1">
      <alignment horizontal="center" vertical="center"/>
    </xf>
    <xf numFmtId="0" fontId="216" fillId="0" borderId="5" xfId="7" applyFont="1" applyFill="1" applyBorder="1" applyAlignment="1">
      <alignment horizontal="center" vertical="center"/>
    </xf>
    <xf numFmtId="0" fontId="216" fillId="0" borderId="10" xfId="7" applyFont="1" applyFill="1" applyBorder="1" applyAlignment="1">
      <alignment horizontal="center" vertical="center"/>
    </xf>
    <xf numFmtId="183" fontId="216" fillId="0" borderId="10" xfId="7" applyNumberFormat="1" applyFont="1" applyFill="1" applyBorder="1" applyAlignment="1">
      <alignment horizontal="center" vertical="center"/>
    </xf>
    <xf numFmtId="0" fontId="182" fillId="0" borderId="0" xfId="7" applyFont="1" applyFill="1">
      <alignment vertical="center"/>
    </xf>
    <xf numFmtId="0" fontId="217" fillId="0" borderId="2" xfId="7" applyFont="1" applyFill="1" applyBorder="1" applyAlignment="1">
      <alignment vertical="center"/>
    </xf>
    <xf numFmtId="0" fontId="216" fillId="0" borderId="2" xfId="7" applyFont="1" applyBorder="1" applyAlignment="1">
      <alignment horizontal="right" vertical="center"/>
    </xf>
    <xf numFmtId="0" fontId="216" fillId="0" borderId="2" xfId="7" applyFont="1" applyFill="1" applyBorder="1" applyAlignment="1">
      <alignment horizontal="right" vertical="center"/>
    </xf>
    <xf numFmtId="0" fontId="188" fillId="0" borderId="0" xfId="7" applyFont="1">
      <alignment vertical="center"/>
    </xf>
    <xf numFmtId="0" fontId="188" fillId="0" borderId="2" xfId="7" applyFont="1" applyBorder="1">
      <alignment vertical="center"/>
    </xf>
    <xf numFmtId="183" fontId="216" fillId="0" borderId="2" xfId="7" applyNumberFormat="1" applyFont="1" applyFill="1" applyBorder="1" applyAlignment="1">
      <alignment horizontal="right" vertical="center"/>
    </xf>
    <xf numFmtId="183" fontId="216" fillId="0" borderId="2" xfId="0" applyNumberFormat="1" applyFont="1" applyFill="1" applyBorder="1" applyAlignment="1">
      <alignment horizontal="right" vertical="center"/>
    </xf>
    <xf numFmtId="14" fontId="188" fillId="0" borderId="2" xfId="7" applyNumberFormat="1" applyFont="1" applyBorder="1">
      <alignment vertical="center"/>
    </xf>
    <xf numFmtId="0" fontId="218" fillId="0" borderId="2" xfId="7" applyFont="1" applyBorder="1">
      <alignment vertical="center"/>
    </xf>
    <xf numFmtId="183" fontId="218" fillId="0" borderId="2" xfId="0" applyNumberFormat="1" applyFont="1" applyFill="1" applyBorder="1" applyAlignment="1">
      <alignment horizontal="right" vertical="center"/>
    </xf>
    <xf numFmtId="14" fontId="182" fillId="0" borderId="0" xfId="7" applyNumberFormat="1" applyFont="1">
      <alignment vertical="center"/>
    </xf>
    <xf numFmtId="0" fontId="154" fillId="5" borderId="2" xfId="0" applyFont="1" applyFill="1" applyBorder="1" applyAlignment="1" applyProtection="1">
      <alignment horizontal="left" vertical="center" wrapText="1"/>
      <protection locked="0"/>
    </xf>
    <xf numFmtId="0" fontId="84" fillId="5" borderId="2" xfId="0" applyFont="1" applyFill="1" applyBorder="1" applyAlignment="1" applyProtection="1">
      <alignment horizontal="center" vertical="center" wrapText="1"/>
    </xf>
    <xf numFmtId="176" fontId="78" fillId="0" borderId="2" xfId="0" applyNumberFormat="1" applyFont="1" applyFill="1" applyBorder="1" applyAlignment="1" applyProtection="1">
      <alignment horizontal="center" vertical="center" wrapText="1"/>
      <protection locked="0"/>
    </xf>
    <xf numFmtId="0" fontId="83" fillId="5" borderId="21" xfId="0" applyFont="1" applyFill="1" applyBorder="1" applyProtection="1">
      <alignment vertical="center"/>
    </xf>
    <xf numFmtId="0" fontId="83" fillId="5" borderId="0" xfId="0" applyFont="1" applyFill="1" applyAlignment="1" applyProtection="1">
      <alignment vertical="center"/>
      <protection locked="0"/>
    </xf>
    <xf numFmtId="0" fontId="154" fillId="5" borderId="0" xfId="0" applyFont="1" applyFill="1" applyAlignment="1" applyProtection="1">
      <alignment vertical="center"/>
      <protection locked="0"/>
    </xf>
    <xf numFmtId="0" fontId="151" fillId="5" borderId="0" xfId="0" applyFont="1" applyFill="1" applyAlignment="1" applyProtection="1">
      <alignment horizontal="center" vertical="center"/>
      <protection locked="0"/>
    </xf>
    <xf numFmtId="0" fontId="151" fillId="5" borderId="0" xfId="0" applyFont="1" applyFill="1" applyAlignment="1" applyProtection="1">
      <alignment horizontal="left" vertical="center"/>
      <protection locked="0"/>
    </xf>
    <xf numFmtId="0" fontId="151" fillId="0" borderId="2" xfId="0" applyNumberFormat="1" applyFont="1" applyFill="1" applyBorder="1" applyAlignment="1" applyProtection="1">
      <alignment horizontal="center" vertical="center" wrapText="1"/>
      <protection locked="0"/>
    </xf>
    <xf numFmtId="0" fontId="151" fillId="0" borderId="2" xfId="0" applyNumberFormat="1" applyFont="1" applyFill="1" applyBorder="1" applyAlignment="1" applyProtection="1">
      <alignment horizontal="left" vertical="center" wrapText="1"/>
      <protection locked="0"/>
    </xf>
    <xf numFmtId="0" fontId="151" fillId="0" borderId="12" xfId="0" applyNumberFormat="1" applyFont="1" applyFill="1" applyBorder="1" applyAlignment="1" applyProtection="1">
      <alignment horizontal="center" vertical="center" wrapText="1"/>
      <protection locked="0"/>
    </xf>
    <xf numFmtId="0" fontId="219" fillId="2" borderId="14" xfId="0" applyFont="1" applyFill="1" applyBorder="1" applyAlignment="1" applyProtection="1">
      <alignment vertical="center"/>
      <protection locked="0"/>
    </xf>
    <xf numFmtId="181" fontId="87" fillId="0" borderId="12" xfId="0" applyNumberFormat="1" applyFont="1" applyFill="1" applyBorder="1" applyAlignment="1" applyProtection="1">
      <alignment horizontal="center" vertical="center"/>
      <protection locked="0"/>
    </xf>
    <xf numFmtId="49" fontId="87" fillId="5" borderId="53" xfId="0" applyNumberFormat="1" applyFont="1" applyFill="1" applyBorder="1" applyAlignment="1" applyProtection="1">
      <alignment vertical="center"/>
    </xf>
    <xf numFmtId="0" fontId="87" fillId="5" borderId="27" xfId="0" applyFont="1" applyFill="1" applyBorder="1" applyAlignment="1" applyProtection="1">
      <alignment vertical="center" wrapText="1"/>
    </xf>
    <xf numFmtId="0" fontId="87" fillId="5" borderId="27" xfId="0" applyFont="1" applyFill="1" applyBorder="1" applyAlignment="1" applyProtection="1">
      <alignment horizontal="center" vertical="center"/>
    </xf>
    <xf numFmtId="0" fontId="78" fillId="5" borderId="27" xfId="0" applyFont="1" applyFill="1" applyBorder="1" applyAlignment="1" applyProtection="1">
      <alignment vertical="center"/>
    </xf>
    <xf numFmtId="0" fontId="51" fillId="5" borderId="6" xfId="0" applyFont="1" applyFill="1" applyBorder="1" applyAlignment="1" applyProtection="1">
      <alignment horizontal="left" vertical="center"/>
    </xf>
    <xf numFmtId="0" fontId="87" fillId="0" borderId="7" xfId="0" applyFont="1" applyFill="1" applyBorder="1" applyAlignment="1" applyProtection="1">
      <alignment horizontal="center" vertical="center"/>
      <protection locked="0"/>
    </xf>
    <xf numFmtId="0" fontId="220" fillId="8" borderId="36" xfId="0" applyFont="1" applyFill="1" applyBorder="1" applyAlignment="1" applyProtection="1">
      <alignment vertical="center"/>
      <protection locked="0"/>
    </xf>
    <xf numFmtId="0" fontId="108" fillId="8" borderId="37" xfId="0" applyFont="1" applyFill="1" applyBorder="1" applyAlignment="1" applyProtection="1">
      <alignment vertical="center"/>
      <protection locked="0"/>
    </xf>
    <xf numFmtId="0" fontId="108" fillId="8" borderId="38" xfId="0" applyFont="1" applyFill="1" applyBorder="1" applyAlignment="1" applyProtection="1">
      <alignment horizontal="left" vertical="center"/>
      <protection locked="0"/>
    </xf>
    <xf numFmtId="0" fontId="134" fillId="6" borderId="7" xfId="0" applyFont="1" applyFill="1" applyBorder="1" applyAlignment="1" applyProtection="1">
      <alignment horizontal="center" vertical="center"/>
      <protection locked="0"/>
    </xf>
    <xf numFmtId="0" fontId="150" fillId="6" borderId="12" xfId="0" applyFont="1" applyFill="1" applyBorder="1" applyAlignment="1" applyProtection="1">
      <alignment horizontal="center"/>
      <protection locked="0"/>
    </xf>
    <xf numFmtId="0" fontId="108" fillId="8" borderId="12" xfId="0" applyFont="1" applyFill="1" applyBorder="1" applyAlignment="1" applyProtection="1">
      <alignment horizontal="center" vertical="center"/>
      <protection locked="0"/>
    </xf>
    <xf numFmtId="0" fontId="108" fillId="0" borderId="12" xfId="0" applyFont="1" applyFill="1" applyBorder="1" applyAlignment="1" applyProtection="1">
      <alignment horizontal="center" vertical="center"/>
      <protection locked="0"/>
    </xf>
    <xf numFmtId="10" fontId="108" fillId="0" borderId="46" xfId="0" applyNumberFormat="1" applyFont="1" applyFill="1" applyBorder="1" applyAlignment="1" applyProtection="1">
      <alignment horizontal="center" vertical="center"/>
      <protection locked="0"/>
    </xf>
    <xf numFmtId="0" fontId="108"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8" fillId="5" borderId="0" xfId="0" applyNumberFormat="1" applyFont="1" applyFill="1" applyBorder="1" applyAlignment="1" applyProtection="1">
      <alignment horizontal="center"/>
    </xf>
    <xf numFmtId="181" fontId="73"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73" fillId="6" borderId="2" xfId="0" applyFont="1" applyFill="1" applyBorder="1" applyAlignment="1" applyProtection="1">
      <alignment vertical="center"/>
      <protection locked="0"/>
    </xf>
    <xf numFmtId="0" fontId="100" fillId="8" borderId="0" xfId="0" applyFont="1" applyFill="1" applyAlignment="1" applyProtection="1">
      <alignment horizontal="center" vertical="center"/>
      <protection locked="0"/>
    </xf>
    <xf numFmtId="0" fontId="118" fillId="8" borderId="0" xfId="0" applyFont="1" applyFill="1" applyAlignment="1" applyProtection="1">
      <alignment horizontal="center" vertical="center"/>
      <protection locked="0"/>
    </xf>
    <xf numFmtId="0" fontId="222" fillId="5" borderId="0" xfId="0" applyFont="1" applyFill="1" applyAlignment="1" applyProtection="1">
      <alignment vertical="center"/>
    </xf>
    <xf numFmtId="0" fontId="150" fillId="5" borderId="82" xfId="0" applyFont="1" applyFill="1" applyBorder="1" applyAlignment="1" applyProtection="1">
      <alignment vertical="center" wrapText="1"/>
    </xf>
    <xf numFmtId="0" fontId="150" fillId="5" borderId="38" xfId="0" applyFont="1" applyFill="1" applyBorder="1" applyAlignment="1" applyProtection="1">
      <alignment vertical="center"/>
    </xf>
    <xf numFmtId="0" fontId="150" fillId="5" borderId="38" xfId="0" applyFont="1" applyFill="1" applyBorder="1" applyAlignment="1" applyProtection="1">
      <alignment horizontal="center" vertical="center" wrapText="1"/>
    </xf>
    <xf numFmtId="0" fontId="178" fillId="5" borderId="80" xfId="0" applyFont="1" applyFill="1" applyBorder="1" applyAlignment="1" applyProtection="1">
      <alignment vertical="center" wrapText="1"/>
    </xf>
    <xf numFmtId="0" fontId="150" fillId="5" borderId="66" xfId="0" applyFont="1" applyFill="1" applyBorder="1" applyAlignment="1" applyProtection="1">
      <alignment vertical="center"/>
    </xf>
    <xf numFmtId="0" fontId="178" fillId="5" borderId="66" xfId="0" applyFont="1" applyFill="1" applyBorder="1" applyAlignment="1" applyProtection="1">
      <alignment horizontal="center" vertical="center" wrapText="1"/>
    </xf>
    <xf numFmtId="0" fontId="178" fillId="5" borderId="80" xfId="0" applyFont="1" applyFill="1" applyBorder="1" applyAlignment="1" applyProtection="1">
      <alignment horizontal="right" vertical="center" wrapText="1"/>
    </xf>
    <xf numFmtId="10" fontId="178" fillId="5" borderId="66" xfId="0" applyNumberFormat="1" applyFont="1" applyFill="1" applyBorder="1" applyAlignment="1" applyProtection="1">
      <alignment horizontal="center" vertical="center" wrapText="1"/>
    </xf>
    <xf numFmtId="0" fontId="178" fillId="5" borderId="66" xfId="0" applyFont="1" applyFill="1" applyBorder="1" applyAlignment="1" applyProtection="1">
      <alignment vertical="center"/>
    </xf>
    <xf numFmtId="0" fontId="174" fillId="5" borderId="0" xfId="0" applyFont="1" applyFill="1" applyAlignment="1" applyProtection="1">
      <alignment vertical="center"/>
    </xf>
    <xf numFmtId="192" fontId="178"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227" fillId="5" borderId="66" xfId="0" applyFont="1" applyFill="1" applyBorder="1" applyAlignment="1" applyProtection="1">
      <alignment vertical="center"/>
    </xf>
    <xf numFmtId="0" fontId="166" fillId="5" borderId="2" xfId="3" applyNumberFormat="1" applyFont="1" applyFill="1" applyBorder="1" applyAlignment="1" applyProtection="1">
      <alignment horizontal="center" vertical="center" wrapText="1"/>
    </xf>
    <xf numFmtId="0" fontId="166" fillId="5" borderId="10" xfId="3" applyNumberFormat="1" applyFont="1" applyFill="1" applyBorder="1" applyAlignment="1" applyProtection="1">
      <alignment horizontal="center" vertical="center" wrapText="1"/>
    </xf>
    <xf numFmtId="0" fontId="166" fillId="5" borderId="44" xfId="3" applyNumberFormat="1" applyFont="1" applyFill="1" applyBorder="1" applyAlignment="1" applyProtection="1">
      <alignment horizontal="center" vertical="center" wrapText="1"/>
    </xf>
    <xf numFmtId="49" fontId="166" fillId="5" borderId="2" xfId="3" applyNumberFormat="1" applyFont="1" applyFill="1" applyBorder="1" applyAlignment="1" applyProtection="1">
      <alignment horizontal="center" vertical="center" wrapText="1"/>
    </xf>
    <xf numFmtId="49" fontId="166" fillId="5" borderId="55" xfId="3" applyNumberFormat="1" applyFont="1" applyFill="1" applyBorder="1" applyAlignment="1" applyProtection="1">
      <alignment horizontal="center" vertical="center" wrapText="1"/>
    </xf>
    <xf numFmtId="49" fontId="166" fillId="5" borderId="44" xfId="3" applyNumberFormat="1" applyFont="1" applyFill="1" applyBorder="1" applyAlignment="1" applyProtection="1">
      <alignment horizontal="center" vertical="center" wrapText="1"/>
    </xf>
    <xf numFmtId="0" fontId="213" fillId="5" borderId="2" xfId="0" applyFont="1" applyFill="1" applyBorder="1" applyAlignment="1" applyProtection="1">
      <alignment horizontal="center" vertical="center" wrapText="1"/>
    </xf>
    <xf numFmtId="10" fontId="151" fillId="0" borderId="2" xfId="3" applyNumberFormat="1" applyFont="1" applyBorder="1" applyAlignment="1" applyProtection="1">
      <alignment horizontal="center" vertical="center"/>
      <protection locked="0"/>
    </xf>
    <xf numFmtId="182" fontId="151" fillId="5" borderId="2" xfId="3" applyNumberFormat="1" applyFont="1" applyFill="1" applyBorder="1" applyAlignment="1" applyProtection="1">
      <alignment horizontal="center" vertical="center"/>
    </xf>
    <xf numFmtId="10" fontId="154" fillId="5" borderId="2" xfId="3" applyNumberFormat="1" applyFont="1" applyFill="1" applyBorder="1" applyAlignment="1" applyProtection="1">
      <alignment horizontal="center" vertical="center" wrapText="1"/>
    </xf>
    <xf numFmtId="10" fontId="151" fillId="0" borderId="2" xfId="0" applyNumberFormat="1" applyFont="1" applyBorder="1" applyAlignment="1" applyProtection="1">
      <alignment horizontal="center" vertical="center"/>
      <protection locked="0"/>
    </xf>
    <xf numFmtId="0" fontId="206" fillId="5" borderId="0" xfId="3" applyFont="1" applyFill="1" applyProtection="1">
      <alignment vertical="center"/>
    </xf>
    <xf numFmtId="0" fontId="147" fillId="5" borderId="0" xfId="3" applyNumberFormat="1" applyFill="1" applyAlignment="1" applyProtection="1">
      <alignment horizontal="center" vertical="center" wrapText="1"/>
    </xf>
    <xf numFmtId="0" fontId="161" fillId="5" borderId="0" xfId="3" applyFont="1" applyFill="1" applyProtection="1">
      <alignment vertical="center"/>
    </xf>
    <xf numFmtId="0" fontId="151" fillId="5" borderId="0" xfId="3" applyFont="1" applyFill="1" applyProtection="1">
      <alignment vertical="center"/>
    </xf>
    <xf numFmtId="0" fontId="151" fillId="5" borderId="0" xfId="3" applyFont="1" applyFill="1" applyAlignment="1" applyProtection="1">
      <alignment horizontal="center" vertical="center"/>
    </xf>
    <xf numFmtId="0" fontId="206" fillId="5" borderId="59" xfId="3" applyFont="1" applyFill="1" applyBorder="1" applyAlignment="1" applyProtection="1">
      <alignment vertical="center"/>
    </xf>
    <xf numFmtId="0" fontId="148" fillId="5" borderId="28" xfId="3" applyNumberFormat="1" applyFont="1" applyFill="1" applyBorder="1" applyAlignment="1" applyProtection="1">
      <alignment horizontal="center" vertical="center" wrapText="1"/>
    </xf>
    <xf numFmtId="0" fontId="161" fillId="5" borderId="28" xfId="3" applyFont="1" applyFill="1" applyBorder="1" applyProtection="1">
      <alignment vertical="center"/>
    </xf>
    <xf numFmtId="0" fontId="207" fillId="5" borderId="30" xfId="3" applyFont="1" applyFill="1" applyBorder="1" applyAlignment="1" applyProtection="1">
      <alignment vertical="center"/>
    </xf>
    <xf numFmtId="0" fontId="207" fillId="5" borderId="57" xfId="3" applyFont="1" applyFill="1" applyBorder="1" applyAlignment="1" applyProtection="1">
      <alignment horizontal="center" vertical="center"/>
    </xf>
    <xf numFmtId="0" fontId="206" fillId="5" borderId="0" xfId="3" applyFont="1" applyFill="1" applyBorder="1" applyAlignment="1" applyProtection="1">
      <alignment vertical="center"/>
    </xf>
    <xf numFmtId="0" fontId="165" fillId="5" borderId="2" xfId="3" applyFont="1" applyFill="1" applyBorder="1" applyAlignment="1" applyProtection="1">
      <alignment horizontal="center" vertical="center" wrapText="1"/>
    </xf>
    <xf numFmtId="0" fontId="154" fillId="5" borderId="2" xfId="3" applyFont="1" applyFill="1" applyBorder="1" applyAlignment="1" applyProtection="1">
      <alignment horizontal="center" vertical="center" wrapText="1"/>
    </xf>
    <xf numFmtId="0" fontId="88" fillId="5" borderId="12" xfId="3" applyFont="1" applyFill="1" applyBorder="1" applyAlignment="1" applyProtection="1">
      <alignment horizontal="center" vertical="center" wrapText="1"/>
    </xf>
    <xf numFmtId="0" fontId="213" fillId="5" borderId="13" xfId="0" applyFont="1" applyFill="1" applyBorder="1" applyAlignment="1" applyProtection="1">
      <alignment horizontal="center" vertical="center" wrapText="1"/>
    </xf>
    <xf numFmtId="0" fontId="73" fillId="5" borderId="2" xfId="3" applyNumberFormat="1" applyFont="1" applyFill="1" applyBorder="1" applyAlignment="1" applyProtection="1">
      <alignment horizontal="center" vertical="center" wrapText="1"/>
    </xf>
    <xf numFmtId="9" fontId="154" fillId="5" borderId="2" xfId="3" applyNumberFormat="1" applyFont="1" applyFill="1" applyBorder="1" applyAlignment="1" applyProtection="1">
      <alignment horizontal="center" vertical="center" wrapText="1"/>
    </xf>
    <xf numFmtId="10" fontId="88" fillId="5" borderId="25"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horizontal="center" vertical="center" wrapText="1"/>
    </xf>
    <xf numFmtId="10" fontId="86" fillId="5" borderId="2" xfId="3" applyNumberFormat="1" applyFont="1" applyFill="1" applyBorder="1" applyAlignment="1" applyProtection="1">
      <alignment horizontal="center" vertical="center" wrapText="1"/>
    </xf>
    <xf numFmtId="10" fontId="88" fillId="5" borderId="52" xfId="3" applyNumberFormat="1" applyFont="1" applyFill="1" applyBorder="1" applyAlignment="1" applyProtection="1">
      <alignment vertical="center" wrapText="1"/>
    </xf>
    <xf numFmtId="0" fontId="166" fillId="5" borderId="64"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9" fontId="154" fillId="5" borderId="44" xfId="3" applyNumberFormat="1" applyFont="1" applyFill="1" applyBorder="1" applyAlignment="1" applyProtection="1">
      <alignment horizontal="center" vertical="center" wrapText="1"/>
    </xf>
    <xf numFmtId="10" fontId="88" fillId="5" borderId="69" xfId="3" applyNumberFormat="1" applyFont="1" applyFill="1" applyBorder="1" applyAlignment="1" applyProtection="1">
      <alignment vertical="center" wrapText="1"/>
    </xf>
    <xf numFmtId="0" fontId="208" fillId="5" borderId="30" xfId="3" applyFont="1" applyFill="1" applyBorder="1" applyAlignment="1" applyProtection="1">
      <alignment vertical="center"/>
    </xf>
    <xf numFmtId="10" fontId="88" fillId="5" borderId="52"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vertical="center" wrapText="1"/>
    </xf>
    <xf numFmtId="10" fontId="88" fillId="5" borderId="69" xfId="3" applyNumberFormat="1"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179" fontId="160" fillId="5" borderId="3" xfId="5" applyNumberFormat="1" applyFont="1" applyFill="1" applyBorder="1" applyAlignment="1" applyProtection="1">
      <alignment horizontal="center" vertical="center" wrapText="1"/>
    </xf>
    <xf numFmtId="0" fontId="42" fillId="0" borderId="2" xfId="3" applyFont="1" applyFill="1" applyBorder="1" applyAlignment="1" applyProtection="1">
      <alignment vertical="center" wrapText="1"/>
      <protection locked="0"/>
    </xf>
    <xf numFmtId="0" fontId="99" fillId="5" borderId="2" xfId="3" applyFont="1" applyFill="1" applyBorder="1" applyAlignment="1" applyProtection="1">
      <alignment horizontal="right" vertical="center" wrapText="1"/>
    </xf>
    <xf numFmtId="0" fontId="80" fillId="5" borderId="13" xfId="0" applyNumberFormat="1" applyFont="1" applyFill="1" applyBorder="1" applyAlignment="1" applyProtection="1">
      <alignment horizontal="left" vertical="center"/>
    </xf>
    <xf numFmtId="0" fontId="80" fillId="5" borderId="2" xfId="0" applyNumberFormat="1" applyFont="1" applyFill="1" applyBorder="1" applyAlignment="1" applyProtection="1">
      <alignment horizontal="center" vertical="center" wrapText="1"/>
    </xf>
    <xf numFmtId="0" fontId="80" fillId="5" borderId="0" xfId="0" applyFont="1" applyFill="1" applyBorder="1" applyAlignment="1" applyProtection="1">
      <alignment vertical="center"/>
    </xf>
    <xf numFmtId="0" fontId="80" fillId="5" borderId="13" xfId="0" applyFont="1" applyFill="1" applyBorder="1" applyAlignment="1" applyProtection="1">
      <alignment vertical="center" wrapText="1"/>
    </xf>
    <xf numFmtId="0" fontId="180" fillId="0" borderId="5" xfId="0" applyFont="1" applyFill="1" applyBorder="1" applyAlignment="1" applyProtection="1">
      <alignment horizontal="center" vertical="center" wrapText="1"/>
      <protection locked="0"/>
    </xf>
    <xf numFmtId="0" fontId="180" fillId="0" borderId="8" xfId="0" applyFont="1" applyFill="1" applyBorder="1" applyAlignment="1" applyProtection="1">
      <alignment horizontal="center" vertical="center" wrapText="1"/>
      <protection locked="0"/>
    </xf>
    <xf numFmtId="0" fontId="180" fillId="0" borderId="9" xfId="0" applyFont="1" applyFill="1" applyBorder="1" applyAlignment="1" applyProtection="1">
      <alignment horizontal="center" vertical="center" wrapText="1"/>
      <protection locked="0"/>
    </xf>
    <xf numFmtId="10" fontId="151" fillId="5" borderId="2" xfId="3" applyNumberFormat="1" applyFont="1" applyFill="1" applyBorder="1" applyAlignment="1" applyProtection="1">
      <alignment horizontal="center" vertical="center"/>
    </xf>
    <xf numFmtId="10" fontId="151" fillId="5" borderId="2" xfId="0" applyNumberFormat="1" applyFont="1" applyFill="1" applyBorder="1" applyAlignment="1" applyProtection="1">
      <alignment horizontal="center" vertical="center"/>
    </xf>
    <xf numFmtId="0" fontId="173" fillId="5" borderId="31" xfId="0" applyFont="1" applyFill="1" applyBorder="1" applyAlignment="1" applyProtection="1">
      <alignment horizontal="left" vertical="center"/>
    </xf>
    <xf numFmtId="0" fontId="78" fillId="5" borderId="8" xfId="0" applyFont="1" applyFill="1" applyBorder="1" applyProtection="1">
      <alignment vertical="center"/>
      <protection locked="0"/>
    </xf>
    <xf numFmtId="0" fontId="78" fillId="5" borderId="16" xfId="0" applyFont="1" applyFill="1" applyBorder="1" applyProtection="1">
      <alignment vertical="center"/>
      <protection locked="0"/>
    </xf>
    <xf numFmtId="0" fontId="78" fillId="5" borderId="0" xfId="0" applyFont="1" applyFill="1" applyBorder="1" applyProtection="1">
      <alignment vertical="center"/>
      <protection locked="0"/>
    </xf>
    <xf numFmtId="0" fontId="78" fillId="5" borderId="65" xfId="0" applyFont="1" applyFill="1" applyBorder="1" applyProtection="1">
      <alignment vertical="center"/>
      <protection locked="0"/>
    </xf>
    <xf numFmtId="0" fontId="71" fillId="5" borderId="64" xfId="0" applyFont="1" applyFill="1" applyBorder="1" applyProtection="1">
      <alignment vertical="center"/>
      <protection locked="0"/>
    </xf>
    <xf numFmtId="49" fontId="97" fillId="5" borderId="11" xfId="2" applyNumberFormat="1" applyFont="1" applyFill="1" applyBorder="1" applyAlignment="1" applyProtection="1">
      <alignment horizontal="left" vertical="center"/>
    </xf>
    <xf numFmtId="49" fontId="97" fillId="5" borderId="11" xfId="0" applyNumberFormat="1" applyFont="1" applyFill="1" applyBorder="1" applyAlignment="1" applyProtection="1">
      <alignment horizontal="left" vertical="center"/>
    </xf>
    <xf numFmtId="49" fontId="97" fillId="5" borderId="43" xfId="2" applyNumberFormat="1" applyFont="1" applyFill="1" applyBorder="1" applyAlignment="1" applyProtection="1">
      <alignment horizontal="left" vertical="center"/>
    </xf>
    <xf numFmtId="0" fontId="62" fillId="5" borderId="5" xfId="2" applyFont="1" applyFill="1" applyBorder="1" applyAlignment="1" applyProtection="1">
      <alignment vertical="center"/>
    </xf>
    <xf numFmtId="177" fontId="97" fillId="0" borderId="2" xfId="2" applyNumberFormat="1" applyFont="1" applyFill="1" applyBorder="1" applyAlignment="1" applyProtection="1">
      <alignment horizontal="center" vertical="center"/>
      <protection locked="0"/>
    </xf>
    <xf numFmtId="10" fontId="88" fillId="5" borderId="5" xfId="2" applyNumberFormat="1" applyFont="1" applyFill="1" applyBorder="1" applyAlignment="1" applyProtection="1">
      <alignment horizontal="center" vertical="center"/>
    </xf>
    <xf numFmtId="0" fontId="229" fillId="5" borderId="5" xfId="2" applyFont="1" applyFill="1" applyBorder="1" applyAlignment="1" applyProtection="1">
      <alignment vertical="center"/>
    </xf>
    <xf numFmtId="49" fontId="228" fillId="5" borderId="11" xfId="2" applyNumberFormat="1" applyFont="1" applyFill="1" applyBorder="1" applyAlignment="1" applyProtection="1">
      <alignment horizontal="left" vertical="center"/>
    </xf>
    <xf numFmtId="0" fontId="129" fillId="5" borderId="12" xfId="2" applyFont="1" applyFill="1" applyBorder="1" applyAlignment="1" applyProtection="1">
      <alignment vertical="center" wrapText="1"/>
    </xf>
    <xf numFmtId="0" fontId="129" fillId="5" borderId="12" xfId="2" applyFont="1" applyFill="1" applyBorder="1" applyAlignment="1" applyProtection="1">
      <alignment horizontal="left" vertical="center"/>
    </xf>
    <xf numFmtId="0" fontId="44" fillId="6" borderId="12" xfId="2" applyFont="1" applyFill="1" applyBorder="1" applyAlignment="1" applyProtection="1">
      <alignment vertical="center"/>
      <protection locked="0"/>
    </xf>
    <xf numFmtId="10" fontId="78" fillId="5" borderId="25" xfId="0" applyNumberFormat="1" applyFont="1" applyFill="1" applyBorder="1" applyAlignment="1" applyProtection="1">
      <alignment horizontal="center" vertical="center"/>
    </xf>
    <xf numFmtId="0" fontId="231" fillId="8" borderId="0" xfId="0" applyFont="1" applyFill="1" applyAlignment="1" applyProtection="1">
      <alignment vertical="center"/>
      <protection locked="0"/>
    </xf>
    <xf numFmtId="0" fontId="158" fillId="5" borderId="64" xfId="0" applyFont="1" applyFill="1" applyBorder="1" applyAlignment="1" applyProtection="1">
      <alignment vertical="center"/>
    </xf>
    <xf numFmtId="0" fontId="50" fillId="5" borderId="45" xfId="0" applyFont="1" applyFill="1" applyBorder="1" applyAlignment="1" applyProtection="1"/>
    <xf numFmtId="0" fontId="78"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8" fillId="5" borderId="24" xfId="0" applyNumberFormat="1" applyFont="1" applyFill="1" applyBorder="1" applyAlignment="1" applyProtection="1">
      <alignment horizontal="center" vertical="center"/>
    </xf>
    <xf numFmtId="0" fontId="78" fillId="5" borderId="17" xfId="0" applyFont="1" applyFill="1" applyBorder="1" applyAlignment="1" applyProtection="1">
      <alignment horizontal="right" vertical="center"/>
    </xf>
    <xf numFmtId="0" fontId="78" fillId="5" borderId="63" xfId="0" applyFont="1" applyFill="1" applyBorder="1" applyAlignment="1" applyProtection="1">
      <alignment horizontal="center" vertical="center"/>
    </xf>
    <xf numFmtId="181" fontId="87" fillId="5" borderId="15" xfId="0" applyNumberFormat="1" applyFont="1" applyFill="1" applyBorder="1" applyAlignment="1" applyProtection="1">
      <alignment horizontal="center" vertical="center"/>
    </xf>
    <xf numFmtId="49" fontId="78"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33" fillId="5" borderId="2" xfId="0" applyFont="1" applyFill="1" applyBorder="1" applyAlignment="1" applyProtection="1">
      <alignment horizontal="right" vertical="center" wrapText="1"/>
    </xf>
    <xf numFmtId="0" fontId="128"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7" fillId="5" borderId="2" xfId="0" applyFont="1" applyFill="1" applyBorder="1" applyAlignment="1" applyProtection="1">
      <alignment horizontal="center" vertical="center"/>
      <protection locked="0"/>
    </xf>
    <xf numFmtId="49" fontId="78"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7" fillId="5" borderId="22" xfId="0" applyNumberFormat="1" applyFont="1" applyFill="1" applyBorder="1" applyAlignment="1" applyProtection="1">
      <alignment horizontal="left" vertical="center"/>
    </xf>
    <xf numFmtId="49" fontId="87" fillId="5" borderId="24"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center" vertical="center"/>
    </xf>
    <xf numFmtId="49" fontId="87" fillId="5" borderId="24" xfId="0" applyNumberFormat="1" applyFont="1" applyFill="1" applyBorder="1" applyAlignment="1" applyProtection="1">
      <alignment horizontal="center" vertical="center"/>
    </xf>
    <xf numFmtId="49" fontId="78" fillId="5" borderId="50" xfId="0" applyNumberFormat="1" applyFont="1" applyFill="1" applyBorder="1" applyAlignment="1" applyProtection="1">
      <alignment horizontal="right" vertical="center"/>
    </xf>
    <xf numFmtId="0" fontId="129" fillId="0" borderId="2" xfId="0" applyFont="1" applyFill="1" applyBorder="1" applyAlignment="1">
      <alignment horizontal="center" vertical="center"/>
    </xf>
    <xf numFmtId="177" fontId="129" fillId="0" borderId="12" xfId="0" applyNumberFormat="1" applyFont="1" applyFill="1" applyBorder="1" applyAlignment="1">
      <alignment horizontal="center" vertical="center"/>
    </xf>
    <xf numFmtId="0" fontId="203" fillId="0" borderId="2" xfId="0" applyFont="1" applyFill="1" applyBorder="1" applyAlignment="1">
      <alignment horizontal="center" vertical="center"/>
    </xf>
    <xf numFmtId="9" fontId="129" fillId="0" borderId="2" xfId="0" applyNumberFormat="1" applyFont="1" applyFill="1" applyBorder="1" applyAlignment="1">
      <alignment horizontal="center" vertical="center"/>
    </xf>
    <xf numFmtId="177" fontId="129" fillId="0" borderId="2" xfId="0" applyNumberFormat="1" applyFont="1" applyFill="1" applyBorder="1" applyAlignment="1">
      <alignment horizontal="center" vertical="center"/>
    </xf>
    <xf numFmtId="0" fontId="129" fillId="0" borderId="12" xfId="0" applyFont="1" applyFill="1" applyBorder="1" applyAlignment="1">
      <alignment horizontal="center" vertical="center"/>
    </xf>
    <xf numFmtId="0" fontId="237" fillId="0" borderId="2" xfId="0" applyFont="1" applyFill="1" applyBorder="1" applyAlignment="1">
      <alignment horizontal="center" vertical="center"/>
    </xf>
    <xf numFmtId="9" fontId="228" fillId="0" borderId="2" xfId="0" applyNumberFormat="1" applyFont="1" applyFill="1" applyBorder="1" applyAlignment="1">
      <alignment horizontal="center" vertical="center"/>
    </xf>
    <xf numFmtId="177" fontId="228" fillId="0" borderId="2" xfId="0" applyNumberFormat="1" applyFont="1" applyFill="1" applyBorder="1" applyAlignment="1">
      <alignment horizontal="center" vertical="center"/>
    </xf>
    <xf numFmtId="0" fontId="228" fillId="0" borderId="12" xfId="0" applyFont="1" applyFill="1" applyBorder="1" applyAlignment="1">
      <alignment horizontal="center" vertical="center"/>
    </xf>
    <xf numFmtId="0" fontId="34" fillId="0" borderId="2" xfId="0" applyFont="1" applyFill="1" applyBorder="1" applyAlignment="1">
      <alignment horizontal="center" vertical="center"/>
    </xf>
    <xf numFmtId="0" fontId="0" fillId="0" borderId="2" xfId="0" applyFill="1" applyBorder="1" applyAlignment="1">
      <alignment vertical="center"/>
    </xf>
    <xf numFmtId="0" fontId="237" fillId="0" borderId="12" xfId="0" applyFont="1" applyFill="1" applyBorder="1" applyAlignment="1">
      <alignment horizontal="center" vertical="center"/>
    </xf>
    <xf numFmtId="0" fontId="203" fillId="0" borderId="2" xfId="0" applyFont="1" applyFill="1" applyBorder="1" applyAlignment="1">
      <alignment horizontal="center" vertical="center" wrapText="1"/>
    </xf>
    <xf numFmtId="0" fontId="34" fillId="0" borderId="2" xfId="0" applyFont="1" applyFill="1" applyBorder="1" applyAlignment="1">
      <alignment vertical="center"/>
    </xf>
    <xf numFmtId="0" fontId="203" fillId="0" borderId="12" xfId="0" applyFont="1" applyFill="1" applyBorder="1" applyAlignment="1">
      <alignment horizontal="center" vertical="center"/>
    </xf>
    <xf numFmtId="9" fontId="237" fillId="0" borderId="2" xfId="0" applyNumberFormat="1" applyFont="1" applyFill="1" applyBorder="1" applyAlignment="1">
      <alignment horizontal="center" vertical="center"/>
    </xf>
    <xf numFmtId="0" fontId="203" fillId="0" borderId="2" xfId="0" applyFont="1" applyBorder="1" applyAlignment="1">
      <alignment horizontal="center" vertical="center"/>
    </xf>
    <xf numFmtId="9" fontId="203" fillId="0" borderId="2" xfId="0" applyNumberFormat="1" applyFont="1" applyBorder="1" applyAlignment="1">
      <alignment horizontal="center" vertical="center"/>
    </xf>
    <xf numFmtId="0" fontId="237" fillId="0" borderId="44" xfId="0" applyFont="1" applyFill="1" applyBorder="1" applyAlignment="1">
      <alignment horizontal="center" vertical="center"/>
    </xf>
    <xf numFmtId="9" fontId="237" fillId="0" borderId="44" xfId="0" applyNumberFormat="1" applyFont="1" applyFill="1" applyBorder="1" applyAlignment="1">
      <alignment horizontal="center" vertical="center"/>
    </xf>
    <xf numFmtId="177" fontId="237" fillId="0" borderId="44" xfId="0" applyNumberFormat="1" applyFont="1" applyFill="1" applyBorder="1" applyAlignment="1">
      <alignment horizontal="center" vertical="center"/>
    </xf>
    <xf numFmtId="0" fontId="228" fillId="0" borderId="46" xfId="0" applyFont="1" applyFill="1" applyBorder="1" applyAlignment="1">
      <alignment horizontal="center" vertical="center"/>
    </xf>
    <xf numFmtId="0" fontId="237" fillId="11" borderId="2" xfId="0" applyFont="1" applyFill="1" applyBorder="1" applyAlignment="1">
      <alignment vertical="center"/>
    </xf>
    <xf numFmtId="0" fontId="129" fillId="0" borderId="2" xfId="0" applyFont="1" applyBorder="1" applyAlignment="1">
      <alignment horizontal="center"/>
    </xf>
    <xf numFmtId="0" fontId="129" fillId="0" borderId="2" xfId="0" applyFont="1" applyBorder="1" applyAlignment="1"/>
    <xf numFmtId="49" fontId="129" fillId="0" borderId="2" xfId="0" applyNumberFormat="1" applyFont="1" applyBorder="1" applyAlignment="1">
      <alignment horizontal="center"/>
    </xf>
    <xf numFmtId="9" fontId="129" fillId="0" borderId="2" xfId="0" applyNumberFormat="1" applyFont="1" applyBorder="1" applyAlignment="1"/>
    <xf numFmtId="0" fontId="129" fillId="0" borderId="2" xfId="0" applyFont="1" applyFill="1" applyBorder="1" applyAlignment="1">
      <alignment horizontal="center"/>
    </xf>
    <xf numFmtId="181" fontId="78" fillId="5" borderId="5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7" fillId="0" borderId="71" xfId="0" applyFont="1" applyFill="1" applyBorder="1" applyAlignment="1" applyProtection="1">
      <alignment horizontal="center" vertical="center"/>
      <protection locked="0"/>
    </xf>
    <xf numFmtId="0" fontId="78" fillId="5" borderId="71" xfId="0" applyFont="1" applyFill="1" applyBorder="1" applyAlignment="1" applyProtection="1">
      <alignment vertical="center"/>
    </xf>
    <xf numFmtId="0" fontId="51" fillId="5" borderId="71" xfId="0" applyFont="1" applyFill="1" applyBorder="1" applyAlignment="1" applyProtection="1">
      <alignment horizontal="left" vertical="center"/>
    </xf>
    <xf numFmtId="181" fontId="87" fillId="5" borderId="72" xfId="0" applyNumberFormat="1" applyFont="1" applyFill="1" applyBorder="1" applyAlignment="1" applyProtection="1">
      <alignment horizontal="center" vertical="center"/>
    </xf>
    <xf numFmtId="49" fontId="84" fillId="5" borderId="117" xfId="0" applyNumberFormat="1" applyFont="1" applyFill="1" applyBorder="1" applyAlignment="1" applyProtection="1">
      <alignment horizontal="center" vertical="center"/>
    </xf>
    <xf numFmtId="0" fontId="78" fillId="5" borderId="71" xfId="0" applyFont="1" applyFill="1" applyBorder="1" applyAlignment="1" applyProtection="1">
      <alignment horizontal="center" vertical="center"/>
    </xf>
    <xf numFmtId="0" fontId="78" fillId="5" borderId="71" xfId="0" applyFont="1" applyFill="1" applyBorder="1" applyAlignment="1" applyProtection="1">
      <alignment horizontal="left" vertical="center" wrapText="1"/>
    </xf>
    <xf numFmtId="0" fontId="78" fillId="5" borderId="71" xfId="0" applyFont="1" applyFill="1" applyBorder="1" applyAlignment="1" applyProtection="1">
      <alignment horizontal="left" vertical="center"/>
    </xf>
    <xf numFmtId="181" fontId="78" fillId="5" borderId="72" xfId="0" applyNumberFormat="1" applyFont="1" applyFill="1" applyBorder="1" applyAlignment="1" applyProtection="1">
      <alignment horizontal="center" vertical="center"/>
    </xf>
    <xf numFmtId="0" fontId="78" fillId="5" borderId="17"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wrapText="1"/>
    </xf>
    <xf numFmtId="0" fontId="78" fillId="5" borderId="63" xfId="0" applyFont="1" applyFill="1" applyBorder="1" applyAlignment="1" applyProtection="1">
      <alignment horizontal="center" vertical="center" wrapText="1"/>
    </xf>
    <xf numFmtId="49" fontId="78" fillId="5" borderId="117" xfId="0" applyNumberFormat="1" applyFont="1" applyFill="1" applyBorder="1" applyAlignment="1" applyProtection="1">
      <alignment horizontal="center" vertical="center"/>
    </xf>
    <xf numFmtId="0" fontId="101" fillId="5" borderId="19" xfId="0" applyFont="1" applyFill="1" applyBorder="1" applyAlignment="1" applyProtection="1">
      <alignment vertical="center"/>
    </xf>
    <xf numFmtId="0" fontId="101" fillId="5" borderId="63" xfId="0" applyFont="1" applyFill="1" applyBorder="1" applyAlignment="1" applyProtection="1">
      <alignment vertical="center"/>
    </xf>
    <xf numFmtId="181" fontId="87" fillId="5" borderId="90" xfId="0" applyNumberFormat="1" applyFont="1" applyFill="1" applyBorder="1" applyAlignment="1" applyProtection="1">
      <alignment horizontal="center" vertical="center"/>
    </xf>
    <xf numFmtId="181" fontId="87" fillId="5" borderId="71" xfId="0" applyNumberFormat="1" applyFont="1" applyFill="1" applyBorder="1" applyAlignment="1" applyProtection="1">
      <alignment horizontal="center" vertical="center"/>
    </xf>
    <xf numFmtId="0" fontId="78" fillId="5" borderId="84" xfId="0" applyFont="1" applyFill="1" applyBorder="1" applyAlignment="1" applyProtection="1">
      <alignment horizontal="left" vertical="center"/>
    </xf>
    <xf numFmtId="0" fontId="101" fillId="5" borderId="85" xfId="0" applyFont="1" applyFill="1" applyBorder="1" applyAlignment="1" applyProtection="1">
      <alignment vertical="center"/>
    </xf>
    <xf numFmtId="0" fontId="101" fillId="5" borderId="90" xfId="0" applyFont="1" applyFill="1" applyBorder="1" applyAlignment="1" applyProtection="1">
      <alignment vertical="center"/>
    </xf>
    <xf numFmtId="0" fontId="193" fillId="0" borderId="0" xfId="0" applyFont="1" applyAlignment="1" applyProtection="1">
      <alignment horizontal="left" vertical="top" wrapText="1"/>
    </xf>
    <xf numFmtId="49" fontId="78" fillId="5" borderId="117" xfId="0" applyNumberFormat="1" applyFont="1" applyFill="1" applyBorder="1" applyAlignment="1" applyProtection="1">
      <alignment horizontal="left" vertical="center"/>
    </xf>
    <xf numFmtId="49" fontId="78" fillId="5" borderId="81" xfId="0" applyNumberFormat="1" applyFont="1" applyFill="1" applyBorder="1" applyAlignment="1" applyProtection="1">
      <alignment horizontal="center" vertical="center"/>
    </xf>
    <xf numFmtId="49" fontId="87" fillId="5" borderId="87" xfId="0" applyNumberFormat="1" applyFont="1" applyFill="1" applyBorder="1" applyAlignment="1" applyProtection="1">
      <alignment horizontal="center" vertical="center"/>
    </xf>
    <xf numFmtId="0" fontId="78"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7"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2" fillId="5" borderId="2" xfId="2" applyFont="1" applyFill="1" applyBorder="1" applyAlignment="1" applyProtection="1">
      <alignment horizontal="left"/>
    </xf>
    <xf numFmtId="0" fontId="50" fillId="5" borderId="26" xfId="0" applyNumberFormat="1" applyFont="1" applyFill="1" applyBorder="1" applyAlignment="1" applyProtection="1">
      <alignment vertical="center"/>
    </xf>
    <xf numFmtId="0" fontId="77" fillId="5" borderId="58" xfId="0" applyNumberFormat="1" applyFont="1" applyFill="1" applyBorder="1" applyAlignment="1" applyProtection="1">
      <alignment vertical="center"/>
    </xf>
    <xf numFmtId="0" fontId="60" fillId="5" borderId="0" xfId="0" applyFont="1" applyFill="1" applyAlignment="1" applyProtection="1">
      <alignment horizontal="center" vertical="center"/>
      <protection locked="0"/>
    </xf>
    <xf numFmtId="0" fontId="51" fillId="5" borderId="2" xfId="0" applyFont="1" applyFill="1" applyBorder="1" applyAlignment="1" applyProtection="1">
      <alignment vertical="center"/>
    </xf>
    <xf numFmtId="0" fontId="51" fillId="5" borderId="5" xfId="0" applyFont="1" applyFill="1" applyBorder="1" applyAlignment="1" applyProtection="1">
      <alignment vertical="center"/>
    </xf>
    <xf numFmtId="0" fontId="97" fillId="5" borderId="2" xfId="0" applyNumberFormat="1" applyFont="1" applyFill="1" applyBorder="1" applyAlignment="1" applyProtection="1">
      <alignment horizontal="center" vertical="center"/>
    </xf>
    <xf numFmtId="0" fontId="73" fillId="5" borderId="0" xfId="0" applyFont="1" applyFill="1" applyAlignment="1" applyProtection="1">
      <alignment horizontal="center"/>
    </xf>
    <xf numFmtId="0" fontId="73" fillId="5" borderId="2" xfId="0" applyFont="1" applyFill="1" applyBorder="1" applyAlignment="1" applyProtection="1">
      <alignment horizontal="center" vertical="center"/>
    </xf>
    <xf numFmtId="0" fontId="64" fillId="5" borderId="103" xfId="0" applyFont="1" applyFill="1" applyBorder="1" applyAlignment="1" applyProtection="1">
      <alignment horizontal="center" vertical="center"/>
    </xf>
    <xf numFmtId="0" fontId="64" fillId="5" borderId="0"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4" fillId="5" borderId="0" xfId="0" applyFont="1" applyFill="1" applyAlignment="1" applyProtection="1">
      <alignment horizontal="center" vertical="center" wrapText="1"/>
    </xf>
    <xf numFmtId="49" fontId="50" fillId="5" borderId="35" xfId="0" applyNumberFormat="1" applyFont="1" applyFill="1" applyBorder="1" applyAlignment="1" applyProtection="1">
      <alignment vertical="center" wrapText="1"/>
    </xf>
    <xf numFmtId="49" fontId="50" fillId="5" borderId="79" xfId="0" applyNumberFormat="1" applyFont="1" applyFill="1" applyBorder="1" applyAlignment="1" applyProtection="1">
      <alignment vertical="center" wrapText="1"/>
    </xf>
    <xf numFmtId="49" fontId="50" fillId="5" borderId="80" xfId="0" applyNumberFormat="1" applyFont="1" applyFill="1" applyBorder="1" applyAlignment="1" applyProtection="1">
      <alignment vertical="center" wrapText="1"/>
    </xf>
    <xf numFmtId="0" fontId="50" fillId="5" borderId="35" xfId="0" applyFont="1" applyFill="1" applyBorder="1" applyAlignment="1" applyProtection="1">
      <alignment vertical="center" wrapText="1"/>
    </xf>
    <xf numFmtId="0" fontId="50" fillId="5" borderId="79" xfId="0" applyFont="1" applyFill="1" applyBorder="1" applyAlignment="1" applyProtection="1">
      <alignment vertical="center" wrapText="1"/>
    </xf>
    <xf numFmtId="0" fontId="50" fillId="5" borderId="80" xfId="0" applyFont="1" applyFill="1" applyBorder="1" applyAlignment="1" applyProtection="1">
      <alignment vertical="center" wrapText="1"/>
    </xf>
    <xf numFmtId="0" fontId="82" fillId="5" borderId="52" xfId="0" applyNumberFormat="1" applyFont="1" applyFill="1" applyBorder="1" applyAlignment="1" applyProtection="1">
      <alignment horizontal="center" vertical="center" wrapText="1"/>
    </xf>
    <xf numFmtId="0" fontId="54" fillId="5" borderId="52" xfId="0"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protection locked="0"/>
    </xf>
    <xf numFmtId="0" fontId="54" fillId="5" borderId="13" xfId="0" applyFont="1" applyFill="1" applyBorder="1" applyAlignment="1" applyProtection="1">
      <alignment horizontal="center" vertical="center" wrapText="1"/>
    </xf>
    <xf numFmtId="0" fontId="82" fillId="0" borderId="45" xfId="0" applyFont="1" applyFill="1" applyBorder="1" applyAlignment="1" applyProtection="1">
      <alignment horizontal="center" vertical="center"/>
      <protection locked="0"/>
    </xf>
    <xf numFmtId="0" fontId="86" fillId="5" borderId="24" xfId="0" applyNumberFormat="1" applyFont="1" applyFill="1" applyBorder="1" applyAlignment="1" applyProtection="1">
      <alignment horizontal="center" vertical="center" wrapText="1"/>
    </xf>
    <xf numFmtId="0" fontId="86" fillId="5" borderId="64"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60" fillId="5" borderId="3" xfId="0" applyNumberFormat="1" applyFont="1" applyFill="1" applyBorder="1" applyAlignment="1" applyProtection="1">
      <alignment horizontal="center" vertical="center" wrapText="1"/>
    </xf>
    <xf numFmtId="0" fontId="108" fillId="5" borderId="79" xfId="0" applyNumberFormat="1" applyFont="1" applyFill="1" applyBorder="1" applyAlignment="1" applyProtection="1">
      <alignment horizontal="center" vertical="center" wrapText="1"/>
    </xf>
    <xf numFmtId="0" fontId="54" fillId="5" borderId="4" xfId="0" applyFont="1" applyFill="1" applyBorder="1" applyAlignment="1" applyProtection="1">
      <alignment horizontal="center" vertical="center" wrapText="1"/>
    </xf>
    <xf numFmtId="0" fontId="86" fillId="5" borderId="75" xfId="0" applyNumberFormat="1" applyFont="1" applyFill="1" applyBorder="1" applyAlignment="1" applyProtection="1">
      <alignment horizontal="center" vertical="center" wrapText="1"/>
    </xf>
    <xf numFmtId="0" fontId="108" fillId="5" borderId="24" xfId="0" applyNumberFormat="1" applyFont="1" applyFill="1" applyBorder="1" applyAlignment="1" applyProtection="1">
      <alignment horizontal="center" vertical="center" wrapText="1"/>
    </xf>
    <xf numFmtId="0" fontId="54"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73" fillId="5" borderId="11" xfId="0" applyFont="1" applyFill="1" applyBorder="1" applyProtection="1">
      <alignment vertical="center"/>
    </xf>
    <xf numFmtId="0" fontId="73"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73"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7" fillId="5" borderId="43" xfId="0" applyFont="1" applyFill="1" applyBorder="1" applyProtection="1">
      <alignment vertical="center"/>
    </xf>
    <xf numFmtId="0" fontId="77" fillId="5" borderId="44" xfId="0" applyFont="1" applyFill="1" applyBorder="1" applyProtection="1">
      <alignment vertical="center"/>
    </xf>
    <xf numFmtId="0" fontId="77" fillId="5" borderId="46" xfId="0" applyFont="1" applyFill="1" applyBorder="1" applyProtection="1">
      <alignment vertical="center"/>
    </xf>
    <xf numFmtId="0" fontId="73"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1" fontId="87" fillId="6" borderId="25" xfId="0" applyNumberFormat="1" applyFont="1" applyFill="1" applyBorder="1" applyAlignment="1" applyProtection="1">
      <alignment horizontal="center" vertical="center"/>
      <protection locked="0"/>
    </xf>
    <xf numFmtId="0" fontId="99" fillId="5" borderId="21" xfId="0" applyFont="1" applyFill="1" applyBorder="1" applyAlignment="1" applyProtection="1">
      <alignment horizontal="right" vertical="center"/>
    </xf>
    <xf numFmtId="0" fontId="103" fillId="5" borderId="5" xfId="0" applyFont="1" applyFill="1" applyBorder="1" applyAlignment="1" applyProtection="1">
      <alignment horizontal="right" vertical="center"/>
    </xf>
    <xf numFmtId="0" fontId="103" fillId="5" borderId="8" xfId="0" applyFont="1" applyFill="1" applyBorder="1" applyAlignment="1" applyProtection="1">
      <alignment horizontal="center" vertical="center"/>
    </xf>
    <xf numFmtId="0" fontId="103" fillId="2" borderId="8" xfId="0" applyFont="1" applyFill="1" applyBorder="1" applyAlignment="1" applyProtection="1">
      <alignment vertical="center"/>
      <protection locked="0"/>
    </xf>
    <xf numFmtId="0" fontId="103" fillId="6" borderId="9" xfId="0" applyFont="1" applyFill="1" applyBorder="1" applyAlignment="1" applyProtection="1">
      <alignment vertical="center"/>
    </xf>
    <xf numFmtId="0" fontId="85" fillId="5" borderId="59" xfId="0" applyNumberFormat="1" applyFont="1" applyFill="1" applyBorder="1" applyAlignment="1" applyProtection="1">
      <alignment horizontal="right" vertical="center" wrapText="1"/>
    </xf>
    <xf numFmtId="0" fontId="85" fillId="5" borderId="57" xfId="0" applyNumberFormat="1" applyFont="1" applyFill="1" applyBorder="1" applyAlignment="1" applyProtection="1">
      <alignment vertical="center" wrapText="1"/>
    </xf>
    <xf numFmtId="0" fontId="110" fillId="3" borderId="30" xfId="0" applyNumberFormat="1" applyFont="1" applyFill="1" applyBorder="1" applyAlignment="1" applyProtection="1">
      <alignment vertical="center" wrapText="1"/>
      <protection locked="0"/>
    </xf>
    <xf numFmtId="0" fontId="110" fillId="5" borderId="30" xfId="0" applyNumberFormat="1" applyFont="1" applyFill="1" applyBorder="1" applyAlignment="1" applyProtection="1">
      <alignment vertical="center" wrapText="1"/>
    </xf>
    <xf numFmtId="0" fontId="110" fillId="3" borderId="59" xfId="0" applyNumberFormat="1" applyFont="1" applyFill="1" applyBorder="1" applyAlignment="1" applyProtection="1">
      <alignment vertical="center" wrapText="1"/>
      <protection locked="0"/>
    </xf>
    <xf numFmtId="0" fontId="110" fillId="5" borderId="57" xfId="0" applyNumberFormat="1" applyFont="1" applyFill="1" applyBorder="1" applyAlignment="1" applyProtection="1">
      <alignment vertical="center" wrapText="1"/>
    </xf>
    <xf numFmtId="0" fontId="85" fillId="5" borderId="60" xfId="0" applyNumberFormat="1" applyFont="1" applyFill="1" applyBorder="1" applyAlignment="1" applyProtection="1">
      <alignment vertical="center" wrapText="1"/>
    </xf>
    <xf numFmtId="0" fontId="85" fillId="5" borderId="48" xfId="0" applyNumberFormat="1" applyFont="1" applyFill="1" applyBorder="1" applyAlignment="1" applyProtection="1">
      <alignment vertical="center" wrapText="1"/>
    </xf>
    <xf numFmtId="0" fontId="85" fillId="5" borderId="56" xfId="0" applyNumberFormat="1" applyFont="1" applyFill="1" applyBorder="1" applyAlignment="1" applyProtection="1">
      <alignment vertical="center" wrapText="1"/>
    </xf>
    <xf numFmtId="0" fontId="85" fillId="5" borderId="61" xfId="0" applyNumberFormat="1" applyFont="1" applyFill="1" applyBorder="1" applyAlignment="1" applyProtection="1">
      <alignment vertical="center" wrapText="1"/>
    </xf>
    <xf numFmtId="0" fontId="78"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49" fontId="136" fillId="5" borderId="53" xfId="0" applyNumberFormat="1" applyFont="1" applyFill="1" applyBorder="1" applyAlignment="1" applyProtection="1">
      <alignment vertical="center"/>
    </xf>
    <xf numFmtId="0" fontId="60" fillId="5" borderId="28" xfId="0" applyFont="1" applyFill="1" applyBorder="1" applyAlignment="1" applyProtection="1">
      <alignment vertical="center"/>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73" fillId="5" borderId="20" xfId="0" applyFont="1" applyFill="1" applyBorder="1" applyProtection="1">
      <alignment vertical="center"/>
      <protection locked="0"/>
    </xf>
    <xf numFmtId="0" fontId="198"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80" fillId="5" borderId="1" xfId="0" applyFont="1" applyFill="1" applyBorder="1" applyAlignment="1" applyProtection="1">
      <alignment horizontal="right" vertical="center" wrapText="1"/>
    </xf>
    <xf numFmtId="0" fontId="80" fillId="5" borderId="11" xfId="0" applyFont="1" applyFill="1" applyBorder="1" applyAlignment="1" applyProtection="1">
      <alignment horizontal="right" vertical="center" wrapText="1"/>
    </xf>
    <xf numFmtId="0" fontId="80" fillId="5" borderId="92" xfId="0" applyFont="1" applyFill="1" applyBorder="1" applyAlignment="1" applyProtection="1">
      <alignment horizontal="right" vertical="center" wrapText="1"/>
    </xf>
    <xf numFmtId="0" fontId="159" fillId="0" borderId="0" xfId="10" applyFont="1">
      <alignment vertical="center"/>
    </xf>
    <xf numFmtId="0" fontId="159" fillId="0" borderId="0" xfId="10" applyFont="1" applyAlignment="1">
      <alignment horizontal="center" vertical="center"/>
    </xf>
    <xf numFmtId="49" fontId="88" fillId="5" borderId="2" xfId="10" applyNumberFormat="1" applyFont="1" applyFill="1" applyBorder="1" applyAlignment="1" applyProtection="1">
      <alignment horizontal="center" vertical="center" wrapText="1"/>
    </xf>
    <xf numFmtId="0" fontId="243" fillId="12" borderId="120" xfId="10" applyFont="1" applyFill="1" applyBorder="1" applyAlignment="1" applyProtection="1">
      <alignment horizontal="center" vertical="center" wrapText="1"/>
    </xf>
    <xf numFmtId="0" fontId="243" fillId="12" borderId="121" xfId="10" applyFont="1" applyFill="1" applyBorder="1" applyAlignment="1" applyProtection="1">
      <alignment horizontal="center" vertical="center" wrapText="1"/>
    </xf>
    <xf numFmtId="0" fontId="159" fillId="0" borderId="122" xfId="10" applyFont="1" applyBorder="1" applyAlignment="1">
      <alignment horizontal="center" vertical="center"/>
    </xf>
    <xf numFmtId="0" fontId="243" fillId="13" borderId="124" xfId="10" applyFont="1" applyFill="1" applyBorder="1" applyAlignment="1" applyProtection="1">
      <alignment horizontal="center" vertical="center" wrapText="1"/>
    </xf>
    <xf numFmtId="0" fontId="243" fillId="12" borderId="124" xfId="10" applyFont="1" applyFill="1" applyBorder="1" applyAlignment="1" applyProtection="1">
      <alignment horizontal="center" vertical="center" wrapText="1"/>
    </xf>
    <xf numFmtId="184" fontId="159" fillId="12" borderId="120" xfId="10" applyNumberFormat="1" applyFont="1" applyFill="1" applyBorder="1" applyAlignment="1">
      <alignment horizontal="center" vertical="center" wrapText="1"/>
    </xf>
    <xf numFmtId="184" fontId="159" fillId="12" borderId="127" xfId="10" applyNumberFormat="1" applyFont="1" applyFill="1" applyBorder="1" applyAlignment="1">
      <alignment horizontal="center" vertical="center" wrapText="1"/>
    </xf>
    <xf numFmtId="0" fontId="154" fillId="0" borderId="0" xfId="10" applyFont="1">
      <alignment vertical="center"/>
    </xf>
    <xf numFmtId="10" fontId="154" fillId="0" borderId="122" xfId="10" applyNumberFormat="1" applyFont="1" applyBorder="1">
      <alignment vertical="center"/>
    </xf>
    <xf numFmtId="10" fontId="154" fillId="0" borderId="0" xfId="10" applyNumberFormat="1" applyFont="1">
      <alignment vertical="center"/>
    </xf>
    <xf numFmtId="177" fontId="154" fillId="0" borderId="0" xfId="10" applyNumberFormat="1" applyFont="1">
      <alignment vertical="center"/>
    </xf>
    <xf numFmtId="181" fontId="154" fillId="0" borderId="122" xfId="10" applyNumberFormat="1" applyFont="1" applyBorder="1">
      <alignment vertical="center"/>
    </xf>
    <xf numFmtId="181" fontId="154" fillId="0" borderId="0" xfId="10" applyNumberFormat="1" applyFont="1">
      <alignment vertical="center"/>
    </xf>
    <xf numFmtId="184" fontId="154" fillId="0" borderId="0" xfId="10" applyNumberFormat="1" applyFont="1" applyAlignment="1">
      <alignment horizontal="center" vertical="center"/>
    </xf>
    <xf numFmtId="0" fontId="243" fillId="13" borderId="128" xfId="10" applyFont="1" applyFill="1" applyBorder="1" applyAlignment="1" applyProtection="1">
      <alignment horizontal="center" vertical="center" wrapText="1"/>
    </xf>
    <xf numFmtId="0" fontId="243" fillId="12" borderId="128" xfId="10" applyFont="1" applyFill="1" applyBorder="1" applyAlignment="1" applyProtection="1">
      <alignment horizontal="center" vertical="center" wrapText="1"/>
    </xf>
    <xf numFmtId="10" fontId="154" fillId="0" borderId="126" xfId="10" applyNumberFormat="1" applyFont="1" applyBorder="1">
      <alignment vertical="center"/>
    </xf>
    <xf numFmtId="10" fontId="154" fillId="0" borderId="19" xfId="10" applyNumberFormat="1" applyFont="1" applyBorder="1">
      <alignment vertical="center"/>
    </xf>
    <xf numFmtId="10" fontId="154" fillId="0" borderId="0" xfId="10" applyNumberFormat="1" applyFont="1" applyAlignment="1">
      <alignment horizontal="center" vertical="center"/>
    </xf>
    <xf numFmtId="0" fontId="243" fillId="12" borderId="130" xfId="10" applyFont="1" applyFill="1" applyBorder="1" applyAlignment="1" applyProtection="1">
      <alignment horizontal="center" vertical="center" wrapText="1"/>
    </xf>
    <xf numFmtId="0" fontId="243" fillId="12" borderId="131" xfId="10" applyFont="1" applyFill="1" applyBorder="1" applyAlignment="1" applyProtection="1">
      <alignment horizontal="center" vertical="center" wrapText="1"/>
    </xf>
    <xf numFmtId="10" fontId="154" fillId="0" borderId="132" xfId="10" applyNumberFormat="1" applyFont="1" applyBorder="1">
      <alignment vertical="center"/>
    </xf>
    <xf numFmtId="10" fontId="154" fillId="0" borderId="14" xfId="10" applyNumberFormat="1" applyFont="1" applyBorder="1">
      <alignment vertical="center"/>
    </xf>
    <xf numFmtId="0" fontId="154" fillId="0" borderId="122" xfId="10" applyFont="1" applyBorder="1">
      <alignment vertical="center"/>
    </xf>
    <xf numFmtId="0" fontId="243" fillId="13" borderId="120" xfId="10" applyFont="1" applyFill="1" applyBorder="1" applyAlignment="1" applyProtection="1">
      <alignment horizontal="center" vertical="center" wrapText="1"/>
    </xf>
    <xf numFmtId="0" fontId="243" fillId="13" borderId="121" xfId="10" applyFont="1" applyFill="1" applyBorder="1" applyAlignment="1" applyProtection="1">
      <alignment horizontal="center" vertical="center" wrapText="1"/>
    </xf>
    <xf numFmtId="10" fontId="154" fillId="0" borderId="0" xfId="10" applyNumberFormat="1" applyFont="1" applyBorder="1">
      <alignment vertical="center"/>
    </xf>
    <xf numFmtId="184" fontId="159" fillId="12" borderId="124" xfId="10" applyNumberFormat="1" applyFont="1" applyFill="1" applyBorder="1" applyAlignment="1">
      <alignment horizontal="center" vertical="center" wrapText="1"/>
    </xf>
    <xf numFmtId="184" fontId="159" fillId="12" borderId="133" xfId="10" applyNumberFormat="1" applyFont="1" applyFill="1" applyBorder="1" applyAlignment="1">
      <alignment horizontal="center" vertical="center" wrapText="1"/>
    </xf>
    <xf numFmtId="0" fontId="154" fillId="13" borderId="120" xfId="10" applyFont="1" applyFill="1" applyBorder="1" applyAlignment="1" applyProtection="1">
      <alignment horizontal="center" vertical="center" wrapText="1"/>
    </xf>
    <xf numFmtId="0" fontId="154" fillId="13" borderId="121" xfId="10" applyFont="1" applyFill="1" applyBorder="1" applyAlignment="1" applyProtection="1">
      <alignment horizontal="center" vertical="center" wrapText="1"/>
    </xf>
    <xf numFmtId="49" fontId="88" fillId="6" borderId="2" xfId="10" applyNumberFormat="1" applyFont="1" applyFill="1" applyBorder="1" applyAlignment="1" applyProtection="1">
      <alignment horizontal="center" vertical="center" wrapText="1"/>
    </xf>
    <xf numFmtId="184" fontId="154" fillId="6" borderId="0" xfId="10" applyNumberFormat="1" applyFont="1" applyFill="1" applyAlignment="1">
      <alignment horizontal="center" vertical="center"/>
    </xf>
    <xf numFmtId="0" fontId="154" fillId="6" borderId="124" xfId="10" applyFont="1" applyFill="1" applyBorder="1" applyAlignment="1" applyProtection="1">
      <alignment horizontal="center" vertical="center" wrapText="1"/>
    </xf>
    <xf numFmtId="0" fontId="154" fillId="6" borderId="128" xfId="10" applyFont="1" applyFill="1" applyBorder="1" applyAlignment="1" applyProtection="1">
      <alignment horizontal="center" vertical="center" wrapText="1"/>
    </xf>
    <xf numFmtId="0" fontId="154" fillId="6" borderId="0" xfId="10" applyFont="1" applyFill="1">
      <alignment vertical="center"/>
    </xf>
    <xf numFmtId="10" fontId="154" fillId="6" borderId="122" xfId="10" applyNumberFormat="1" applyFont="1" applyFill="1" applyBorder="1">
      <alignment vertical="center"/>
    </xf>
    <xf numFmtId="10" fontId="154" fillId="6" borderId="0" xfId="10" applyNumberFormat="1" applyFont="1" applyFill="1">
      <alignment vertical="center"/>
    </xf>
    <xf numFmtId="177" fontId="154" fillId="6" borderId="0" xfId="10" applyNumberFormat="1" applyFont="1" applyFill="1">
      <alignment vertical="center"/>
    </xf>
    <xf numFmtId="10" fontId="154" fillId="6" borderId="126" xfId="10" applyNumberFormat="1" applyFont="1" applyFill="1" applyBorder="1">
      <alignment vertical="center"/>
    </xf>
    <xf numFmtId="10" fontId="154" fillId="6" borderId="19" xfId="10" applyNumberFormat="1" applyFont="1" applyFill="1" applyBorder="1">
      <alignment vertical="center"/>
    </xf>
    <xf numFmtId="0" fontId="154" fillId="12" borderId="130" xfId="10" applyFont="1" applyFill="1" applyBorder="1" applyAlignment="1" applyProtection="1">
      <alignment horizontal="center" vertical="center" wrapText="1"/>
    </xf>
    <xf numFmtId="0" fontId="154" fillId="12" borderId="131" xfId="10" applyFont="1" applyFill="1" applyBorder="1" applyAlignment="1" applyProtection="1">
      <alignment horizontal="center" vertical="center" wrapText="1"/>
    </xf>
    <xf numFmtId="184" fontId="159" fillId="12" borderId="130" xfId="10" applyNumberFormat="1" applyFont="1" applyFill="1" applyBorder="1" applyAlignment="1">
      <alignment horizontal="center" vertical="center" wrapText="1"/>
    </xf>
    <xf numFmtId="184" fontId="159" fillId="12" borderId="134" xfId="10" applyNumberFormat="1" applyFont="1" applyFill="1" applyBorder="1" applyAlignment="1">
      <alignment horizontal="center" vertical="center" wrapText="1"/>
    </xf>
    <xf numFmtId="184" fontId="154" fillId="14" borderId="0" xfId="10" applyNumberFormat="1" applyFont="1" applyFill="1" applyAlignment="1">
      <alignment horizontal="center" vertical="center"/>
    </xf>
    <xf numFmtId="184" fontId="154" fillId="0" borderId="61" xfId="10" applyNumberFormat="1" applyFont="1" applyBorder="1" applyAlignment="1">
      <alignment horizontal="center" vertical="center"/>
    </xf>
    <xf numFmtId="0" fontId="243" fillId="13" borderId="135" xfId="10" applyFont="1" applyFill="1" applyBorder="1" applyAlignment="1" applyProtection="1">
      <alignment horizontal="center" vertical="center" wrapText="1"/>
    </xf>
    <xf numFmtId="0" fontId="243" fillId="13" borderId="136" xfId="10" applyFont="1" applyFill="1" applyBorder="1" applyAlignment="1" applyProtection="1">
      <alignment horizontal="center" vertical="center" wrapText="1"/>
    </xf>
    <xf numFmtId="0" fontId="154" fillId="0" borderId="61" xfId="10" applyFont="1" applyBorder="1">
      <alignment vertical="center"/>
    </xf>
    <xf numFmtId="10" fontId="154" fillId="0" borderId="137" xfId="10" applyNumberFormat="1" applyFont="1" applyBorder="1">
      <alignment vertical="center"/>
    </xf>
    <xf numFmtId="10" fontId="154" fillId="0" borderId="61" xfId="10" applyNumberFormat="1" applyFont="1" applyBorder="1">
      <alignment vertical="center"/>
    </xf>
    <xf numFmtId="177" fontId="154" fillId="0" borderId="61" xfId="10" applyNumberFormat="1" applyFont="1" applyBorder="1">
      <alignment vertical="center"/>
    </xf>
    <xf numFmtId="10" fontId="154" fillId="0" borderId="61" xfId="10" applyNumberFormat="1" applyFont="1" applyBorder="1" applyAlignment="1">
      <alignment horizontal="center" vertical="center"/>
    </xf>
    <xf numFmtId="0" fontId="243" fillId="12" borderId="138" xfId="10" applyFont="1" applyFill="1" applyBorder="1" applyAlignment="1" applyProtection="1">
      <alignment horizontal="center" vertical="center" wrapText="1"/>
    </xf>
    <xf numFmtId="0" fontId="243" fillId="12" borderId="139" xfId="10" applyFont="1" applyFill="1" applyBorder="1" applyAlignment="1" applyProtection="1">
      <alignment horizontal="center" vertical="center" wrapText="1"/>
    </xf>
    <xf numFmtId="10" fontId="154" fillId="15" borderId="122" xfId="10" applyNumberFormat="1" applyFont="1" applyFill="1" applyBorder="1">
      <alignment vertical="center"/>
    </xf>
    <xf numFmtId="10" fontId="154" fillId="15" borderId="0" xfId="10" applyNumberFormat="1" applyFont="1" applyFill="1">
      <alignment vertical="center"/>
    </xf>
    <xf numFmtId="178" fontId="154" fillId="0" borderId="0" xfId="10" applyNumberFormat="1" applyFont="1" applyAlignment="1">
      <alignment horizontal="center" vertical="center"/>
    </xf>
    <xf numFmtId="10" fontId="154" fillId="15" borderId="126" xfId="10" applyNumberFormat="1" applyFont="1" applyFill="1" applyBorder="1">
      <alignment vertical="center"/>
    </xf>
    <xf numFmtId="10" fontId="154" fillId="15" borderId="19" xfId="10" applyNumberFormat="1" applyFont="1" applyFill="1" applyBorder="1">
      <alignment vertical="center"/>
    </xf>
    <xf numFmtId="10" fontId="154" fillId="15" borderId="137" xfId="10" applyNumberFormat="1" applyFont="1" applyFill="1" applyBorder="1">
      <alignment vertical="center"/>
    </xf>
    <xf numFmtId="10" fontId="154" fillId="15" borderId="61" xfId="10" applyNumberFormat="1" applyFont="1" applyFill="1" applyBorder="1">
      <alignment vertical="center"/>
    </xf>
    <xf numFmtId="178" fontId="154" fillId="0" borderId="61" xfId="10" applyNumberFormat="1" applyFont="1" applyBorder="1" applyAlignment="1">
      <alignment horizontal="center" vertical="center"/>
    </xf>
    <xf numFmtId="0" fontId="159" fillId="13" borderId="140" xfId="10" applyFont="1" applyFill="1" applyBorder="1" applyAlignment="1">
      <alignment horizontal="center" vertical="center" wrapText="1"/>
    </xf>
    <xf numFmtId="0" fontId="159" fillId="13" borderId="141" xfId="10" applyFont="1" applyFill="1" applyBorder="1" applyAlignment="1">
      <alignment horizontal="center" vertical="center" wrapText="1"/>
    </xf>
    <xf numFmtId="180" fontId="154" fillId="0" borderId="0" xfId="10" applyNumberFormat="1" applyFont="1" applyAlignment="1">
      <alignment horizontal="center" vertical="center"/>
    </xf>
    <xf numFmtId="180" fontId="154" fillId="0" borderId="122" xfId="10" applyNumberFormat="1" applyFont="1" applyBorder="1" applyAlignment="1">
      <alignment horizontal="center" vertical="center"/>
    </xf>
    <xf numFmtId="177" fontId="154" fillId="15" borderId="0" xfId="10" applyNumberFormat="1" applyFont="1" applyFill="1" applyAlignment="1">
      <alignment horizontal="center" vertical="center"/>
    </xf>
    <xf numFmtId="0" fontId="243" fillId="13" borderId="130" xfId="10" applyFont="1" applyFill="1" applyBorder="1" applyAlignment="1" applyProtection="1">
      <alignment horizontal="center" vertical="center" wrapText="1"/>
    </xf>
    <xf numFmtId="0" fontId="159" fillId="12" borderId="130" xfId="10" applyFont="1" applyFill="1" applyBorder="1" applyAlignment="1">
      <alignment horizontal="center" vertical="center" wrapText="1"/>
    </xf>
    <xf numFmtId="0" fontId="159" fillId="12" borderId="134" xfId="10" applyFont="1" applyFill="1" applyBorder="1" applyAlignment="1">
      <alignment horizontal="center" vertical="center" wrapText="1"/>
    </xf>
    <xf numFmtId="177" fontId="154" fillId="6" borderId="0" xfId="10" applyNumberFormat="1" applyFont="1" applyFill="1" applyAlignment="1">
      <alignment horizontal="center" vertical="center"/>
    </xf>
    <xf numFmtId="0" fontId="243" fillId="6" borderId="124" xfId="10" applyFont="1" applyFill="1" applyBorder="1" applyAlignment="1" applyProtection="1">
      <alignment horizontal="center" vertical="center" wrapText="1"/>
    </xf>
    <xf numFmtId="180" fontId="154" fillId="6" borderId="0" xfId="10" applyNumberFormat="1" applyFont="1" applyFill="1" applyAlignment="1">
      <alignment horizontal="center" vertical="center"/>
    </xf>
    <xf numFmtId="0" fontId="154" fillId="6" borderId="122" xfId="10" applyFont="1" applyFill="1" applyBorder="1">
      <alignment vertical="center"/>
    </xf>
    <xf numFmtId="178" fontId="154" fillId="6" borderId="0" xfId="10" applyNumberFormat="1" applyFont="1" applyFill="1" applyAlignment="1">
      <alignment horizontal="center" vertical="center"/>
    </xf>
    <xf numFmtId="0" fontId="159" fillId="12" borderId="142" xfId="10" applyFont="1" applyFill="1" applyBorder="1" applyAlignment="1">
      <alignment horizontal="center" vertical="center" wrapText="1"/>
    </xf>
    <xf numFmtId="0" fontId="159" fillId="12" borderId="143" xfId="10" applyFont="1" applyFill="1" applyBorder="1" applyAlignment="1">
      <alignment horizontal="center" vertical="center" wrapText="1"/>
    </xf>
    <xf numFmtId="0" fontId="159" fillId="12" borderId="144" xfId="10" applyFont="1" applyFill="1" applyBorder="1" applyAlignment="1">
      <alignment horizontal="center" vertical="center" wrapText="1"/>
    </xf>
    <xf numFmtId="0" fontId="213" fillId="0" borderId="0" xfId="10" applyFont="1">
      <alignment vertical="center"/>
    </xf>
    <xf numFmtId="0" fontId="160" fillId="0" borderId="0" xfId="10" applyFont="1">
      <alignment vertical="center"/>
    </xf>
    <xf numFmtId="0" fontId="160" fillId="0" borderId="122" xfId="10" applyFont="1" applyBorder="1">
      <alignment vertical="center"/>
    </xf>
    <xf numFmtId="180" fontId="160" fillId="0" borderId="0" xfId="10" applyNumberFormat="1" applyFont="1" applyAlignment="1">
      <alignment horizontal="center" vertical="center"/>
    </xf>
    <xf numFmtId="180" fontId="160" fillId="0" borderId="122" xfId="10" applyNumberFormat="1" applyFont="1" applyBorder="1" applyAlignment="1">
      <alignment horizontal="center" vertical="center"/>
    </xf>
    <xf numFmtId="0" fontId="243" fillId="13" borderId="145" xfId="10" applyFont="1" applyFill="1" applyBorder="1" applyAlignment="1">
      <alignment horizontal="center" vertical="center" wrapText="1"/>
    </xf>
    <xf numFmtId="0" fontId="243" fillId="13" borderId="120" xfId="10" applyFont="1" applyFill="1" applyBorder="1" applyAlignment="1">
      <alignment horizontal="center" vertical="center" wrapText="1"/>
    </xf>
    <xf numFmtId="0" fontId="243" fillId="12" borderId="146" xfId="10" applyFont="1" applyFill="1" applyBorder="1" applyAlignment="1">
      <alignment horizontal="center" vertical="center" wrapText="1"/>
    </xf>
    <xf numFmtId="0" fontId="243" fillId="12" borderId="124" xfId="10" applyFont="1" applyFill="1" applyBorder="1" applyAlignment="1">
      <alignment horizontal="center" vertical="center" wrapText="1"/>
    </xf>
    <xf numFmtId="0" fontId="243" fillId="13" borderId="124" xfId="10" applyFont="1" applyFill="1" applyBorder="1" applyAlignment="1">
      <alignment horizontal="center" vertical="center" wrapText="1"/>
    </xf>
    <xf numFmtId="0" fontId="243" fillId="13" borderId="146" xfId="10" applyFont="1" applyFill="1" applyBorder="1" applyAlignment="1">
      <alignment horizontal="center" vertical="center" wrapText="1"/>
    </xf>
    <xf numFmtId="0" fontId="243" fillId="12" borderId="147" xfId="10" applyFont="1" applyFill="1" applyBorder="1" applyAlignment="1">
      <alignment horizontal="center" vertical="center" wrapText="1"/>
    </xf>
    <xf numFmtId="0" fontId="243" fillId="12" borderId="130" xfId="10" applyFont="1" applyFill="1" applyBorder="1" applyAlignment="1">
      <alignment horizontal="center" vertical="center" wrapText="1"/>
    </xf>
    <xf numFmtId="0" fontId="159" fillId="0" borderId="0" xfId="10" applyFont="1" applyFill="1">
      <alignment vertical="center"/>
    </xf>
    <xf numFmtId="0" fontId="151" fillId="0" borderId="0" xfId="1" applyFont="1" applyFill="1" applyAlignment="1" applyProtection="1">
      <alignment horizontal="center" vertical="center"/>
    </xf>
    <xf numFmtId="0" fontId="19" fillId="0" borderId="0" xfId="1" applyFont="1" applyFill="1" applyAlignment="1" applyProtection="1">
      <alignment horizontal="center" vertical="center"/>
    </xf>
    <xf numFmtId="0" fontId="159" fillId="0" borderId="0" xfId="10" applyFont="1" applyFill="1" applyBorder="1" applyAlignment="1">
      <alignment horizontal="center" vertical="center"/>
    </xf>
    <xf numFmtId="0" fontId="159" fillId="0" borderId="0" xfId="10" applyFont="1" applyFill="1" applyAlignment="1">
      <alignment horizontal="center" vertical="center"/>
    </xf>
    <xf numFmtId="0" fontId="154" fillId="0" borderId="0" xfId="10" applyFont="1" applyAlignment="1">
      <alignment horizontal="center" vertical="center"/>
    </xf>
    <xf numFmtId="0" fontId="159" fillId="0" borderId="122" xfId="10" applyFont="1" applyFill="1" applyBorder="1" applyAlignment="1">
      <alignment horizontal="center" vertical="center"/>
    </xf>
    <xf numFmtId="0" fontId="159" fillId="0" borderId="148" xfId="10" applyFont="1" applyBorder="1">
      <alignment vertical="center"/>
    </xf>
    <xf numFmtId="0" fontId="19" fillId="5" borderId="148" xfId="1" applyFont="1" applyFill="1" applyBorder="1" applyAlignment="1" applyProtection="1">
      <alignment horizontal="center" vertical="center"/>
    </xf>
    <xf numFmtId="0" fontId="159" fillId="0" borderId="148" xfId="10" applyFont="1" applyBorder="1" applyAlignment="1">
      <alignment horizontal="center" vertical="center"/>
    </xf>
    <xf numFmtId="0" fontId="159" fillId="0" borderId="148" xfId="10" applyFont="1" applyBorder="1" applyAlignment="1">
      <alignment vertical="center"/>
    </xf>
    <xf numFmtId="0" fontId="159" fillId="0" borderId="149" xfId="10" applyFont="1" applyBorder="1" applyAlignment="1">
      <alignment vertical="center"/>
    </xf>
    <xf numFmtId="0" fontId="245" fillId="14" borderId="0" xfId="10" applyFont="1" applyFill="1">
      <alignment vertical="center"/>
    </xf>
    <xf numFmtId="10" fontId="245" fillId="14" borderId="126" xfId="10" applyNumberFormat="1" applyFont="1" applyFill="1" applyBorder="1" applyAlignment="1">
      <alignment vertical="center"/>
    </xf>
    <xf numFmtId="0" fontId="203" fillId="6" borderId="0" xfId="10" applyFont="1" applyFill="1">
      <alignment vertical="center"/>
    </xf>
    <xf numFmtId="0" fontId="161" fillId="5" borderId="148" xfId="1" applyFont="1" applyFill="1" applyBorder="1" applyAlignment="1" applyProtection="1">
      <alignment horizontal="center" vertical="center"/>
    </xf>
    <xf numFmtId="0" fontId="154" fillId="6" borderId="0" xfId="10" applyNumberFormat="1" applyFont="1" applyFill="1" applyAlignment="1">
      <alignment horizontal="center" vertical="center"/>
    </xf>
    <xf numFmtId="14" fontId="154" fillId="0" borderId="0" xfId="10" applyNumberFormat="1" applyFont="1">
      <alignment vertical="center"/>
    </xf>
    <xf numFmtId="0" fontId="154" fillId="0" borderId="0" xfId="10" applyNumberFormat="1" applyFont="1" applyAlignment="1">
      <alignment horizontal="center" vertical="center"/>
    </xf>
    <xf numFmtId="0" fontId="203" fillId="0" borderId="0" xfId="10" applyFont="1">
      <alignment vertical="center"/>
    </xf>
    <xf numFmtId="10" fontId="88" fillId="5" borderId="12" xfId="3" applyNumberFormat="1" applyFont="1" applyFill="1" applyBorder="1" applyAlignment="1" applyProtection="1">
      <alignment horizontal="center" vertical="center" wrapText="1"/>
    </xf>
    <xf numFmtId="0" fontId="60" fillId="5" borderId="28" xfId="3" applyFont="1" applyFill="1" applyBorder="1" applyAlignment="1" applyProtection="1">
      <alignment vertical="center" wrapText="1"/>
    </xf>
    <xf numFmtId="0" fontId="88" fillId="5" borderId="68" xfId="3" applyFont="1" applyFill="1" applyBorder="1" applyAlignment="1" applyProtection="1">
      <alignment horizontal="center" vertical="center" wrapText="1"/>
    </xf>
    <xf numFmtId="0" fontId="59" fillId="5" borderId="27" xfId="3" applyFont="1" applyFill="1" applyBorder="1" applyAlignment="1" applyProtection="1">
      <alignment horizontal="left" vertical="center" wrapText="1"/>
    </xf>
    <xf numFmtId="0" fontId="85" fillId="5" borderId="40" xfId="3" applyFont="1" applyFill="1" applyBorder="1" applyAlignment="1" applyProtection="1">
      <alignment horizontal="center" vertical="center" wrapText="1"/>
    </xf>
    <xf numFmtId="0" fontId="42" fillId="5" borderId="40" xfId="3" applyFont="1" applyFill="1" applyBorder="1" applyAlignment="1" applyProtection="1">
      <alignment vertical="center"/>
    </xf>
    <xf numFmtId="0" fontId="59"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xf>
    <xf numFmtId="0" fontId="60" fillId="5" borderId="39" xfId="3" applyFont="1" applyFill="1" applyBorder="1" applyAlignment="1" applyProtection="1">
      <alignment vertical="center" wrapText="1"/>
    </xf>
    <xf numFmtId="49" fontId="137" fillId="5" borderId="24" xfId="0" applyNumberFormat="1" applyFont="1" applyFill="1" applyBorder="1" applyAlignment="1" applyProtection="1">
      <alignment horizontal="left" vertical="center" wrapText="1"/>
    </xf>
    <xf numFmtId="0" fontId="59" fillId="5" borderId="55" xfId="3" applyFont="1" applyFill="1" applyBorder="1" applyAlignment="1" applyProtection="1">
      <alignment horizontal="left" vertical="center" wrapText="1"/>
    </xf>
    <xf numFmtId="185" fontId="85" fillId="5" borderId="55" xfId="3" applyNumberFormat="1" applyFont="1" applyFill="1" applyBorder="1" applyAlignment="1" applyProtection="1">
      <alignment horizontal="center" vertical="center" wrapText="1"/>
    </xf>
    <xf numFmtId="0" fontId="42" fillId="5" borderId="55" xfId="3" applyFont="1" applyFill="1" applyBorder="1" applyAlignment="1" applyProtection="1">
      <alignment horizontal="center" vertical="center" wrapText="1"/>
    </xf>
    <xf numFmtId="181" fontId="154" fillId="5" borderId="55" xfId="3" applyNumberFormat="1" applyFont="1" applyFill="1" applyBorder="1" applyAlignment="1" applyProtection="1">
      <alignment horizontal="center" vertical="center" wrapText="1"/>
    </xf>
    <xf numFmtId="0" fontId="88" fillId="5" borderId="69" xfId="3" applyFont="1" applyFill="1" applyBorder="1" applyAlignment="1" applyProtection="1">
      <alignment horizontal="center" vertical="center" wrapText="1"/>
    </xf>
    <xf numFmtId="10" fontId="86" fillId="5" borderId="83" xfId="3" applyNumberFormat="1" applyFont="1" applyFill="1" applyBorder="1" applyAlignment="1" applyProtection="1">
      <alignment horizontal="center" vertical="center" wrapText="1"/>
    </xf>
    <xf numFmtId="0" fontId="154" fillId="5" borderId="41" xfId="3" applyFont="1" applyFill="1" applyBorder="1" applyAlignment="1" applyProtection="1">
      <alignment horizontal="center" vertical="center" wrapText="1"/>
    </xf>
    <xf numFmtId="0" fontId="42" fillId="5" borderId="26" xfId="3" applyFont="1" applyFill="1" applyBorder="1" applyAlignment="1" applyProtection="1">
      <alignment horizontal="center" vertical="center" wrapText="1"/>
    </xf>
    <xf numFmtId="0" fontId="146" fillId="5" borderId="6" xfId="3" applyFont="1" applyFill="1" applyBorder="1" applyAlignment="1" applyProtection="1">
      <alignment vertical="center" wrapText="1"/>
      <protection locked="0"/>
    </xf>
    <xf numFmtId="0" fontId="146" fillId="5" borderId="39" xfId="3" applyFont="1" applyFill="1" applyBorder="1" applyAlignment="1" applyProtection="1">
      <alignment vertical="center"/>
      <protection locked="0"/>
    </xf>
    <xf numFmtId="0" fontId="146" fillId="5" borderId="26" xfId="3" applyFont="1" applyFill="1" applyBorder="1" applyAlignment="1" applyProtection="1">
      <alignment horizontal="center" vertical="center" wrapText="1"/>
      <protection locked="0"/>
    </xf>
    <xf numFmtId="177" fontId="73" fillId="0" borderId="67" xfId="0" applyNumberFormat="1" applyFont="1" applyFill="1" applyBorder="1" applyAlignment="1" applyProtection="1">
      <alignment horizontal="center" vertical="center" wrapText="1"/>
      <protection locked="0"/>
    </xf>
    <xf numFmtId="178" fontId="73" fillId="0" borderId="5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5" borderId="42" xfId="0" applyNumberFormat="1" applyFont="1" applyFill="1" applyBorder="1" applyAlignment="1" applyProtection="1">
      <alignment horizontal="center" vertical="center" wrapText="1"/>
    </xf>
    <xf numFmtId="184" fontId="245" fillId="14" borderId="0" xfId="10" applyNumberFormat="1" applyFont="1" applyFill="1" applyBorder="1" applyAlignment="1">
      <alignment horizontal="center" vertical="center"/>
    </xf>
    <xf numFmtId="0" fontId="77" fillId="5" borderId="23" xfId="0" applyNumberFormat="1" applyFont="1" applyFill="1" applyBorder="1" applyAlignment="1" applyProtection="1">
      <alignment vertical="center"/>
    </xf>
    <xf numFmtId="0" fontId="146" fillId="5" borderId="0" xfId="3" applyFont="1" applyFill="1" applyAlignment="1" applyProtection="1">
      <alignment horizontal="center" vertical="center" wrapText="1"/>
      <protection locked="0"/>
    </xf>
    <xf numFmtId="0" fontId="50" fillId="5" borderId="11" xfId="0" applyNumberFormat="1" applyFont="1" applyFill="1" applyBorder="1" applyAlignment="1" applyProtection="1">
      <alignment horizontal="center" vertical="center" wrapText="1"/>
    </xf>
    <xf numFmtId="14" fontId="86" fillId="5" borderId="0" xfId="0" applyNumberFormat="1" applyFont="1" applyFill="1" applyAlignment="1" applyProtection="1">
      <alignment horizontal="center" vertical="center"/>
    </xf>
    <xf numFmtId="176" fontId="86" fillId="5" borderId="0" xfId="0" applyNumberFormat="1" applyFont="1" applyFill="1" applyAlignment="1" applyProtection="1">
      <alignment horizontal="center" vertical="center"/>
    </xf>
    <xf numFmtId="0" fontId="73" fillId="5" borderId="42" xfId="0" applyNumberFormat="1" applyFont="1" applyFill="1" applyBorder="1" applyAlignment="1" applyProtection="1">
      <alignment horizontal="center" vertical="center" wrapText="1"/>
    </xf>
    <xf numFmtId="188" fontId="73" fillId="5" borderId="42" xfId="0" applyNumberFormat="1" applyFont="1" applyFill="1" applyBorder="1" applyAlignment="1" applyProtection="1">
      <alignment horizontal="center" vertical="center" wrapText="1"/>
    </xf>
    <xf numFmtId="0" fontId="73" fillId="5" borderId="32" xfId="0" applyNumberFormat="1" applyFont="1" applyFill="1" applyBorder="1" applyAlignment="1" applyProtection="1">
      <alignment horizontal="center" vertical="center" wrapText="1"/>
      <protection locked="0"/>
    </xf>
    <xf numFmtId="188" fontId="73" fillId="5" borderId="6" xfId="0" applyNumberFormat="1" applyFont="1" applyFill="1" applyBorder="1" applyAlignment="1" applyProtection="1">
      <alignment horizontal="center" vertical="center" wrapText="1"/>
    </xf>
    <xf numFmtId="0" fontId="142" fillId="5" borderId="21" xfId="3"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horizontal="center" vertical="center" wrapText="1"/>
      <protection locked="0"/>
    </xf>
    <xf numFmtId="0" fontId="103" fillId="6"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xf>
    <xf numFmtId="0" fontId="72" fillId="6" borderId="30" xfId="2" applyFont="1" applyFill="1" applyBorder="1" applyAlignment="1" applyProtection="1">
      <alignment horizontal="right" vertical="center"/>
      <protection locked="0"/>
    </xf>
    <xf numFmtId="0" fontId="78" fillId="0" borderId="8" xfId="0" applyFont="1" applyFill="1" applyBorder="1" applyAlignment="1" applyProtection="1">
      <alignment vertical="center"/>
      <protection locked="0"/>
    </xf>
    <xf numFmtId="0" fontId="136" fillId="5" borderId="8" xfId="0" applyFont="1" applyFill="1" applyBorder="1" applyAlignment="1" applyProtection="1">
      <alignment vertical="center"/>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16" xfId="0" applyFont="1" applyFill="1" applyBorder="1" applyAlignment="1" applyProtection="1">
      <alignment vertical="center"/>
    </xf>
    <xf numFmtId="0" fontId="78"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8" fillId="5" borderId="16" xfId="0" applyFont="1" applyFill="1" applyBorder="1" applyAlignment="1" applyProtection="1">
      <alignment horizontal="left" vertical="center"/>
    </xf>
    <xf numFmtId="0" fontId="50" fillId="5" borderId="5" xfId="0" applyFont="1" applyFill="1" applyBorder="1" applyAlignment="1" applyProtection="1">
      <alignment vertical="center"/>
    </xf>
    <xf numFmtId="177" fontId="78" fillId="5" borderId="5" xfId="0" applyNumberFormat="1" applyFont="1" applyFill="1" applyBorder="1" applyAlignment="1" applyProtection="1">
      <alignment vertical="center"/>
    </xf>
    <xf numFmtId="0" fontId="78" fillId="5" borderId="45" xfId="0" applyFont="1" applyFill="1" applyBorder="1" applyAlignment="1" applyProtection="1">
      <alignment vertical="center"/>
    </xf>
    <xf numFmtId="0" fontId="78" fillId="5" borderId="56" xfId="0" applyFont="1" applyFill="1" applyBorder="1" applyAlignment="1" applyProtection="1">
      <alignment vertical="center"/>
    </xf>
    <xf numFmtId="0" fontId="78" fillId="5" borderId="48" xfId="0" applyFont="1" applyFill="1" applyBorder="1" applyAlignment="1" applyProtection="1">
      <alignment vertical="center"/>
    </xf>
    <xf numFmtId="0" fontId="72" fillId="5" borderId="68" xfId="0" applyFont="1" applyFill="1" applyBorder="1" applyAlignment="1" applyProtection="1">
      <alignment vertical="center"/>
    </xf>
    <xf numFmtId="0" fontId="77" fillId="5" borderId="61" xfId="0" applyFont="1" applyFill="1" applyBorder="1" applyAlignment="1" applyProtection="1">
      <alignment vertical="center"/>
    </xf>
    <xf numFmtId="0" fontId="77" fillId="5" borderId="66" xfId="0" applyFont="1" applyFill="1" applyBorder="1" applyAlignment="1" applyProtection="1">
      <alignment vertical="center"/>
    </xf>
    <xf numFmtId="0" fontId="72" fillId="5" borderId="59" xfId="0" applyFont="1" applyFill="1" applyBorder="1" applyAlignment="1" applyProtection="1">
      <alignment vertical="center"/>
    </xf>
    <xf numFmtId="0" fontId="72" fillId="5" borderId="30" xfId="0" applyFont="1" applyFill="1" applyBorder="1" applyAlignment="1" applyProtection="1">
      <alignment vertical="center"/>
    </xf>
    <xf numFmtId="184" fontId="77" fillId="5" borderId="29" xfId="0" applyNumberFormat="1" applyFont="1" applyFill="1" applyBorder="1" applyAlignment="1" applyProtection="1">
      <alignment horizontal="center" vertical="center"/>
    </xf>
    <xf numFmtId="0" fontId="72" fillId="5" borderId="57" xfId="0" applyFont="1" applyFill="1" applyBorder="1" applyAlignment="1" applyProtection="1">
      <alignment vertical="center"/>
    </xf>
    <xf numFmtId="0" fontId="77" fillId="5" borderId="11" xfId="0" applyFont="1" applyFill="1" applyBorder="1" applyAlignment="1" applyProtection="1">
      <alignment horizontal="center" vertical="center"/>
    </xf>
    <xf numFmtId="0" fontId="77" fillId="5" borderId="4" xfId="0" applyFont="1" applyFill="1" applyBorder="1" applyAlignment="1" applyProtection="1">
      <alignment vertical="center"/>
    </xf>
    <xf numFmtId="184" fontId="78" fillId="0" borderId="2" xfId="0" applyNumberFormat="1" applyFont="1" applyFill="1" applyBorder="1" applyAlignment="1" applyProtection="1">
      <alignment horizontal="center" vertical="center"/>
      <protection locked="0"/>
    </xf>
    <xf numFmtId="184" fontId="78" fillId="0" borderId="12" xfId="0" applyNumberFormat="1" applyFont="1" applyFill="1" applyBorder="1" applyAlignment="1" applyProtection="1">
      <alignment horizontal="center" vertical="center"/>
      <protection locked="0"/>
    </xf>
    <xf numFmtId="49" fontId="78" fillId="5" borderId="43" xfId="0" applyNumberFormat="1" applyFont="1" applyFill="1" applyBorder="1" applyAlignment="1" applyProtection="1">
      <alignment horizontal="left" vertical="center"/>
    </xf>
    <xf numFmtId="184" fontId="78" fillId="0" borderId="44" xfId="0" applyNumberFormat="1" applyFont="1" applyFill="1" applyBorder="1" applyAlignment="1" applyProtection="1">
      <alignment horizontal="center" vertical="center"/>
      <protection locked="0"/>
    </xf>
    <xf numFmtId="184" fontId="78" fillId="0" borderId="46" xfId="0" applyNumberFormat="1" applyFont="1" applyFill="1" applyBorder="1" applyAlignment="1" applyProtection="1">
      <alignment horizontal="center" vertical="center"/>
      <protection locked="0"/>
    </xf>
    <xf numFmtId="49" fontId="72" fillId="5" borderId="59" xfId="0" applyNumberFormat="1" applyFont="1" applyFill="1" applyBorder="1" applyAlignment="1" applyProtection="1">
      <alignment vertical="center"/>
    </xf>
    <xf numFmtId="49" fontId="77" fillId="5" borderId="11" xfId="0" applyNumberFormat="1" applyFont="1" applyFill="1" applyBorder="1" applyAlignment="1" applyProtection="1">
      <alignment horizontal="center" vertical="center"/>
    </xf>
    <xf numFmtId="184" fontId="77" fillId="5" borderId="2" xfId="0"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79" fontId="78" fillId="5" borderId="2" xfId="2" applyNumberFormat="1" applyFont="1" applyFill="1" applyBorder="1" applyAlignment="1" applyProtection="1">
      <alignment horizontal="center" vertical="center"/>
    </xf>
    <xf numFmtId="0" fontId="78" fillId="5" borderId="2" xfId="0" applyFont="1" applyFill="1" applyBorder="1" applyAlignment="1" applyProtection="1">
      <alignment vertical="center"/>
    </xf>
    <xf numFmtId="181"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77"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7" fontId="77" fillId="5" borderId="2" xfId="2" applyNumberFormat="1" applyFont="1" applyFill="1" applyBorder="1" applyAlignment="1" applyProtection="1">
      <alignment horizontal="center" vertical="center"/>
    </xf>
    <xf numFmtId="0" fontId="77" fillId="5" borderId="2"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0" fontId="78" fillId="5" borderId="2" xfId="2" applyFont="1" applyFill="1" applyBorder="1" applyAlignment="1" applyProtection="1">
      <alignment horizontal="left" vertical="center"/>
    </xf>
    <xf numFmtId="185" fontId="78" fillId="5" borderId="9" xfId="0" applyNumberFormat="1" applyFont="1" applyFill="1" applyBorder="1" applyAlignment="1" applyProtection="1">
      <alignment horizontal="center" vertical="center"/>
    </xf>
    <xf numFmtId="177" fontId="78" fillId="5" borderId="0" xfId="0" applyNumberFormat="1" applyFont="1" applyFill="1" applyBorder="1" applyAlignment="1" applyProtection="1">
      <alignment horizontal="center" vertical="center"/>
    </xf>
    <xf numFmtId="49" fontId="77" fillId="5" borderId="11" xfId="0" applyNumberFormat="1" applyFont="1" applyFill="1" applyBorder="1" applyAlignment="1" applyProtection="1">
      <alignment horizontal="left" vertical="center"/>
    </xf>
    <xf numFmtId="0" fontId="77" fillId="5" borderId="2" xfId="2"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177" fontId="78" fillId="5" borderId="56" xfId="2" applyNumberFormat="1" applyFont="1" applyFill="1" applyBorder="1" applyAlignment="1" applyProtection="1">
      <alignment vertical="center"/>
    </xf>
    <xf numFmtId="184" fontId="72" fillId="5" borderId="55" xfId="0" applyNumberFormat="1" applyFont="1" applyFill="1" applyBorder="1" applyAlignment="1" applyProtection="1">
      <alignment horizontal="center" vertical="center"/>
    </xf>
    <xf numFmtId="0" fontId="78" fillId="6" borderId="0" xfId="0" applyFont="1" applyFill="1" applyProtection="1">
      <alignment vertical="center"/>
      <protection locked="0"/>
    </xf>
    <xf numFmtId="49" fontId="198" fillId="0" borderId="2" xfId="0" applyNumberFormat="1" applyFont="1" applyBorder="1" applyAlignment="1" applyProtection="1">
      <alignment horizontal="center" vertical="center" wrapText="1"/>
      <protection locked="0"/>
    </xf>
    <xf numFmtId="0" fontId="197" fillId="0" borderId="0" xfId="0" applyFont="1" applyAlignment="1">
      <alignment horizontal="center" vertical="center" wrapText="1"/>
    </xf>
    <xf numFmtId="0" fontId="197" fillId="0" borderId="0" xfId="0" applyFont="1" applyAlignment="1">
      <alignment horizontal="right" vertical="center"/>
    </xf>
    <xf numFmtId="0" fontId="197" fillId="0" borderId="19" xfId="0" applyFont="1" applyBorder="1" applyAlignment="1">
      <alignment vertical="center" wrapText="1"/>
    </xf>
    <xf numFmtId="0" fontId="189" fillId="0" borderId="0" xfId="0" applyFont="1" applyAlignment="1">
      <alignment horizontal="center" vertical="center" wrapText="1"/>
    </xf>
    <xf numFmtId="190" fontId="141"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3" fillId="0" borderId="0" xfId="0" applyFont="1">
      <alignment vertical="center"/>
    </xf>
    <xf numFmtId="0" fontId="182" fillId="0" borderId="0" xfId="0" applyFont="1" applyBorder="1">
      <alignment vertical="center"/>
    </xf>
    <xf numFmtId="0" fontId="182" fillId="0" borderId="2" xfId="0" applyFont="1" applyBorder="1" applyAlignment="1">
      <alignment vertical="center" wrapText="1"/>
    </xf>
    <xf numFmtId="0" fontId="182" fillId="0" borderId="2" xfId="0" applyFont="1" applyBorder="1" applyAlignment="1" applyProtection="1">
      <alignment horizontal="left" vertical="center"/>
    </xf>
    <xf numFmtId="0" fontId="182" fillId="0" borderId="0" xfId="0" applyFont="1" applyBorder="1" applyProtection="1">
      <alignment vertical="center"/>
      <protection locked="0"/>
    </xf>
    <xf numFmtId="0" fontId="182" fillId="0" borderId="2" xfId="0" applyFont="1" applyFill="1" applyBorder="1" applyAlignment="1" applyProtection="1">
      <alignment horizontal="left" vertical="center"/>
    </xf>
    <xf numFmtId="0" fontId="182" fillId="0" borderId="0" xfId="0" applyFont="1">
      <alignment vertical="center"/>
    </xf>
    <xf numFmtId="0" fontId="182" fillId="0" borderId="2" xfId="0" applyFont="1" applyBorder="1">
      <alignment vertical="center"/>
    </xf>
    <xf numFmtId="49" fontId="182" fillId="0" borderId="2" xfId="0" applyNumberFormat="1" applyFont="1" applyBorder="1" applyAlignment="1" applyProtection="1">
      <alignment horizontal="left" vertical="center"/>
    </xf>
    <xf numFmtId="0" fontId="182" fillId="0" borderId="2" xfId="0" applyNumberFormat="1" applyFont="1" applyBorder="1" applyAlignment="1" applyProtection="1">
      <alignment horizontal="left" vertical="center"/>
    </xf>
    <xf numFmtId="0" fontId="182" fillId="0" borderId="2" xfId="0" applyFont="1" applyBorder="1" applyAlignment="1">
      <alignment horizontal="left" vertical="center"/>
    </xf>
    <xf numFmtId="0" fontId="182" fillId="0" borderId="0" xfId="0" applyFont="1" applyBorder="1" applyAlignment="1">
      <alignment vertical="center" wrapText="1"/>
    </xf>
    <xf numFmtId="0" fontId="182" fillId="0" borderId="0" xfId="0" applyFont="1" applyBorder="1" applyAlignment="1">
      <alignment horizontal="left" vertical="center"/>
    </xf>
    <xf numFmtId="0" fontId="182" fillId="0" borderId="21" xfId="0" applyFont="1" applyBorder="1" applyAlignment="1">
      <alignment vertical="center" wrapText="1"/>
    </xf>
    <xf numFmtId="0" fontId="182" fillId="0" borderId="21" xfId="0" applyFont="1" applyBorder="1" applyAlignment="1" applyProtection="1">
      <alignment horizontal="left" vertical="center"/>
    </xf>
    <xf numFmtId="0" fontId="182" fillId="0" borderId="71" xfId="0" applyFont="1" applyBorder="1" applyAlignment="1">
      <alignment horizontal="left" vertical="center" wrapText="1"/>
    </xf>
    <xf numFmtId="0" fontId="156" fillId="0" borderId="71" xfId="0" applyFont="1" applyBorder="1" applyAlignment="1" applyProtection="1">
      <alignment horizontal="left" vertical="center"/>
      <protection locked="0"/>
    </xf>
    <xf numFmtId="0" fontId="182" fillId="0" borderId="91" xfId="0" applyFont="1" applyBorder="1">
      <alignment vertical="center"/>
    </xf>
    <xf numFmtId="0" fontId="182" fillId="0" borderId="74" xfId="0" applyFont="1" applyBorder="1" applyAlignment="1">
      <alignment vertical="center" wrapText="1"/>
    </xf>
    <xf numFmtId="0" fontId="182" fillId="0" borderId="74" xfId="0" applyFont="1" applyBorder="1" applyAlignment="1" applyProtection="1">
      <alignment horizontal="left" vertical="center"/>
    </xf>
    <xf numFmtId="0" fontId="182" fillId="0" borderId="78" xfId="0" applyFont="1" applyBorder="1" applyProtection="1">
      <alignment vertical="center"/>
      <protection locked="0"/>
    </xf>
    <xf numFmtId="49" fontId="182" fillId="0" borderId="78" xfId="0" applyNumberFormat="1" applyFont="1" applyBorder="1" applyProtection="1">
      <alignment vertical="center"/>
      <protection locked="0"/>
    </xf>
    <xf numFmtId="183" fontId="182" fillId="0" borderId="78" xfId="0" applyNumberFormat="1" applyFont="1" applyBorder="1" applyProtection="1">
      <alignment vertical="center"/>
      <protection locked="0"/>
    </xf>
    <xf numFmtId="0" fontId="182" fillId="0" borderId="0" xfId="0" applyFont="1" applyFill="1" applyBorder="1" applyProtection="1">
      <alignment vertical="center"/>
    </xf>
    <xf numFmtId="0" fontId="182" fillId="0" borderId="71" xfId="0" applyFont="1" applyBorder="1" applyAlignment="1">
      <alignment vertical="center" wrapText="1"/>
    </xf>
    <xf numFmtId="0" fontId="182" fillId="0" borderId="71" xfId="0" applyFont="1" applyBorder="1" applyAlignment="1" applyProtection="1">
      <alignment horizontal="left" vertical="center"/>
    </xf>
    <xf numFmtId="0" fontId="182" fillId="0" borderId="78" xfId="0" applyFont="1" applyBorder="1">
      <alignment vertical="center"/>
    </xf>
    <xf numFmtId="0" fontId="182" fillId="0" borderId="74" xfId="0" applyFont="1" applyBorder="1">
      <alignment vertical="center"/>
    </xf>
    <xf numFmtId="190" fontId="182" fillId="0" borderId="71" xfId="0" applyNumberFormat="1" applyFont="1" applyBorder="1" applyAlignment="1" applyProtection="1">
      <alignment horizontal="left" vertical="center"/>
    </xf>
    <xf numFmtId="0" fontId="182" fillId="0" borderId="21" xfId="0" applyFont="1" applyBorder="1" applyAlignment="1">
      <alignment horizontal="left" vertical="center"/>
    </xf>
    <xf numFmtId="0" fontId="182" fillId="0" borderId="71" xfId="0" applyNumberFormat="1" applyFont="1" applyBorder="1" applyAlignment="1" applyProtection="1">
      <alignment horizontal="left" vertical="center"/>
    </xf>
    <xf numFmtId="0" fontId="182"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3" fillId="2" borderId="30" xfId="0" applyNumberFormat="1" applyFont="1" applyFill="1" applyBorder="1" applyAlignment="1" applyProtection="1">
      <alignment horizontal="center" vertical="center" wrapText="1"/>
      <protection locked="0"/>
    </xf>
    <xf numFmtId="0" fontId="54"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3" fillId="5" borderId="62" xfId="0" applyNumberFormat="1" applyFont="1" applyFill="1" applyBorder="1" applyAlignment="1" applyProtection="1">
      <alignment horizontal="center" vertical="center" wrapText="1"/>
    </xf>
    <xf numFmtId="0" fontId="77" fillId="5" borderId="59" xfId="0" applyFont="1" applyFill="1" applyBorder="1" applyAlignment="1" applyProtection="1">
      <alignment vertical="center" wrapText="1"/>
    </xf>
    <xf numFmtId="0" fontId="77" fillId="5" borderId="64" xfId="0" applyFont="1" applyFill="1" applyBorder="1" applyAlignment="1" applyProtection="1">
      <alignment vertical="center" wrapText="1"/>
    </xf>
    <xf numFmtId="0" fontId="77" fillId="5" borderId="87" xfId="0" applyFont="1" applyFill="1" applyBorder="1" applyAlignment="1" applyProtection="1">
      <alignment vertical="center" wrapText="1"/>
    </xf>
    <xf numFmtId="0" fontId="105" fillId="5" borderId="64" xfId="0" applyFont="1" applyFill="1" applyBorder="1" applyAlignment="1" applyProtection="1">
      <alignment vertical="center" wrapText="1"/>
    </xf>
    <xf numFmtId="0" fontId="85" fillId="5" borderId="64" xfId="0" applyFont="1" applyFill="1" applyBorder="1" applyAlignment="1" applyProtection="1">
      <alignment vertical="center" wrapText="1"/>
    </xf>
    <xf numFmtId="0" fontId="85" fillId="8" borderId="87" xfId="0" applyFont="1" applyFill="1" applyBorder="1" applyAlignment="1" applyProtection="1">
      <alignment vertical="center" wrapText="1"/>
    </xf>
    <xf numFmtId="0" fontId="85" fillId="8" borderId="54" xfId="0" applyFont="1" applyFill="1" applyBorder="1" applyAlignment="1" applyProtection="1">
      <alignment vertical="center" wrapText="1"/>
    </xf>
    <xf numFmtId="0" fontId="77" fillId="5" borderId="57"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77" fillId="5" borderId="63"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protection locked="0"/>
    </xf>
    <xf numFmtId="0" fontId="77" fillId="8" borderId="63" xfId="0" applyFont="1" applyFill="1" applyBorder="1" applyAlignment="1" applyProtection="1">
      <alignment horizontal="left" vertical="center" wrapText="1"/>
      <protection locked="0"/>
    </xf>
    <xf numFmtId="0" fontId="77" fillId="8" borderId="66" xfId="0" applyFont="1" applyFill="1" applyBorder="1" applyAlignment="1" applyProtection="1">
      <alignment horizontal="left" vertical="center" wrapText="1"/>
      <protection locked="0"/>
    </xf>
    <xf numFmtId="0" fontId="86" fillId="5" borderId="0" xfId="3" applyFont="1" applyFill="1" applyAlignment="1" applyProtection="1">
      <alignment horizontal="center" vertical="center" wrapText="1"/>
      <protection locked="0"/>
    </xf>
    <xf numFmtId="0" fontId="108" fillId="0" borderId="2" xfId="3" applyFont="1" applyFill="1" applyBorder="1" applyAlignment="1" applyProtection="1">
      <alignment horizontal="center" vertical="center" wrapText="1"/>
      <protection locked="0"/>
    </xf>
    <xf numFmtId="0" fontId="88" fillId="5" borderId="2" xfId="3" applyFont="1" applyFill="1" applyBorder="1" applyAlignment="1" applyProtection="1">
      <alignment horizontal="center" vertical="center" wrapText="1"/>
      <protection locked="0"/>
    </xf>
    <xf numFmtId="179" fontId="88" fillId="5" borderId="2" xfId="3" applyNumberFormat="1" applyFont="1" applyFill="1" applyBorder="1" applyAlignment="1" applyProtection="1">
      <alignment horizontal="center" vertical="center" wrapText="1"/>
      <protection locked="0"/>
    </xf>
    <xf numFmtId="0" fontId="88" fillId="8" borderId="0" xfId="3" applyFont="1" applyFill="1" applyAlignment="1" applyProtection="1">
      <alignment horizontal="center" vertical="center" wrapText="1"/>
    </xf>
    <xf numFmtId="0" fontId="88" fillId="0" borderId="0" xfId="3" applyFont="1" applyAlignment="1" applyProtection="1">
      <alignment horizontal="center" vertical="center" wrapText="1"/>
    </xf>
    <xf numFmtId="184" fontId="154" fillId="5" borderId="2" xfId="3" applyNumberFormat="1" applyFont="1" applyFill="1" applyBorder="1" applyAlignment="1" applyProtection="1">
      <alignment horizontal="center" vertical="center"/>
    </xf>
    <xf numFmtId="177" fontId="160" fillId="5" borderId="2" xfId="3" applyNumberFormat="1" applyFont="1" applyFill="1" applyBorder="1" applyAlignment="1" applyProtection="1">
      <alignment horizontal="center" vertical="center"/>
    </xf>
    <xf numFmtId="185" fontId="160" fillId="5" borderId="2" xfId="3" applyNumberFormat="1" applyFont="1" applyFill="1" applyBorder="1" applyAlignment="1" applyProtection="1">
      <alignment horizontal="center" vertical="center" wrapText="1"/>
    </xf>
    <xf numFmtId="0" fontId="154" fillId="5" borderId="2" xfId="3"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142" fillId="5" borderId="2" xfId="3" applyFont="1" applyFill="1" applyBorder="1" applyAlignment="1" applyProtection="1">
      <alignment horizontal="center" vertical="center" wrapText="1"/>
    </xf>
    <xf numFmtId="0" fontId="108" fillId="5" borderId="2" xfId="3" applyFont="1" applyFill="1" applyBorder="1" applyAlignment="1" applyProtection="1">
      <alignment horizontal="center" vertical="center" wrapText="1"/>
    </xf>
    <xf numFmtId="177" fontId="129" fillId="5" borderId="91" xfId="4" applyNumberFormat="1" applyFont="1" applyFill="1" applyBorder="1" applyAlignment="1">
      <alignment horizontal="center"/>
    </xf>
    <xf numFmtId="0" fontId="0" fillId="0" borderId="0" xfId="0" applyAlignment="1"/>
    <xf numFmtId="0" fontId="148" fillId="5" borderId="0" xfId="0" applyFont="1" applyFill="1" applyAlignment="1"/>
    <xf numFmtId="0" fontId="129" fillId="5" borderId="0" xfId="4" applyFont="1" applyFill="1"/>
    <xf numFmtId="0" fontId="129" fillId="5" borderId="1" xfId="4" applyFont="1" applyFill="1" applyBorder="1"/>
    <xf numFmtId="0" fontId="203" fillId="5" borderId="6" xfId="4" applyFont="1" applyFill="1" applyBorder="1" applyAlignment="1">
      <alignment horizontal="center" vertical="center" wrapText="1"/>
    </xf>
    <xf numFmtId="0" fontId="129" fillId="5" borderId="7" xfId="4" applyFont="1" applyFill="1" applyBorder="1" applyAlignment="1">
      <alignment horizontal="center"/>
    </xf>
    <xf numFmtId="0" fontId="203" fillId="5" borderId="1" xfId="4" applyFont="1" applyFill="1" applyBorder="1" applyAlignment="1">
      <alignment horizontal="center" vertical="center" wrapText="1"/>
    </xf>
    <xf numFmtId="0" fontId="129" fillId="5" borderId="6" xfId="4" applyNumberFormat="1" applyFont="1" applyFill="1" applyBorder="1" applyAlignment="1">
      <alignment horizontal="center"/>
    </xf>
    <xf numFmtId="0" fontId="129" fillId="0" borderId="0" xfId="4" applyFont="1"/>
    <xf numFmtId="0" fontId="129" fillId="5" borderId="11" xfId="4" applyFont="1" applyFill="1" applyBorder="1"/>
    <xf numFmtId="0" fontId="203" fillId="5" borderId="2" xfId="4" applyFont="1" applyFill="1" applyBorder="1" applyAlignment="1">
      <alignment horizontal="center" vertical="center" wrapText="1"/>
    </xf>
    <xf numFmtId="0" fontId="129" fillId="5" borderId="12" xfId="4" applyFont="1" applyFill="1" applyBorder="1" applyAlignment="1">
      <alignment horizontal="center"/>
    </xf>
    <xf numFmtId="0" fontId="203" fillId="5" borderId="11" xfId="4" applyFont="1" applyFill="1" applyBorder="1" applyAlignment="1">
      <alignment horizontal="center" vertical="center" wrapText="1"/>
    </xf>
    <xf numFmtId="0" fontId="129" fillId="5" borderId="2" xfId="4" applyNumberFormat="1" applyFont="1" applyFill="1" applyBorder="1" applyAlignment="1">
      <alignment horizontal="center"/>
    </xf>
    <xf numFmtId="0" fontId="129" fillId="5" borderId="43" xfId="4" applyFont="1" applyFill="1" applyBorder="1"/>
    <xf numFmtId="0" fontId="203" fillId="5" borderId="44" xfId="4" applyFont="1" applyFill="1" applyBorder="1" applyAlignment="1">
      <alignment horizontal="center" vertical="center" wrapText="1"/>
    </xf>
    <xf numFmtId="0" fontId="129" fillId="5" borderId="46" xfId="4" applyFont="1" applyFill="1" applyBorder="1" applyAlignment="1">
      <alignment horizontal="center"/>
    </xf>
    <xf numFmtId="0" fontId="203" fillId="5" borderId="43" xfId="4" applyFont="1" applyFill="1" applyBorder="1" applyAlignment="1">
      <alignment horizontal="center" vertical="center" wrapText="1"/>
    </xf>
    <xf numFmtId="0" fontId="129" fillId="5" borderId="44" xfId="4" applyNumberFormat="1" applyFont="1" applyFill="1" applyBorder="1" applyAlignment="1">
      <alignment horizontal="center"/>
    </xf>
    <xf numFmtId="0" fontId="129" fillId="5" borderId="0" xfId="4" applyNumberFormat="1" applyFont="1" applyFill="1" applyAlignment="1">
      <alignment horizontal="center"/>
    </xf>
    <xf numFmtId="0" fontId="129" fillId="5" borderId="0" xfId="4" applyFont="1" applyFill="1" applyAlignment="1">
      <alignment horizontal="right"/>
    </xf>
    <xf numFmtId="14" fontId="129"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3" fillId="5" borderId="0" xfId="4" applyFont="1" applyFill="1" applyAlignment="1"/>
    <xf numFmtId="0" fontId="237" fillId="5" borderId="10" xfId="4" applyFont="1" applyFill="1" applyBorder="1" applyAlignment="1">
      <alignment horizontal="center" vertical="center"/>
    </xf>
    <xf numFmtId="0" fontId="237" fillId="5" borderId="10" xfId="4" applyFont="1" applyFill="1" applyBorder="1" applyAlignment="1">
      <alignment vertical="center"/>
    </xf>
    <xf numFmtId="0" fontId="237" fillId="5" borderId="5" xfId="4" applyFont="1" applyFill="1" applyBorder="1" applyAlignment="1">
      <alignment vertical="center"/>
    </xf>
    <xf numFmtId="0" fontId="237" fillId="5" borderId="9" xfId="4" applyFont="1" applyFill="1" applyBorder="1" applyAlignment="1">
      <alignment vertical="center"/>
    </xf>
    <xf numFmtId="0" fontId="237" fillId="5" borderId="8" xfId="4" applyFont="1" applyFill="1" applyBorder="1" applyAlignment="1">
      <alignment vertical="center"/>
    </xf>
    <xf numFmtId="0" fontId="203" fillId="0" borderId="0" xfId="4" applyFont="1" applyAlignment="1"/>
    <xf numFmtId="0" fontId="203" fillId="5" borderId="0" xfId="4" applyFont="1" applyFill="1"/>
    <xf numFmtId="0" fontId="237" fillId="5" borderId="21" xfId="4" applyFont="1" applyFill="1" applyBorder="1" applyAlignment="1">
      <alignment horizontal="center" vertical="center" wrapText="1"/>
    </xf>
    <xf numFmtId="0" fontId="237" fillId="5" borderId="21" xfId="4" applyFont="1" applyFill="1" applyBorder="1" applyAlignment="1">
      <alignment vertical="center" wrapText="1"/>
    </xf>
    <xf numFmtId="0" fontId="129" fillId="5" borderId="2" xfId="4" applyFont="1" applyFill="1" applyBorder="1"/>
    <xf numFmtId="0" fontId="237" fillId="5" borderId="2" xfId="4" applyFont="1" applyFill="1" applyBorder="1" applyAlignment="1">
      <alignment horizontal="center" vertical="center" wrapText="1"/>
    </xf>
    <xf numFmtId="0" fontId="203" fillId="0" borderId="0" xfId="4" applyFont="1"/>
    <xf numFmtId="0" fontId="222" fillId="5" borderId="0" xfId="4" applyFont="1" applyFill="1" applyAlignment="1">
      <alignment vertical="center"/>
    </xf>
    <xf numFmtId="0" fontId="222" fillId="5" borderId="2" xfId="4" applyFont="1" applyFill="1" applyBorder="1" applyAlignment="1">
      <alignment horizontal="left" vertical="center" wrapText="1"/>
    </xf>
    <xf numFmtId="193" fontId="222" fillId="5" borderId="2" xfId="4" applyNumberFormat="1" applyFont="1" applyFill="1" applyBorder="1" applyAlignment="1">
      <alignment horizontal="center" vertical="center" wrapText="1"/>
    </xf>
    <xf numFmtId="0" fontId="222" fillId="5" borderId="2" xfId="4" applyFont="1" applyFill="1" applyBorder="1" applyAlignment="1">
      <alignment horizontal="center" vertical="center" wrapText="1"/>
    </xf>
    <xf numFmtId="14" fontId="222" fillId="5" borderId="2" xfId="4" applyNumberFormat="1" applyFont="1" applyFill="1" applyBorder="1" applyAlignment="1">
      <alignment horizontal="center" vertical="center" wrapText="1"/>
    </xf>
    <xf numFmtId="0" fontId="222" fillId="6" borderId="0" xfId="4" applyFont="1" applyFill="1" applyAlignment="1">
      <alignment vertical="center"/>
    </xf>
    <xf numFmtId="0" fontId="260" fillId="0" borderId="0" xfId="0" applyFont="1" applyAlignment="1"/>
    <xf numFmtId="0" fontId="129" fillId="5" borderId="2" xfId="4" applyFont="1" applyFill="1" applyBorder="1" applyAlignment="1">
      <alignment horizontal="center" wrapText="1"/>
    </xf>
    <xf numFmtId="14" fontId="129"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3" fillId="5" borderId="2" xfId="4" applyNumberFormat="1" applyFont="1" applyFill="1" applyBorder="1" applyAlignment="1">
      <alignment horizontal="center" wrapText="1"/>
    </xf>
    <xf numFmtId="0" fontId="129" fillId="5" borderId="0" xfId="4" applyFont="1" applyFill="1" applyBorder="1" applyAlignment="1">
      <alignment horizontal="center" wrapText="1"/>
    </xf>
    <xf numFmtId="14" fontId="129"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9" fillId="5" borderId="0" xfId="4" applyFont="1" applyFill="1" applyBorder="1"/>
    <xf numFmtId="0" fontId="0" fillId="5" borderId="0" xfId="0" applyFill="1" applyBorder="1" applyAlignment="1"/>
    <xf numFmtId="0" fontId="228" fillId="5" borderId="2" xfId="4" applyFont="1" applyFill="1" applyBorder="1" applyAlignment="1">
      <alignment horizontal="center"/>
    </xf>
    <xf numFmtId="0" fontId="228" fillId="5" borderId="21" xfId="4" applyFont="1" applyFill="1" applyBorder="1" applyAlignment="1">
      <alignment horizontal="center"/>
    </xf>
    <xf numFmtId="0" fontId="206" fillId="5" borderId="2" xfId="0" applyFont="1" applyFill="1" applyBorder="1" applyAlignment="1">
      <alignment horizontal="center"/>
    </xf>
    <xf numFmtId="10" fontId="231" fillId="5" borderId="2" xfId="4" applyNumberFormat="1" applyFont="1" applyFill="1" applyBorder="1" applyAlignment="1">
      <alignment horizontal="center"/>
    </xf>
    <xf numFmtId="14" fontId="231" fillId="5" borderId="2" xfId="4" applyNumberFormat="1" applyFont="1" applyFill="1" applyBorder="1" applyAlignment="1" applyProtection="1">
      <alignment horizontal="center"/>
    </xf>
    <xf numFmtId="0" fontId="231" fillId="5" borderId="21" xfId="4" applyFont="1" applyFill="1" applyBorder="1" applyAlignment="1" applyProtection="1">
      <alignment horizontal="center"/>
    </xf>
    <xf numFmtId="190" fontId="216" fillId="0" borderId="2" xfId="7" applyNumberFormat="1" applyFont="1" applyFill="1" applyBorder="1" applyAlignment="1">
      <alignment horizontal="right" vertical="center"/>
    </xf>
    <xf numFmtId="183" fontId="216" fillId="0" borderId="2" xfId="7" applyNumberFormat="1" applyFont="1" applyFill="1" applyBorder="1" applyAlignment="1">
      <alignment horizontal="center" vertical="center"/>
    </xf>
    <xf numFmtId="190" fontId="216" fillId="0" borderId="10" xfId="7" applyNumberFormat="1" applyFont="1" applyFill="1" applyBorder="1" applyAlignment="1">
      <alignment horizontal="center" vertical="center"/>
    </xf>
    <xf numFmtId="10" fontId="154" fillId="6" borderId="0" xfId="10" applyNumberFormat="1" applyFont="1" applyFill="1" applyAlignment="1">
      <alignment horizontal="center" vertical="center"/>
    </xf>
    <xf numFmtId="0" fontId="47" fillId="5" borderId="21"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0" fontId="19" fillId="6" borderId="21" xfId="0" applyFont="1" applyFill="1" applyBorder="1" applyAlignment="1" applyProtection="1">
      <alignment horizontal="center" vertical="center" wrapText="1"/>
      <protection locked="0"/>
    </xf>
    <xf numFmtId="176"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6" fontId="13" fillId="0" borderId="2" xfId="0" applyNumberFormat="1" applyFont="1" applyBorder="1" applyAlignment="1" applyProtection="1">
      <alignment horizontal="center" vertical="center" wrapText="1"/>
      <protection locked="0"/>
    </xf>
    <xf numFmtId="176"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7" fontId="13" fillId="0" borderId="2" xfId="2" applyNumberFormat="1" applyFont="1" applyFill="1" applyBorder="1" applyAlignment="1" applyProtection="1">
      <alignment vertical="center"/>
      <protection locked="0" hidden="1"/>
    </xf>
    <xf numFmtId="181" fontId="154" fillId="0" borderId="2" xfId="0" applyNumberFormat="1" applyFont="1" applyFill="1" applyBorder="1" applyAlignment="1" applyProtection="1">
      <alignment horizontal="center" vertical="center"/>
      <protection locked="0"/>
    </xf>
    <xf numFmtId="177" fontId="78" fillId="0" borderId="2" xfId="2" applyNumberFormat="1" applyFont="1" applyFill="1" applyBorder="1" applyAlignment="1" applyProtection="1">
      <alignment horizontal="center" vertical="center"/>
      <protection locked="0"/>
    </xf>
    <xf numFmtId="10" fontId="78" fillId="0" borderId="2" xfId="2" applyNumberFormat="1" applyFont="1" applyFill="1" applyBorder="1" applyAlignment="1" applyProtection="1">
      <alignment horizontal="center" vertical="center"/>
      <protection locked="0"/>
    </xf>
    <xf numFmtId="9" fontId="78" fillId="0" borderId="5" xfId="0" applyNumberFormat="1" applyFont="1" applyFill="1" applyBorder="1" applyAlignment="1" applyProtection="1">
      <alignment horizontal="center" vertical="center"/>
      <protection locked="0"/>
    </xf>
    <xf numFmtId="184" fontId="154" fillId="0" borderId="10" xfId="0" applyNumberFormat="1" applyFont="1" applyFill="1" applyBorder="1" applyAlignment="1" applyProtection="1">
      <alignment horizontal="center" vertical="center"/>
      <protection locked="0"/>
    </xf>
    <xf numFmtId="0" fontId="77" fillId="5" borderId="2" xfId="0" applyNumberFormat="1" applyFont="1" applyFill="1" applyBorder="1" applyAlignment="1" applyProtection="1">
      <alignment horizontal="right"/>
    </xf>
    <xf numFmtId="0" fontId="77" fillId="5" borderId="2" xfId="2" applyNumberFormat="1" applyFont="1" applyFill="1" applyBorder="1" applyAlignment="1" applyProtection="1">
      <alignment horizontal="right"/>
    </xf>
    <xf numFmtId="0" fontId="50" fillId="5" borderId="2" xfId="2" applyFont="1" applyFill="1" applyBorder="1" applyAlignment="1" applyProtection="1">
      <alignment vertical="center" wrapText="1"/>
    </xf>
    <xf numFmtId="0" fontId="42" fillId="5" borderId="44" xfId="0" applyFont="1" applyFill="1" applyBorder="1" applyAlignment="1" applyProtection="1">
      <alignment vertical="center"/>
    </xf>
    <xf numFmtId="49" fontId="135"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87" fillId="5" borderId="10" xfId="0" applyNumberFormat="1" applyFont="1" applyFill="1" applyBorder="1" applyAlignment="1" applyProtection="1">
      <alignment horizontal="center" vertical="center"/>
    </xf>
    <xf numFmtId="181" fontId="73"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8"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108"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7" fillId="5" borderId="2" xfId="14" applyFont="1" applyFill="1" applyBorder="1" applyAlignment="1">
      <alignment vertical="center"/>
    </xf>
    <xf numFmtId="0" fontId="263" fillId="0" borderId="2" xfId="14" applyBorder="1" applyAlignment="1" applyProtection="1">
      <alignment vertical="center"/>
      <protection locked="0"/>
    </xf>
    <xf numFmtId="0" fontId="154" fillId="5" borderId="2" xfId="0"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1" fontId="78" fillId="5" borderId="0" xfId="0" applyNumberFormat="1" applyFont="1" applyFill="1" applyProtection="1">
      <alignment vertical="center"/>
    </xf>
    <xf numFmtId="0" fontId="13" fillId="5" borderId="0" xfId="0" applyFont="1" applyFill="1" applyProtection="1">
      <alignment vertical="center"/>
      <protection locked="0"/>
    </xf>
    <xf numFmtId="0" fontId="167" fillId="5" borderId="5"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168" fillId="5" borderId="5"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xf>
    <xf numFmtId="0" fontId="168" fillId="5" borderId="9" xfId="0" applyFont="1" applyFill="1" applyBorder="1" applyAlignment="1" applyProtection="1">
      <alignment horizontal="center" vertical="center" wrapText="1"/>
    </xf>
    <xf numFmtId="0" fontId="164" fillId="5" borderId="2" xfId="0" applyFont="1" applyFill="1" applyBorder="1" applyAlignment="1">
      <alignment horizontal="center" vertical="center" wrapText="1"/>
    </xf>
    <xf numFmtId="181" fontId="78" fillId="5" borderId="0" xfId="0" applyNumberFormat="1" applyFont="1" applyFill="1" applyAlignment="1" applyProtection="1">
      <alignment horizontal="left" vertical="center"/>
    </xf>
    <xf numFmtId="0" fontId="80" fillId="5" borderId="150" xfId="0" applyFont="1" applyFill="1" applyBorder="1" applyAlignment="1" applyProtection="1">
      <alignment vertical="center" wrapText="1"/>
    </xf>
    <xf numFmtId="0" fontId="80" fillId="5" borderId="150" xfId="0" applyFont="1" applyFill="1" applyBorder="1" applyAlignment="1" applyProtection="1">
      <alignment horizontal="center" vertical="center" wrapText="1"/>
    </xf>
    <xf numFmtId="49" fontId="80" fillId="5" borderId="151" xfId="0" applyNumberFormat="1" applyFont="1" applyFill="1" applyBorder="1" applyAlignment="1" applyProtection="1">
      <alignment horizontal="center" vertical="center" wrapText="1"/>
    </xf>
    <xf numFmtId="49" fontId="80" fillId="5" borderId="150" xfId="0" applyNumberFormat="1" applyFont="1" applyFill="1" applyBorder="1" applyAlignment="1" applyProtection="1">
      <alignment horizontal="center" vertical="center" wrapText="1"/>
    </xf>
    <xf numFmtId="0" fontId="80" fillId="0" borderId="150" xfId="0" applyFont="1" applyBorder="1" applyAlignment="1" applyProtection="1">
      <alignment vertical="center" wrapText="1"/>
    </xf>
    <xf numFmtId="0" fontId="184" fillId="5" borderId="150" xfId="0" applyFont="1" applyFill="1" applyBorder="1" applyAlignment="1" applyProtection="1">
      <alignment vertical="center"/>
    </xf>
    <xf numFmtId="0" fontId="161" fillId="5" borderId="0" xfId="0" applyFont="1" applyFill="1" applyAlignment="1" applyProtection="1">
      <alignment horizontal="left" vertical="center"/>
      <protection locked="0"/>
    </xf>
    <xf numFmtId="0" fontId="73" fillId="5" borderId="0" xfId="0" applyFont="1" applyFill="1" applyAlignment="1" applyProtection="1">
      <alignment horizontal="left" vertical="center"/>
      <protection locked="0"/>
    </xf>
    <xf numFmtId="0" fontId="19" fillId="5" borderId="0" xfId="0" applyFont="1" applyFill="1" applyAlignment="1" applyProtection="1">
      <alignment horizontal="center" vertical="center"/>
      <protection locked="0"/>
    </xf>
    <xf numFmtId="0" fontId="267" fillId="5" borderId="0" xfId="0" applyFont="1" applyFill="1" applyAlignment="1" applyProtection="1">
      <alignment vertical="center"/>
      <protection locked="0"/>
    </xf>
    <xf numFmtId="179" fontId="19" fillId="5" borderId="0" xfId="0" applyNumberFormat="1" applyFont="1" applyFill="1" applyAlignment="1" applyProtection="1">
      <alignment vertical="center"/>
      <protection locked="0"/>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49" fontId="269" fillId="0" borderId="7" xfId="0" applyNumberFormat="1" applyFont="1" applyFill="1" applyBorder="1" applyAlignment="1" applyProtection="1">
      <alignment horizontal="center" vertical="center" wrapText="1"/>
      <protection locked="0"/>
    </xf>
    <xf numFmtId="49" fontId="269" fillId="0" borderId="12" xfId="0" applyNumberFormat="1" applyFont="1" applyFill="1" applyBorder="1" applyAlignment="1" applyProtection="1">
      <alignment horizontal="center" vertical="center" wrapText="1"/>
      <protection locked="0"/>
    </xf>
    <xf numFmtId="0" fontId="269" fillId="0" borderId="12" xfId="0" applyFont="1" applyBorder="1" applyAlignment="1" applyProtection="1">
      <alignment horizontal="center" vertical="center" wrapText="1"/>
      <protection locked="0"/>
    </xf>
    <xf numFmtId="0" fontId="269" fillId="0" borderId="46" xfId="0" applyFont="1" applyBorder="1" applyAlignment="1" applyProtection="1">
      <alignment horizontal="center" vertical="center"/>
      <protection locked="0"/>
    </xf>
    <xf numFmtId="0" fontId="73" fillId="6" borderId="12" xfId="0" applyNumberFormat="1" applyFont="1" applyFill="1" applyBorder="1" applyAlignment="1" applyProtection="1">
      <alignment horizontal="center" vertical="center" wrapText="1"/>
      <protection locked="0"/>
    </xf>
    <xf numFmtId="0" fontId="87" fillId="6" borderId="5" xfId="0" applyFont="1" applyFill="1" applyBorder="1" applyAlignment="1" applyProtection="1">
      <alignment vertical="center"/>
      <protection locked="0"/>
    </xf>
    <xf numFmtId="0" fontId="270" fillId="0" borderId="105" xfId="0" applyNumberFormat="1" applyFont="1" applyFill="1" applyBorder="1" applyAlignment="1" applyProtection="1">
      <alignment horizontal="center" vertical="center" wrapText="1"/>
      <protection locked="0"/>
    </xf>
    <xf numFmtId="0" fontId="270" fillId="5" borderId="31" xfId="0" applyNumberFormat="1" applyFont="1" applyFill="1" applyBorder="1" applyAlignment="1" applyProtection="1">
      <alignment horizontal="center" vertical="center" wrapText="1"/>
    </xf>
    <xf numFmtId="0" fontId="270" fillId="0" borderId="31" xfId="0" applyNumberFormat="1" applyFont="1" applyFill="1" applyBorder="1" applyAlignment="1" applyProtection="1">
      <alignment horizontal="center" vertical="center" wrapText="1"/>
      <protection locked="0"/>
    </xf>
    <xf numFmtId="0" fontId="151" fillId="5" borderId="6" xfId="0" applyNumberFormat="1" applyFont="1" applyFill="1" applyBorder="1" applyAlignment="1" applyProtection="1">
      <alignment horizontal="center" vertical="center" wrapText="1"/>
    </xf>
    <xf numFmtId="0" fontId="151" fillId="5" borderId="6" xfId="0" applyNumberFormat="1" applyFont="1" applyFill="1" applyBorder="1" applyAlignment="1" applyProtection="1">
      <alignment horizontal="left" vertical="center" wrapText="1"/>
    </xf>
    <xf numFmtId="0" fontId="151" fillId="5" borderId="7" xfId="0" applyNumberFormat="1" applyFont="1" applyFill="1" applyBorder="1" applyAlignment="1" applyProtection="1">
      <alignment horizontal="center" vertical="center" wrapText="1"/>
    </xf>
    <xf numFmtId="10" fontId="88" fillId="5" borderId="55" xfId="3" applyNumberFormat="1" applyFont="1" applyFill="1" applyBorder="1" applyAlignment="1" applyProtection="1">
      <alignment horizontal="center" vertical="center" wrapText="1"/>
    </xf>
    <xf numFmtId="0" fontId="274" fillId="0" borderId="10" xfId="0" applyNumberFormat="1" applyFont="1" applyFill="1" applyBorder="1" applyAlignment="1" applyProtection="1">
      <alignment horizontal="center" vertical="center" wrapText="1"/>
      <protection locked="0"/>
    </xf>
    <xf numFmtId="0" fontId="274" fillId="0" borderId="2" xfId="0" applyNumberFormat="1" applyFont="1" applyFill="1" applyBorder="1" applyAlignment="1" applyProtection="1">
      <alignment horizontal="center" vertical="center" wrapText="1"/>
      <protection locked="0"/>
    </xf>
    <xf numFmtId="177" fontId="160" fillId="0" borderId="2" xfId="3" applyNumberFormat="1" applyFont="1" applyFill="1" applyBorder="1" applyAlignment="1" applyProtection="1">
      <alignment horizontal="center" vertical="center"/>
      <protection locked="0"/>
    </xf>
    <xf numFmtId="181" fontId="151" fillId="5" borderId="0" xfId="0" applyNumberFormat="1" applyFont="1" applyFill="1" applyAlignment="1" applyProtection="1">
      <alignment horizontal="center" vertical="center"/>
      <protection locked="0"/>
    </xf>
    <xf numFmtId="0" fontId="160" fillId="5" borderId="12" xfId="0" applyFont="1" applyFill="1" applyBorder="1" applyAlignment="1" applyProtection="1">
      <alignment horizontal="left" vertical="center"/>
    </xf>
    <xf numFmtId="181" fontId="108" fillId="5" borderId="6" xfId="0" applyNumberFormat="1" applyFont="1" applyFill="1" applyBorder="1" applyAlignment="1" applyProtection="1">
      <alignment horizontal="center" vertical="center"/>
    </xf>
    <xf numFmtId="181" fontId="108" fillId="5" borderId="5" xfId="0" applyNumberFormat="1" applyFont="1" applyFill="1" applyBorder="1" applyAlignment="1" applyProtection="1">
      <alignment horizontal="center" vertical="center"/>
    </xf>
    <xf numFmtId="49" fontId="275" fillId="5" borderId="59" xfId="0" applyNumberFormat="1" applyFont="1" applyFill="1" applyBorder="1" applyAlignment="1" applyProtection="1"/>
    <xf numFmtId="0" fontId="151" fillId="2" borderId="2" xfId="0" applyFont="1" applyFill="1" applyBorder="1" applyAlignment="1" applyProtection="1">
      <alignment horizontal="center" vertical="center"/>
      <protection locked="0"/>
    </xf>
    <xf numFmtId="0" fontId="0" fillId="0" borderId="0" xfId="0" applyProtection="1">
      <alignment vertical="center"/>
    </xf>
    <xf numFmtId="0" fontId="276" fillId="5" borderId="2" xfId="0" applyFont="1" applyFill="1" applyBorder="1" applyProtection="1">
      <alignment vertical="center"/>
    </xf>
    <xf numFmtId="0" fontId="0" fillId="5" borderId="2" xfId="0" applyFill="1" applyBorder="1" applyProtection="1">
      <alignment vertical="center"/>
    </xf>
    <xf numFmtId="0" fontId="276" fillId="5" borderId="0" xfId="0" applyFont="1" applyFill="1" applyProtection="1">
      <alignment vertical="center"/>
    </xf>
    <xf numFmtId="0" fontId="276" fillId="5" borderId="2" xfId="0" applyFont="1" applyFill="1" applyBorder="1" applyAlignment="1" applyProtection="1">
      <alignment vertical="center" wrapText="1"/>
    </xf>
    <xf numFmtId="0" fontId="147" fillId="5" borderId="2" xfId="0" applyFont="1" applyFill="1" applyBorder="1" applyProtection="1">
      <alignment vertical="center"/>
    </xf>
    <xf numFmtId="0" fontId="0" fillId="5" borderId="2" xfId="0" applyFill="1" applyBorder="1" applyAlignment="1" applyProtection="1">
      <alignment horizontal="center" vertical="center"/>
    </xf>
    <xf numFmtId="0" fontId="169" fillId="0" borderId="2" xfId="0" applyFont="1" applyBorder="1" applyAlignment="1" applyProtection="1">
      <alignment horizontal="center" vertical="center"/>
      <protection locked="0"/>
    </xf>
    <xf numFmtId="49" fontId="88" fillId="14" borderId="2" xfId="10" applyNumberFormat="1" applyFont="1" applyFill="1" applyBorder="1" applyAlignment="1" applyProtection="1">
      <alignment horizontal="center" vertical="center" wrapText="1"/>
    </xf>
    <xf numFmtId="0" fontId="243" fillId="14" borderId="124" xfId="10" applyFont="1" applyFill="1" applyBorder="1" applyAlignment="1" applyProtection="1">
      <alignment horizontal="center" vertical="center" wrapText="1"/>
    </xf>
    <xf numFmtId="0" fontId="159" fillId="14" borderId="0" xfId="10" applyFont="1" applyFill="1">
      <alignment vertical="center"/>
    </xf>
    <xf numFmtId="0" fontId="159" fillId="14" borderId="0" xfId="10" applyFont="1" applyFill="1" applyAlignment="1">
      <alignment horizontal="center" vertical="center"/>
    </xf>
    <xf numFmtId="0" fontId="159" fillId="14" borderId="122" xfId="10" applyFont="1" applyFill="1" applyBorder="1" applyAlignment="1">
      <alignment horizontal="center" vertical="center"/>
    </xf>
    <xf numFmtId="0" fontId="154" fillId="14" borderId="0" xfId="10" applyFont="1" applyFill="1" applyAlignment="1">
      <alignment horizontal="center" vertical="center"/>
    </xf>
    <xf numFmtId="10" fontId="154" fillId="14" borderId="0" xfId="10" applyNumberFormat="1" applyFont="1" applyFill="1" applyAlignment="1">
      <alignment horizontal="center" vertical="center"/>
    </xf>
    <xf numFmtId="0" fontId="277" fillId="5" borderId="14" xfId="3" applyFont="1" applyFill="1" applyBorder="1" applyAlignment="1" applyProtection="1">
      <alignment horizontal="center" vertical="center"/>
    </xf>
    <xf numFmtId="0" fontId="108" fillId="5" borderId="0" xfId="0" applyFont="1" applyFill="1" applyAlignment="1" applyProtection="1">
      <alignment horizontal="center" vertical="center"/>
      <protection locked="0"/>
    </xf>
    <xf numFmtId="0" fontId="54" fillId="5" borderId="10" xfId="0" applyFont="1" applyFill="1" applyBorder="1" applyAlignment="1" applyProtection="1"/>
    <xf numFmtId="10" fontId="87" fillId="5" borderId="25" xfId="0" applyNumberFormat="1" applyFont="1" applyFill="1" applyBorder="1" applyAlignment="1" applyProtection="1">
      <alignment horizontal="center"/>
    </xf>
    <xf numFmtId="0" fontId="51" fillId="5" borderId="44" xfId="0" applyFont="1" applyFill="1" applyBorder="1" applyAlignment="1" applyProtection="1">
      <alignment horizontal="left" vertical="center"/>
    </xf>
    <xf numFmtId="0" fontId="100" fillId="6" borderId="0" xfId="0" applyFont="1" applyFill="1" applyAlignment="1" applyProtection="1">
      <alignment vertical="center"/>
      <protection locked="0"/>
    </xf>
    <xf numFmtId="0" fontId="134" fillId="5" borderId="11" xfId="0" applyFont="1" applyFill="1" applyBorder="1" applyAlignment="1" applyProtection="1">
      <alignment vertical="center"/>
    </xf>
    <xf numFmtId="0" fontId="159" fillId="0" borderId="0" xfId="10" applyFont="1" applyFill="1" applyBorder="1" applyAlignment="1" applyProtection="1">
      <alignment horizontal="center" vertical="center"/>
      <protection locked="0"/>
    </xf>
    <xf numFmtId="0" fontId="245" fillId="14" borderId="0" xfId="1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xf>
    <xf numFmtId="0" fontId="160" fillId="5" borderId="0" xfId="0" applyFont="1" applyFill="1" applyProtection="1">
      <alignment vertical="center"/>
    </xf>
    <xf numFmtId="0" fontId="243" fillId="12" borderId="123" xfId="10" applyFont="1" applyFill="1" applyBorder="1" applyAlignment="1" applyProtection="1">
      <alignment horizontal="center" vertical="center" wrapText="1"/>
    </xf>
    <xf numFmtId="0" fontId="243" fillId="12" borderId="123" xfId="10" applyFont="1" applyFill="1" applyBorder="1" applyAlignment="1" applyProtection="1">
      <alignment vertical="center" wrapText="1"/>
    </xf>
    <xf numFmtId="0" fontId="243" fillId="12" borderId="152" xfId="10" applyFont="1" applyFill="1" applyBorder="1" applyAlignment="1" applyProtection="1">
      <alignment vertical="center" wrapText="1"/>
    </xf>
    <xf numFmtId="0" fontId="159" fillId="16" borderId="0" xfId="10" applyFont="1" applyFill="1">
      <alignment vertical="center"/>
    </xf>
    <xf numFmtId="0" fontId="151" fillId="16" borderId="0" xfId="1" applyFont="1" applyFill="1" applyAlignment="1" applyProtection="1">
      <alignment horizontal="center" vertical="center"/>
    </xf>
    <xf numFmtId="0" fontId="19" fillId="16" borderId="0" xfId="1" applyFont="1" applyFill="1" applyAlignment="1" applyProtection="1">
      <alignment horizontal="center" vertical="center"/>
    </xf>
    <xf numFmtId="0" fontId="159" fillId="16" borderId="122" xfId="10" applyFont="1" applyFill="1" applyBorder="1" applyAlignment="1">
      <alignment horizontal="center" vertical="center"/>
    </xf>
    <xf numFmtId="0" fontId="159" fillId="16" borderId="0" xfId="10" applyFont="1" applyFill="1" applyBorder="1" applyAlignment="1">
      <alignment horizontal="center" vertical="center"/>
    </xf>
    <xf numFmtId="0" fontId="159" fillId="16" borderId="0" xfId="10" applyFont="1" applyFill="1" applyAlignment="1">
      <alignment horizontal="center" vertical="center"/>
    </xf>
    <xf numFmtId="0" fontId="154" fillId="16" borderId="0" xfId="10" applyFont="1" applyFill="1" applyAlignment="1">
      <alignment horizontal="center" vertical="center"/>
    </xf>
    <xf numFmtId="10" fontId="154" fillId="16" borderId="0" xfId="10" applyNumberFormat="1" applyFont="1" applyFill="1" applyAlignment="1">
      <alignment horizontal="center" vertical="center"/>
    </xf>
    <xf numFmtId="0" fontId="237" fillId="16" borderId="0" xfId="13" applyFont="1" applyFill="1">
      <alignment vertical="center"/>
    </xf>
    <xf numFmtId="0" fontId="159" fillId="0" borderId="0" xfId="13" applyFont="1" applyFill="1">
      <alignment vertical="center"/>
    </xf>
    <xf numFmtId="0" fontId="160" fillId="6" borderId="0" xfId="13" applyFont="1" applyFill="1">
      <alignment vertical="center"/>
    </xf>
    <xf numFmtId="0" fontId="245" fillId="16" borderId="0" xfId="13" applyFont="1" applyFill="1" applyBorder="1" applyAlignment="1" applyProtection="1">
      <alignment horizontal="center" vertical="center"/>
      <protection locked="0"/>
    </xf>
    <xf numFmtId="0" fontId="231" fillId="16" borderId="0" xfId="13" applyFont="1" applyFill="1">
      <alignment vertical="center"/>
    </xf>
    <xf numFmtId="0" fontId="20" fillId="6" borderId="21" xfId="0" applyFont="1" applyFill="1" applyBorder="1" applyAlignment="1" applyProtection="1">
      <alignment horizontal="left" vertical="center" wrapText="1"/>
      <protection locked="0"/>
    </xf>
    <xf numFmtId="184" fontId="159" fillId="12" borderId="120" xfId="13" applyNumberFormat="1" applyFont="1" applyFill="1" applyBorder="1" applyAlignment="1">
      <alignment horizontal="center" vertical="center" wrapText="1"/>
    </xf>
    <xf numFmtId="184" fontId="159" fillId="12" borderId="127" xfId="13" applyNumberFormat="1" applyFont="1" applyFill="1" applyBorder="1" applyAlignment="1">
      <alignment horizontal="center" vertical="center" wrapText="1"/>
    </xf>
    <xf numFmtId="0" fontId="134" fillId="5" borderId="1" xfId="0" applyFont="1" applyFill="1" applyBorder="1" applyAlignment="1" applyProtection="1">
      <alignment vertical="center"/>
    </xf>
    <xf numFmtId="49" fontId="134" fillId="5" borderId="11" xfId="0" applyNumberFormat="1" applyFont="1" applyFill="1" applyBorder="1" applyAlignment="1" applyProtection="1">
      <alignment horizontal="left" vertical="center"/>
    </xf>
    <xf numFmtId="0" fontId="134" fillId="5" borderId="43" xfId="0" applyFont="1" applyFill="1" applyBorder="1" applyAlignment="1" applyProtection="1">
      <alignment vertical="center"/>
    </xf>
    <xf numFmtId="0" fontId="134" fillId="5" borderId="33" xfId="0" applyFont="1" applyFill="1" applyBorder="1" applyAlignment="1" applyProtection="1">
      <alignment vertical="center" wrapText="1"/>
    </xf>
    <xf numFmtId="0" fontId="178" fillId="5" borderId="12" xfId="0" applyFont="1" applyFill="1" applyBorder="1" applyAlignment="1" applyProtection="1">
      <alignment horizontal="center"/>
    </xf>
    <xf numFmtId="0" fontId="108" fillId="5" borderId="12" xfId="0" applyNumberFormat="1" applyFont="1" applyFill="1" applyBorder="1" applyAlignment="1" applyProtection="1">
      <alignment horizontal="center" vertical="center"/>
    </xf>
    <xf numFmtId="0" fontId="108" fillId="5" borderId="83" xfId="0" applyFont="1" applyFill="1" applyBorder="1" applyAlignment="1" applyProtection="1">
      <alignment horizontal="center" vertical="center"/>
    </xf>
    <xf numFmtId="0" fontId="134" fillId="5" borderId="1" xfId="0" applyFont="1" applyFill="1" applyBorder="1" applyAlignment="1" applyProtection="1">
      <alignment horizontal="left" vertical="center"/>
    </xf>
    <xf numFmtId="0" fontId="150" fillId="5" borderId="11" xfId="0" applyFont="1" applyFill="1" applyBorder="1" applyAlignment="1" applyProtection="1">
      <alignment horizontal="left"/>
    </xf>
    <xf numFmtId="0" fontId="161" fillId="5" borderId="11" xfId="0" applyFont="1" applyFill="1" applyBorder="1" applyAlignment="1" applyProtection="1">
      <alignment horizontal="left"/>
    </xf>
    <xf numFmtId="0" fontId="156" fillId="5" borderId="82" xfId="0" applyFont="1" applyFill="1" applyBorder="1" applyAlignment="1" applyProtection="1">
      <alignment horizontal="center" vertical="center"/>
    </xf>
    <xf numFmtId="0" fontId="108" fillId="5" borderId="7" xfId="0" applyFont="1" applyFill="1" applyBorder="1" applyAlignment="1" applyProtection="1">
      <alignment horizontal="center" vertical="center"/>
    </xf>
    <xf numFmtId="192" fontId="108" fillId="5" borderId="12" xfId="0" applyNumberFormat="1" applyFont="1" applyFill="1" applyBorder="1" applyAlignment="1" applyProtection="1">
      <alignment horizontal="center" vertical="center"/>
    </xf>
    <xf numFmtId="0" fontId="108" fillId="8" borderId="0" xfId="0" applyFont="1" applyFill="1" applyAlignment="1" applyProtection="1">
      <alignment vertical="center"/>
    </xf>
    <xf numFmtId="0" fontId="108" fillId="8" borderId="0" xfId="0" applyFont="1" applyFill="1" applyAlignment="1" applyProtection="1">
      <alignment horizontal="left" vertical="center"/>
    </xf>
    <xf numFmtId="0" fontId="221" fillId="5" borderId="59" xfId="0" applyFont="1" applyFill="1" applyBorder="1" applyAlignment="1" applyProtection="1">
      <alignment horizontal="left" vertical="center" wrapText="1"/>
    </xf>
    <xf numFmtId="0" fontId="221" fillId="5" borderId="26" xfId="0" applyFont="1" applyFill="1" applyBorder="1" applyAlignment="1" applyProtection="1">
      <alignment horizontal="center" vertical="center"/>
    </xf>
    <xf numFmtId="0" fontId="134" fillId="5" borderId="50" xfId="0" applyFont="1" applyFill="1" applyBorder="1" applyAlignment="1" applyProtection="1">
      <alignment vertical="center" wrapText="1"/>
    </xf>
    <xf numFmtId="0" fontId="134" fillId="5" borderId="11" xfId="0" applyFont="1" applyFill="1" applyBorder="1" applyAlignment="1" applyProtection="1">
      <alignment vertical="center" wrapText="1"/>
    </xf>
    <xf numFmtId="0" fontId="108" fillId="5" borderId="5" xfId="0" applyFont="1" applyFill="1" applyBorder="1" applyAlignment="1" applyProtection="1">
      <alignment horizontal="center" vertical="center"/>
    </xf>
    <xf numFmtId="49" fontId="221" fillId="5" borderId="43" xfId="0" applyNumberFormat="1" applyFont="1" applyFill="1" applyBorder="1" applyAlignment="1" applyProtection="1">
      <alignment horizontal="left" vertical="center"/>
    </xf>
    <xf numFmtId="0" fontId="108" fillId="5" borderId="46" xfId="0" applyFont="1" applyFill="1" applyBorder="1" applyAlignment="1" applyProtection="1">
      <alignment horizontal="center" vertical="center"/>
    </xf>
    <xf numFmtId="0" fontId="221" fillId="5" borderId="43" xfId="0" applyFont="1" applyFill="1" applyBorder="1" applyAlignment="1" applyProtection="1">
      <alignment horizontal="center" vertical="center"/>
    </xf>
    <xf numFmtId="0" fontId="134" fillId="5" borderId="2" xfId="0" applyFont="1" applyFill="1" applyBorder="1" applyAlignment="1" applyProtection="1"/>
    <xf numFmtId="0" fontId="134" fillId="5" borderId="2" xfId="0" applyFont="1" applyFill="1" applyBorder="1" applyAlignment="1" applyProtection="1">
      <alignment horizontal="center"/>
    </xf>
    <xf numFmtId="0" fontId="134" fillId="5" borderId="2" xfId="0" applyFont="1" applyFill="1" applyBorder="1" applyAlignment="1" applyProtection="1">
      <alignment horizontal="center" vertical="center"/>
    </xf>
    <xf numFmtId="9" fontId="108" fillId="5" borderId="2" xfId="0" applyNumberFormat="1" applyFont="1" applyFill="1" applyBorder="1" applyAlignment="1" applyProtection="1">
      <alignment horizontal="center" vertical="center"/>
    </xf>
    <xf numFmtId="0" fontId="108" fillId="6" borderId="0" xfId="0" applyFont="1" applyFill="1" applyAlignment="1" applyProtection="1">
      <alignment horizontal="center" vertical="center"/>
      <protection locked="0"/>
    </xf>
    <xf numFmtId="0" fontId="161" fillId="0" borderId="51" xfId="0" applyNumberFormat="1" applyFont="1" applyFill="1" applyBorder="1" applyAlignment="1" applyProtection="1">
      <alignment horizontal="center" vertical="center" wrapText="1"/>
      <protection locked="0"/>
    </xf>
    <xf numFmtId="0" fontId="161" fillId="0" borderId="12" xfId="0" applyFont="1" applyBorder="1" applyAlignment="1" applyProtection="1">
      <alignment horizontal="center" vertical="center" wrapText="1"/>
      <protection locked="0"/>
    </xf>
    <xf numFmtId="0" fontId="161" fillId="0" borderId="46"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46" xfId="0" applyNumberFormat="1" applyFont="1" applyFill="1" applyBorder="1" applyAlignment="1" applyProtection="1">
      <alignment horizontal="center" vertical="center" wrapText="1"/>
      <protection locked="0"/>
    </xf>
    <xf numFmtId="0" fontId="0" fillId="0" borderId="2" xfId="0" applyBorder="1" applyAlignment="1">
      <alignment horizontal="center" vertical="center"/>
    </xf>
    <xf numFmtId="0" fontId="0" fillId="0" borderId="0" xfId="0" applyAlignment="1">
      <alignment horizontal="center" vertical="center"/>
    </xf>
    <xf numFmtId="0" fontId="0" fillId="17" borderId="2" xfId="0" applyFill="1" applyBorder="1" applyAlignment="1"/>
    <xf numFmtId="0" fontId="0" fillId="17" borderId="0" xfId="0" applyFill="1" applyAlignment="1"/>
    <xf numFmtId="0" fontId="88" fillId="0" borderId="2" xfId="0" applyFont="1" applyBorder="1" applyAlignment="1"/>
    <xf numFmtId="0" fontId="0" fillId="0" borderId="2" xfId="0" applyBorder="1" applyAlignment="1"/>
    <xf numFmtId="0" fontId="88" fillId="8" borderId="2" xfId="0" applyFont="1" applyFill="1" applyBorder="1" applyAlignment="1"/>
    <xf numFmtId="0" fontId="0" fillId="8" borderId="2" xfId="0" applyFill="1" applyBorder="1" applyAlignment="1"/>
    <xf numFmtId="0" fontId="0" fillId="8" borderId="0" xfId="0" applyFill="1" applyAlignment="1"/>
    <xf numFmtId="0" fontId="146" fillId="0" borderId="6"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83" fillId="0" borderId="74"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147" fillId="17" borderId="2" xfId="0" applyFont="1" applyFill="1" applyBorder="1" applyAlignment="1"/>
    <xf numFmtId="0" fontId="147" fillId="0" borderId="2" xfId="0" applyFont="1" applyBorder="1">
      <alignment vertical="center"/>
    </xf>
    <xf numFmtId="0" fontId="147" fillId="0" borderId="2" xfId="0" applyFont="1" applyBorder="1" applyAlignment="1">
      <alignment horizontal="center" vertical="center"/>
    </xf>
    <xf numFmtId="2" fontId="147" fillId="0" borderId="2" xfId="0" applyNumberFormat="1" applyFont="1" applyBorder="1" applyAlignment="1">
      <alignment horizontal="center" vertical="center"/>
    </xf>
    <xf numFmtId="2" fontId="0" fillId="0" borderId="2" xfId="0" applyNumberFormat="1" applyBorder="1" applyAlignment="1">
      <alignment horizontal="center" vertical="center"/>
    </xf>
    <xf numFmtId="2" fontId="0" fillId="0" borderId="2" xfId="0" applyNumberFormat="1" applyBorder="1" applyAlignment="1">
      <alignment vertical="center"/>
    </xf>
    <xf numFmtId="0" fontId="147" fillId="0" borderId="0" xfId="0" applyFont="1">
      <alignment vertical="center"/>
    </xf>
    <xf numFmtId="0" fontId="151" fillId="0" borderId="0" xfId="1" applyFont="1" applyAlignment="1">
      <alignment horizontal="center" vertical="center"/>
    </xf>
    <xf numFmtId="0" fontId="147" fillId="0" borderId="0" xfId="1" applyFont="1">
      <alignment vertical="center"/>
    </xf>
    <xf numFmtId="0" fontId="169" fillId="0" borderId="50" xfId="1" applyFont="1" applyBorder="1" applyAlignment="1">
      <alignment horizontal="center" vertical="center"/>
    </xf>
    <xf numFmtId="0" fontId="151" fillId="0" borderId="21" xfId="1" applyFont="1" applyBorder="1" applyAlignment="1">
      <alignment horizontal="center" vertical="center"/>
    </xf>
    <xf numFmtId="49" fontId="151" fillId="0" borderId="21" xfId="1" applyNumberFormat="1" applyFont="1" applyBorder="1" applyAlignment="1">
      <alignment horizontal="center" vertical="center"/>
    </xf>
    <xf numFmtId="2" fontId="151" fillId="0" borderId="21" xfId="1" applyNumberFormat="1" applyFont="1" applyBorder="1" applyAlignment="1">
      <alignment horizontal="center" vertical="center"/>
    </xf>
    <xf numFmtId="1" fontId="151" fillId="0" borderId="21" xfId="1" applyNumberFormat="1" applyFont="1" applyBorder="1" applyAlignment="1">
      <alignment horizontal="center" vertical="center"/>
    </xf>
    <xf numFmtId="2" fontId="151" fillId="0" borderId="51" xfId="1" applyNumberFormat="1" applyFont="1" applyBorder="1" applyAlignment="1">
      <alignment horizontal="center" vertical="center"/>
    </xf>
    <xf numFmtId="0" fontId="147" fillId="0" borderId="0" xfId="1">
      <alignment vertical="center"/>
    </xf>
    <xf numFmtId="0" fontId="169" fillId="20" borderId="11" xfId="1" applyFont="1" applyFill="1" applyBorder="1" applyAlignment="1">
      <alignment horizontal="center" vertical="center"/>
    </xf>
    <xf numFmtId="0" fontId="151" fillId="20" borderId="2" xfId="1" applyFont="1" applyFill="1" applyBorder="1" applyAlignment="1">
      <alignment horizontal="center" vertical="center"/>
    </xf>
    <xf numFmtId="49" fontId="151" fillId="20" borderId="2" xfId="1" applyNumberFormat="1" applyFont="1" applyFill="1" applyBorder="1" applyAlignment="1">
      <alignment horizontal="center" vertical="center"/>
    </xf>
    <xf numFmtId="2" fontId="151" fillId="20" borderId="2" xfId="1" applyNumberFormat="1" applyFont="1" applyFill="1" applyBorder="1" applyAlignment="1">
      <alignment horizontal="center" vertical="center"/>
    </xf>
    <xf numFmtId="0" fontId="169" fillId="0" borderId="11" xfId="1" applyFont="1" applyBorder="1" applyAlignment="1">
      <alignment horizontal="center" vertical="center"/>
    </xf>
    <xf numFmtId="0" fontId="151" fillId="0" borderId="2" xfId="1" applyFont="1" applyBorder="1" applyAlignment="1">
      <alignment horizontal="center" vertical="center"/>
    </xf>
    <xf numFmtId="49" fontId="151" fillId="0" borderId="2" xfId="1" applyNumberFormat="1" applyFont="1" applyBorder="1" applyAlignment="1">
      <alignment horizontal="center" vertical="center"/>
    </xf>
    <xf numFmtId="2" fontId="151" fillId="0" borderId="2" xfId="1" applyNumberFormat="1" applyFont="1" applyBorder="1" applyAlignment="1">
      <alignment horizontal="center" vertical="center"/>
    </xf>
    <xf numFmtId="9" fontId="151" fillId="0" borderId="2" xfId="1" applyNumberFormat="1" applyFont="1" applyBorder="1" applyAlignment="1">
      <alignment horizontal="center" vertical="center"/>
    </xf>
    <xf numFmtId="2" fontId="151" fillId="0" borderId="12" xfId="1" applyNumberFormat="1" applyFont="1" applyBorder="1" applyAlignment="1">
      <alignment horizontal="center" vertical="center"/>
    </xf>
    <xf numFmtId="0" fontId="151" fillId="0" borderId="11" xfId="1" applyFont="1" applyBorder="1" applyAlignment="1">
      <alignment horizontal="center" vertical="center"/>
    </xf>
    <xf numFmtId="0" fontId="169" fillId="19" borderId="154" xfId="1" applyFont="1" applyFill="1" applyBorder="1" applyAlignment="1">
      <alignment horizontal="center" vertical="center"/>
    </xf>
    <xf numFmtId="0" fontId="151" fillId="19" borderId="155" xfId="1" applyFont="1" applyFill="1" applyBorder="1" applyAlignment="1">
      <alignment horizontal="center" vertical="center"/>
    </xf>
    <xf numFmtId="49" fontId="151" fillId="19" borderId="155" xfId="1" applyNumberFormat="1" applyFont="1" applyFill="1" applyBorder="1" applyAlignment="1">
      <alignment horizontal="center" vertical="center"/>
    </xf>
    <xf numFmtId="2" fontId="151" fillId="19" borderId="155" xfId="1" applyNumberFormat="1" applyFont="1" applyFill="1" applyBorder="1" applyAlignment="1">
      <alignment horizontal="center" vertical="center"/>
    </xf>
    <xf numFmtId="2" fontId="151" fillId="19" borderId="156" xfId="1" applyNumberFormat="1" applyFont="1" applyFill="1" applyBorder="1" applyAlignment="1">
      <alignment horizontal="center" vertical="center"/>
    </xf>
    <xf numFmtId="0" fontId="169" fillId="20" borderId="2" xfId="1" applyFont="1" applyFill="1" applyBorder="1" applyAlignment="1">
      <alignment horizontal="center" vertical="center"/>
    </xf>
    <xf numFmtId="0" fontId="169" fillId="0" borderId="2" xfId="1" applyFont="1" applyBorder="1" applyAlignment="1">
      <alignment horizontal="center" vertical="center"/>
    </xf>
    <xf numFmtId="49" fontId="151" fillId="0" borderId="0" xfId="1" applyNumberFormat="1" applyFont="1" applyAlignment="1">
      <alignment horizontal="center" vertical="center"/>
    </xf>
    <xf numFmtId="179" fontId="151" fillId="8" borderId="0" xfId="1" applyNumberFormat="1" applyFont="1" applyFill="1" applyAlignment="1">
      <alignment horizontal="center" vertical="center"/>
    </xf>
    <xf numFmtId="0" fontId="169" fillId="0" borderId="21" xfId="1" applyFont="1" applyBorder="1" applyAlignment="1">
      <alignment horizontal="center" vertical="center"/>
    </xf>
    <xf numFmtId="49" fontId="169" fillId="0" borderId="2" xfId="1" applyNumberFormat="1" applyFont="1" applyBorder="1" applyAlignment="1">
      <alignment horizontal="center" vertical="center"/>
    </xf>
    <xf numFmtId="49" fontId="169" fillId="20" borderId="2" xfId="1" applyNumberFormat="1" applyFont="1" applyFill="1" applyBorder="1" applyAlignment="1">
      <alignment horizontal="center" vertical="center"/>
    </xf>
    <xf numFmtId="1" fontId="151" fillId="20" borderId="2" xfId="1" applyNumberFormat="1" applyFont="1" applyFill="1" applyBorder="1" applyAlignment="1">
      <alignment horizontal="center" vertical="center"/>
    </xf>
    <xf numFmtId="1" fontId="151" fillId="0" borderId="2" xfId="1" applyNumberFormat="1" applyFont="1" applyBorder="1" applyAlignment="1">
      <alignment horizontal="center" vertical="center"/>
    </xf>
    <xf numFmtId="9" fontId="155" fillId="0" borderId="21" xfId="1" applyNumberFormat="1" applyFont="1" applyBorder="1" applyAlignment="1">
      <alignment horizontal="center" vertical="center"/>
    </xf>
    <xf numFmtId="9" fontId="155" fillId="20" borderId="2" xfId="1" applyNumberFormat="1" applyFont="1" applyFill="1" applyBorder="1" applyAlignment="1">
      <alignment horizontal="center" vertical="center"/>
    </xf>
    <xf numFmtId="9" fontId="155" fillId="0" borderId="2" xfId="1" applyNumberFormat="1" applyFont="1" applyBorder="1" applyAlignment="1">
      <alignment horizontal="center" vertical="center"/>
    </xf>
    <xf numFmtId="1" fontId="155" fillId="0" borderId="21" xfId="1" applyNumberFormat="1" applyFont="1" applyBorder="1" applyAlignment="1">
      <alignment horizontal="center" vertical="center"/>
    </xf>
    <xf numFmtId="1" fontId="155" fillId="20" borderId="2" xfId="1" applyNumberFormat="1" applyFont="1" applyFill="1" applyBorder="1" applyAlignment="1">
      <alignment horizontal="center" vertical="center"/>
    </xf>
    <xf numFmtId="0" fontId="155" fillId="0" borderId="2" xfId="1" applyFont="1" applyBorder="1" applyAlignment="1">
      <alignment horizontal="center" vertical="center"/>
    </xf>
    <xf numFmtId="0" fontId="155" fillId="20" borderId="2" xfId="1" applyFont="1" applyFill="1" applyBorder="1" applyAlignment="1">
      <alignment horizontal="center" vertical="center"/>
    </xf>
    <xf numFmtId="1" fontId="155" fillId="0" borderId="2" xfId="1" applyNumberFormat="1" applyFont="1" applyBorder="1" applyAlignment="1">
      <alignment horizontal="center" vertical="center"/>
    </xf>
    <xf numFmtId="0" fontId="155" fillId="0" borderId="2" xfId="0" applyNumberFormat="1" applyFont="1" applyFill="1" applyBorder="1" applyAlignment="1" applyProtection="1">
      <alignment horizontal="center" vertical="center" wrapText="1"/>
      <protection locked="0"/>
    </xf>
    <xf numFmtId="0" fontId="155" fillId="0" borderId="5" xfId="0" applyNumberFormat="1" applyFont="1" applyFill="1" applyBorder="1" applyAlignment="1" applyProtection="1">
      <alignment horizontal="center" vertical="center" wrapText="1"/>
      <protection locked="0"/>
    </xf>
    <xf numFmtId="0" fontId="155" fillId="0" borderId="12" xfId="0" applyNumberFormat="1" applyFont="1" applyFill="1" applyBorder="1" applyAlignment="1" applyProtection="1">
      <alignment horizontal="center" vertical="center" wrapText="1"/>
      <protection locked="0"/>
    </xf>
    <xf numFmtId="0" fontId="175" fillId="19" borderId="157" xfId="1" applyFont="1" applyFill="1" applyBorder="1" applyAlignment="1">
      <alignment horizontal="center" vertical="center" wrapText="1"/>
    </xf>
    <xf numFmtId="49" fontId="175" fillId="19" borderId="157" xfId="1" applyNumberFormat="1" applyFont="1" applyFill="1" applyBorder="1" applyAlignment="1">
      <alignment horizontal="center" vertical="center" wrapText="1"/>
    </xf>
    <xf numFmtId="0" fontId="151" fillId="0" borderId="50" xfId="1" applyFont="1" applyBorder="1" applyAlignment="1">
      <alignment horizontal="center" vertical="center"/>
    </xf>
    <xf numFmtId="0" fontId="151" fillId="0" borderId="21" xfId="1" applyFont="1" applyBorder="1" applyAlignment="1">
      <alignment horizontal="center" vertical="center" wrapText="1"/>
    </xf>
    <xf numFmtId="0" fontId="151" fillId="0" borderId="21" xfId="1" applyNumberFormat="1" applyFont="1" applyBorder="1" applyAlignment="1">
      <alignment horizontal="center" vertical="center"/>
    </xf>
    <xf numFmtId="2" fontId="169" fillId="0" borderId="51" xfId="1" applyNumberFormat="1" applyFont="1" applyBorder="1" applyAlignment="1">
      <alignment horizontal="center" vertical="center"/>
    </xf>
    <xf numFmtId="0" fontId="151" fillId="20" borderId="11" xfId="1" applyFont="1" applyFill="1" applyBorder="1" applyAlignment="1">
      <alignment horizontal="center" vertical="center"/>
    </xf>
    <xf numFmtId="0" fontId="151" fillId="20" borderId="2" xfId="1" applyFont="1" applyFill="1" applyBorder="1" applyAlignment="1">
      <alignment horizontal="center" vertical="center" wrapText="1"/>
    </xf>
    <xf numFmtId="0" fontId="151" fillId="20" borderId="2" xfId="1" applyNumberFormat="1" applyFont="1" applyFill="1" applyBorder="1" applyAlignment="1">
      <alignment horizontal="center" vertical="center"/>
    </xf>
    <xf numFmtId="2" fontId="151" fillId="20" borderId="12" xfId="1" applyNumberFormat="1" applyFont="1" applyFill="1" applyBorder="1" applyAlignment="1">
      <alignment horizontal="center" vertical="center" wrapText="1"/>
    </xf>
    <xf numFmtId="2" fontId="151" fillId="0" borderId="51" xfId="1" applyNumberFormat="1" applyFont="1" applyBorder="1" applyAlignment="1">
      <alignment horizontal="center" vertical="center" wrapText="1"/>
    </xf>
    <xf numFmtId="0" fontId="151" fillId="20" borderId="117" xfId="1" applyFont="1" applyFill="1" applyBorder="1" applyAlignment="1">
      <alignment horizontal="center" vertical="center"/>
    </xf>
    <xf numFmtId="0" fontId="151" fillId="20" borderId="71" xfId="1" applyFont="1" applyFill="1" applyBorder="1" applyAlignment="1">
      <alignment horizontal="center" vertical="center" wrapText="1"/>
    </xf>
    <xf numFmtId="0" fontId="151" fillId="20" borderId="71" xfId="1" applyNumberFormat="1" applyFont="1" applyFill="1" applyBorder="1" applyAlignment="1">
      <alignment horizontal="center" vertical="center"/>
    </xf>
    <xf numFmtId="0" fontId="151" fillId="20" borderId="71" xfId="1" applyFont="1" applyFill="1" applyBorder="1" applyAlignment="1">
      <alignment horizontal="center" vertical="center"/>
    </xf>
    <xf numFmtId="2" fontId="151" fillId="20" borderId="72" xfId="1" applyNumberFormat="1" applyFont="1" applyFill="1" applyBorder="1" applyAlignment="1">
      <alignment horizontal="center" vertical="center" wrapText="1"/>
    </xf>
    <xf numFmtId="0" fontId="151" fillId="19" borderId="23" xfId="1" applyFont="1" applyFill="1" applyBorder="1" applyAlignment="1">
      <alignment horizontal="center" vertical="center"/>
    </xf>
    <xf numFmtId="0" fontId="151" fillId="19" borderId="55" xfId="1" applyFont="1" applyFill="1" applyBorder="1" applyAlignment="1">
      <alignment horizontal="center" vertical="center" wrapText="1"/>
    </xf>
    <xf numFmtId="49" fontId="151" fillId="19" borderId="55" xfId="1" applyNumberFormat="1" applyFont="1" applyFill="1" applyBorder="1" applyAlignment="1">
      <alignment horizontal="center" vertical="center"/>
    </xf>
    <xf numFmtId="0" fontId="151" fillId="19" borderId="55" xfId="1" applyFont="1" applyFill="1" applyBorder="1" applyAlignment="1">
      <alignment horizontal="center" vertical="center"/>
    </xf>
    <xf numFmtId="2" fontId="151" fillId="19" borderId="69" xfId="1" applyNumberFormat="1" applyFont="1" applyFill="1" applyBorder="1" applyAlignment="1">
      <alignment horizontal="center" vertical="center"/>
    </xf>
    <xf numFmtId="0" fontId="147" fillId="19" borderId="2" xfId="1" applyFont="1" applyFill="1" applyBorder="1" applyAlignment="1">
      <alignment horizontal="left" vertical="center"/>
    </xf>
    <xf numFmtId="0" fontId="147" fillId="0" borderId="2" xfId="1" applyFont="1" applyBorder="1" applyAlignment="1">
      <alignment horizontal="left" vertical="center"/>
    </xf>
    <xf numFmtId="0" fontId="147" fillId="0" borderId="2" xfId="1" applyBorder="1" applyAlignment="1">
      <alignment horizontal="left" vertical="center"/>
    </xf>
    <xf numFmtId="0" fontId="147" fillId="8" borderId="2" xfId="1" applyFill="1" applyBorder="1" applyAlignment="1">
      <alignment horizontal="left" vertical="center"/>
    </xf>
    <xf numFmtId="0" fontId="147" fillId="20" borderId="2" xfId="1" applyFill="1" applyBorder="1" applyAlignment="1">
      <alignment horizontal="left" vertical="center"/>
    </xf>
    <xf numFmtId="0" fontId="147" fillId="20" borderId="2" xfId="1" applyFont="1" applyFill="1" applyBorder="1" applyAlignment="1">
      <alignment horizontal="left" vertical="center"/>
    </xf>
    <xf numFmtId="0" fontId="147" fillId="0" borderId="0" xfId="1" applyAlignment="1">
      <alignment horizontal="left" vertical="center"/>
    </xf>
    <xf numFmtId="0" fontId="147" fillId="0" borderId="0" xfId="1" applyFont="1" applyAlignment="1">
      <alignment horizontal="left" vertical="center"/>
    </xf>
    <xf numFmtId="0" fontId="178" fillId="0" borderId="2" xfId="19" applyFont="1" applyBorder="1">
      <alignment vertical="center"/>
    </xf>
    <xf numFmtId="0" fontId="281" fillId="0" borderId="2" xfId="19" applyFont="1" applyBorder="1">
      <alignment vertical="center"/>
    </xf>
    <xf numFmtId="0" fontId="236" fillId="0" borderId="2" xfId="1" applyFont="1" applyBorder="1" applyAlignment="1">
      <alignment horizontal="center" vertical="center"/>
    </xf>
    <xf numFmtId="0" fontId="236" fillId="0" borderId="5" xfId="1" applyFont="1" applyBorder="1" applyAlignment="1">
      <alignment horizontal="center" vertical="center"/>
    </xf>
    <xf numFmtId="0" fontId="236" fillId="0" borderId="5" xfId="1" applyFont="1" applyFill="1" applyBorder="1" applyAlignment="1">
      <alignment horizontal="center" vertical="center"/>
    </xf>
    <xf numFmtId="0" fontId="254" fillId="0" borderId="2" xfId="1" applyFont="1" applyBorder="1" applyAlignment="1">
      <alignment horizontal="center" vertical="center"/>
    </xf>
    <xf numFmtId="0" fontId="234" fillId="0" borderId="2" xfId="19" applyFont="1" applyBorder="1" applyAlignment="1">
      <alignment horizontal="center" vertical="center"/>
    </xf>
    <xf numFmtId="0" fontId="187" fillId="0" borderId="0" xfId="7" applyFont="1" applyAlignment="1" applyProtection="1">
      <alignment horizontal="left" vertical="top" wrapText="1"/>
    </xf>
    <xf numFmtId="0" fontId="209" fillId="0" borderId="5" xfId="0" applyFont="1" applyBorder="1" applyAlignment="1">
      <alignment horizontal="center" vertical="center" wrapText="1"/>
    </xf>
    <xf numFmtId="0" fontId="209" fillId="0" borderId="8" xfId="0" applyFont="1" applyBorder="1" applyAlignment="1">
      <alignment horizontal="center" vertical="center" wrapText="1"/>
    </xf>
    <xf numFmtId="0" fontId="209" fillId="0" borderId="9" xfId="0" applyFont="1" applyBorder="1" applyAlignment="1">
      <alignment horizontal="center" vertical="center" wrapText="1"/>
    </xf>
    <xf numFmtId="0" fontId="193" fillId="0" borderId="0" xfId="0" applyFont="1" applyAlignment="1">
      <alignment horizontal="center" vertical="center"/>
    </xf>
    <xf numFmtId="0" fontId="239"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239" fillId="0" borderId="2" xfId="0" applyFont="1" applyFill="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189" fillId="0" borderId="0" xfId="0" applyFont="1" applyAlignment="1" applyProtection="1">
      <alignment vertical="center" wrapText="1"/>
      <protection locked="0"/>
    </xf>
    <xf numFmtId="0" fontId="197" fillId="0" borderId="0" xfId="0" applyFont="1" applyAlignment="1">
      <alignment vertical="center" wrapText="1"/>
    </xf>
    <xf numFmtId="0" fontId="197" fillId="0" borderId="0" xfId="0" applyFont="1" applyAlignment="1" applyProtection="1">
      <alignment vertical="center" wrapText="1"/>
      <protection locked="0"/>
    </xf>
    <xf numFmtId="0" fontId="197" fillId="0" borderId="0" xfId="0" applyFont="1" applyAlignment="1" applyProtection="1">
      <alignment vertical="center" wrapText="1"/>
    </xf>
    <xf numFmtId="49" fontId="189" fillId="0" borderId="0" xfId="0" applyNumberFormat="1" applyFont="1" applyAlignment="1" applyProtection="1">
      <alignment vertical="center" wrapText="1"/>
      <protection locked="0"/>
    </xf>
    <xf numFmtId="0" fontId="169" fillId="0" borderId="10" xfId="0" applyFont="1" applyBorder="1" applyAlignment="1" applyProtection="1">
      <alignment horizontal="left" vertical="center" wrapText="1"/>
    </xf>
    <xf numFmtId="0" fontId="169" fillId="0" borderId="3" xfId="0" applyFont="1" applyBorder="1" applyAlignment="1" applyProtection="1">
      <alignment horizontal="left" vertical="center" wrapText="1"/>
    </xf>
    <xf numFmtId="0" fontId="169" fillId="0" borderId="21" xfId="0" applyFont="1" applyBorder="1" applyAlignment="1" applyProtection="1">
      <alignment horizontal="left" vertical="center" wrapText="1"/>
    </xf>
    <xf numFmtId="0" fontId="151" fillId="0" borderId="5" xfId="0" applyFont="1" applyBorder="1" applyAlignment="1" applyProtection="1">
      <alignment horizontal="left" vertical="center"/>
    </xf>
    <xf numFmtId="0" fontId="151" fillId="0" borderId="9" xfId="0" applyFont="1" applyBorder="1" applyAlignment="1" applyProtection="1">
      <alignment horizontal="left" vertical="center"/>
    </xf>
    <xf numFmtId="0" fontId="151" fillId="0" borderId="2" xfId="0" applyFont="1" applyBorder="1" applyAlignment="1" applyProtection="1">
      <alignment horizontal="left" vertical="center"/>
    </xf>
    <xf numFmtId="0" fontId="151" fillId="9" borderId="2" xfId="0" applyFont="1" applyFill="1" applyBorder="1" applyAlignment="1" applyProtection="1">
      <alignment horizontal="left" vertical="center"/>
    </xf>
    <xf numFmtId="0" fontId="151" fillId="6" borderId="2" xfId="0" applyFont="1" applyFill="1" applyBorder="1" applyAlignment="1" applyProtection="1">
      <alignment horizontal="left" vertical="center"/>
    </xf>
    <xf numFmtId="0" fontId="54" fillId="0" borderId="5" xfId="0" applyFont="1" applyBorder="1" applyAlignment="1" applyProtection="1">
      <alignment horizontal="left" vertical="center"/>
    </xf>
    <xf numFmtId="0" fontId="151" fillId="0" borderId="10" xfId="0" applyFont="1" applyBorder="1" applyAlignment="1" applyProtection="1">
      <alignment horizontal="left" vertical="center"/>
    </xf>
    <xf numFmtId="0" fontId="151" fillId="0" borderId="3" xfId="0" applyFont="1" applyBorder="1" applyAlignment="1" applyProtection="1">
      <alignment horizontal="left" vertical="center"/>
    </xf>
    <xf numFmtId="0" fontId="217" fillId="0" borderId="2" xfId="7" applyFont="1" applyFill="1" applyBorder="1" applyAlignment="1">
      <alignment horizontal="center" vertical="center"/>
    </xf>
    <xf numFmtId="0" fontId="216" fillId="0" borderId="2" xfId="7" applyFont="1" applyBorder="1" applyAlignment="1">
      <alignment horizontal="center" vertical="center"/>
    </xf>
    <xf numFmtId="0" fontId="167" fillId="5" borderId="0" xfId="0" applyFont="1" applyFill="1" applyBorder="1" applyAlignment="1" applyProtection="1">
      <alignment horizontal="center"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0" borderId="5" xfId="0" applyFont="1" applyBorder="1" applyAlignment="1" applyProtection="1">
      <alignment horizontal="left" vertical="center" wrapText="1"/>
      <protection locked="0"/>
    </xf>
    <xf numFmtId="0" fontId="80" fillId="0" borderId="32" xfId="0" applyFont="1" applyBorder="1" applyAlignment="1" applyProtection="1">
      <alignment horizontal="left" vertical="center" wrapText="1"/>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80" fillId="8" borderId="5" xfId="0" applyFont="1" applyFill="1" applyBorder="1" applyAlignment="1" applyProtection="1">
      <alignment horizontal="left" vertical="center" wrapText="1"/>
      <protection locked="0"/>
    </xf>
    <xf numFmtId="0" fontId="80" fillId="8" borderId="8" xfId="0" applyFont="1" applyFill="1" applyBorder="1" applyAlignment="1" applyProtection="1">
      <alignment horizontal="left" vertical="center" wrapText="1"/>
      <protection locked="0"/>
    </xf>
    <xf numFmtId="0" fontId="80" fillId="8" borderId="9" xfId="0" applyFont="1" applyFill="1" applyBorder="1" applyAlignment="1" applyProtection="1">
      <alignment horizontal="left" vertical="center" wrapText="1"/>
      <protection locked="0"/>
    </xf>
    <xf numFmtId="0" fontId="80" fillId="5" borderId="5" xfId="0" applyFont="1" applyFill="1" applyBorder="1" applyAlignment="1" applyProtection="1">
      <alignment horizontal="left" vertical="center" wrapText="1"/>
    </xf>
    <xf numFmtId="0" fontId="80" fillId="5" borderId="9" xfId="0" applyFont="1" applyFill="1" applyBorder="1" applyAlignment="1" applyProtection="1">
      <alignment horizontal="left" vertical="center" wrapText="1"/>
    </xf>
    <xf numFmtId="0" fontId="80" fillId="8" borderId="2" xfId="0" applyFont="1" applyFill="1" applyBorder="1" applyAlignment="1" applyProtection="1">
      <alignment vertical="center" wrapText="1"/>
      <protection locked="0"/>
    </xf>
    <xf numFmtId="0" fontId="80" fillId="0" borderId="2" xfId="0" applyFont="1" applyBorder="1" applyAlignment="1" applyProtection="1">
      <alignment vertical="center" wrapText="1"/>
      <protection locked="0"/>
    </xf>
    <xf numFmtId="0" fontId="80" fillId="0" borderId="2" xfId="0" applyFont="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49" xfId="0" applyFont="1" applyFill="1" applyBorder="1" applyAlignment="1" applyProtection="1">
      <alignment vertical="center" wrapText="1"/>
    </xf>
    <xf numFmtId="0" fontId="80" fillId="5" borderId="37" xfId="0" applyFont="1" applyFill="1" applyBorder="1" applyAlignment="1" applyProtection="1">
      <alignment vertical="center" wrapText="1"/>
    </xf>
    <xf numFmtId="0" fontId="80" fillId="5" borderId="38" xfId="0" applyFont="1" applyFill="1" applyBorder="1" applyAlignment="1" applyProtection="1">
      <alignment vertical="center" wrapText="1"/>
    </xf>
    <xf numFmtId="0" fontId="189" fillId="8" borderId="5" xfId="0" applyFont="1" applyFill="1" applyBorder="1" applyAlignment="1" applyProtection="1">
      <alignment vertical="center" wrapText="1"/>
      <protection locked="0"/>
    </xf>
    <xf numFmtId="0" fontId="189" fillId="8" borderId="8" xfId="0" applyFont="1" applyFill="1" applyBorder="1" applyAlignment="1" applyProtection="1">
      <alignment vertical="center" wrapText="1"/>
      <protection locked="0"/>
    </xf>
    <xf numFmtId="0" fontId="189" fillId="8" borderId="9" xfId="0" applyFont="1" applyFill="1" applyBorder="1" applyAlignment="1" applyProtection="1">
      <alignment vertical="center" wrapText="1"/>
      <protection locked="0"/>
    </xf>
    <xf numFmtId="0" fontId="80" fillId="5" borderId="10" xfId="0" applyFont="1" applyFill="1" applyBorder="1" applyAlignment="1" applyProtection="1">
      <alignment horizontal="center" vertical="center" wrapText="1"/>
    </xf>
    <xf numFmtId="0" fontId="80" fillId="5" borderId="102" xfId="0" applyFont="1" applyFill="1" applyBorder="1" applyAlignment="1" applyProtection="1">
      <alignment horizontal="center" vertical="center" wrapText="1"/>
    </xf>
    <xf numFmtId="49" fontId="189" fillId="8" borderId="5" xfId="0" applyNumberFormat="1" applyFont="1" applyFill="1" applyBorder="1" applyAlignment="1" applyProtection="1">
      <alignment horizontal="left" vertical="center"/>
      <protection locked="0"/>
    </xf>
    <xf numFmtId="49" fontId="189" fillId="8" borderId="8" xfId="0" applyNumberFormat="1" applyFont="1" applyFill="1" applyBorder="1" applyAlignment="1" applyProtection="1">
      <alignment horizontal="left" vertical="center"/>
      <protection locked="0"/>
    </xf>
    <xf numFmtId="49" fontId="189" fillId="8" borderId="9" xfId="0" applyNumberFormat="1" applyFont="1" applyFill="1" applyBorder="1" applyAlignment="1" applyProtection="1">
      <alignment horizontal="left" vertical="center"/>
      <protection locked="0"/>
    </xf>
    <xf numFmtId="0" fontId="80" fillId="5" borderId="42"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10" xfId="0" applyFont="1" applyFill="1" applyBorder="1" applyAlignment="1" applyProtection="1">
      <alignment horizontal="left" vertical="center" wrapText="1"/>
    </xf>
    <xf numFmtId="0" fontId="80" fillId="5" borderId="3" xfId="0" applyFont="1" applyFill="1" applyBorder="1" applyAlignment="1" applyProtection="1">
      <alignment horizontal="left" vertical="center" wrapText="1"/>
    </xf>
    <xf numFmtId="0" fontId="80" fillId="5" borderId="17" xfId="0" applyFont="1" applyFill="1" applyBorder="1" applyAlignment="1" applyProtection="1">
      <alignment horizontal="left" vertical="center" wrapText="1"/>
    </xf>
    <xf numFmtId="179" fontId="80" fillId="8" borderId="5" xfId="0" applyNumberFormat="1" applyFont="1" applyFill="1" applyBorder="1" applyAlignment="1" applyProtection="1">
      <alignment horizontal="center" vertical="center" wrapText="1"/>
      <protection locked="0"/>
    </xf>
    <xf numFmtId="179" fontId="80" fillId="8" borderId="8" xfId="0" applyNumberFormat="1" applyFont="1" applyFill="1" applyBorder="1" applyAlignment="1" applyProtection="1">
      <alignment horizontal="center" vertical="center" wrapText="1"/>
      <protection locked="0"/>
    </xf>
    <xf numFmtId="179" fontId="80" fillId="8" borderId="9" xfId="0" applyNumberFormat="1" applyFont="1" applyFill="1" applyBorder="1" applyAlignment="1" applyProtection="1">
      <alignment horizontal="center" vertical="center" wrapText="1"/>
      <protection locked="0"/>
    </xf>
    <xf numFmtId="0" fontId="189" fillId="8" borderId="5" xfId="0" applyFont="1" applyFill="1" applyBorder="1" applyAlignment="1" applyProtection="1">
      <alignment vertical="center"/>
      <protection locked="0"/>
    </xf>
    <xf numFmtId="0" fontId="189" fillId="8" borderId="8" xfId="0" applyFont="1" applyFill="1" applyBorder="1" applyAlignment="1" applyProtection="1">
      <alignment vertical="center"/>
      <protection locked="0"/>
    </xf>
    <xf numFmtId="0" fontId="189" fillId="8" borderId="9" xfId="0" applyFont="1" applyFill="1" applyBorder="1" applyAlignment="1" applyProtection="1">
      <alignment vertical="center"/>
      <protection locked="0"/>
    </xf>
    <xf numFmtId="0" fontId="80" fillId="2" borderId="17"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20" fillId="0" borderId="2" xfId="0" applyFont="1" applyFill="1" applyBorder="1" applyAlignment="1" applyProtection="1">
      <alignment horizontal="center" vertical="center" wrapText="1"/>
    </xf>
    <xf numFmtId="0" fontId="150" fillId="0" borderId="2" xfId="0" applyFont="1" applyBorder="1" applyAlignment="1">
      <alignment horizontal="center" vertical="center" wrapText="1"/>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64" fillId="5" borderId="104" xfId="0" applyFont="1" applyFill="1" applyBorder="1" applyAlignment="1" applyProtection="1">
      <alignment horizontal="center" vertical="center"/>
    </xf>
    <xf numFmtId="0" fontId="64" fillId="5" borderId="100"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7" fillId="5" borderId="53" xfId="0" applyFont="1" applyFill="1" applyBorder="1" applyAlignment="1" applyProtection="1">
      <alignment horizontal="left" vertical="center" wrapText="1"/>
    </xf>
    <xf numFmtId="0" fontId="77" fillId="5" borderId="50" xfId="0" applyFont="1" applyFill="1" applyBorder="1" applyAlignment="1" applyProtection="1">
      <alignment horizontal="left" vertical="center" wrapText="1"/>
    </xf>
    <xf numFmtId="0" fontId="77" fillId="5" borderId="11" xfId="0" applyFont="1" applyFill="1" applyBorder="1" applyAlignment="1" applyProtection="1">
      <alignment horizontal="left" vertical="center"/>
    </xf>
    <xf numFmtId="0" fontId="77" fillId="5" borderId="2" xfId="0" applyFont="1" applyFill="1" applyBorder="1" applyAlignment="1" applyProtection="1">
      <alignment horizontal="left" vertical="center"/>
    </xf>
    <xf numFmtId="0" fontId="77" fillId="5" borderId="43" xfId="0" applyFont="1" applyFill="1" applyBorder="1" applyAlignment="1" applyProtection="1">
      <alignment horizontal="left" vertical="center" wrapText="1"/>
      <protection locked="0"/>
    </xf>
    <xf numFmtId="0" fontId="77" fillId="5" borderId="44" xfId="0" applyFont="1" applyFill="1" applyBorder="1" applyAlignment="1" applyProtection="1">
      <alignment horizontal="left" vertical="center" wrapText="1"/>
      <protection locked="0"/>
    </xf>
    <xf numFmtId="0" fontId="78" fillId="5" borderId="22"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7" fillId="5" borderId="64"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87" fillId="5" borderId="59" xfId="0" applyFont="1" applyFill="1" applyBorder="1" applyAlignment="1" applyProtection="1">
      <alignment horizontal="center" vertical="center" wrapText="1"/>
    </xf>
    <xf numFmtId="0" fontId="87" fillId="5" borderId="30" xfId="0" applyFont="1" applyFill="1" applyBorder="1" applyAlignment="1" applyProtection="1">
      <alignment horizontal="center" vertical="center" wrapText="1"/>
    </xf>
    <xf numFmtId="0" fontId="87" fillId="5" borderId="57" xfId="0" applyFont="1" applyFill="1" applyBorder="1" applyAlignment="1" applyProtection="1">
      <alignment horizontal="center" vertical="center" wrapText="1"/>
    </xf>
    <xf numFmtId="0" fontId="77" fillId="6" borderId="8" xfId="0" applyFont="1" applyFill="1" applyBorder="1" applyAlignment="1" applyProtection="1">
      <alignment vertical="center"/>
    </xf>
    <xf numFmtId="0" fontId="77" fillId="6" borderId="9" xfId="0" applyFont="1" applyFill="1" applyBorder="1" applyAlignment="1" applyProtection="1">
      <alignment vertical="center"/>
    </xf>
    <xf numFmtId="0" fontId="175" fillId="5" borderId="35" xfId="0" applyFont="1" applyFill="1" applyBorder="1" applyAlignment="1" applyProtection="1">
      <alignment horizontal="center" vertical="center" wrapText="1"/>
    </xf>
    <xf numFmtId="0" fontId="175" fillId="5" borderId="79" xfId="0" applyFont="1" applyFill="1" applyBorder="1" applyAlignment="1" applyProtection="1">
      <alignment horizontal="center" vertical="center" wrapText="1"/>
    </xf>
    <xf numFmtId="0" fontId="175" fillId="5" borderId="80" xfId="0" applyFont="1" applyFill="1" applyBorder="1" applyAlignment="1" applyProtection="1">
      <alignment horizontal="center" vertical="center" wrapText="1"/>
    </xf>
    <xf numFmtId="0" fontId="73" fillId="0" borderId="10" xfId="0" applyFont="1" applyBorder="1" applyAlignment="1" applyProtection="1">
      <alignment horizontal="center" vertical="center"/>
      <protection locked="0"/>
    </xf>
    <xf numFmtId="0" fontId="73" fillId="0" borderId="21"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wrapText="1"/>
    </xf>
    <xf numFmtId="0" fontId="73" fillId="0" borderId="3" xfId="0" applyFont="1" applyBorder="1" applyAlignment="1" applyProtection="1">
      <alignment horizontal="center" vertical="center"/>
      <protection locked="0"/>
    </xf>
    <xf numFmtId="0" fontId="73" fillId="0" borderId="2" xfId="0" applyFont="1" applyBorder="1" applyAlignment="1" applyProtection="1">
      <alignment horizontal="center" vertical="center"/>
      <protection locked="0"/>
    </xf>
    <xf numFmtId="0" fontId="78" fillId="5" borderId="87"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10" fontId="51"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10" fontId="78" fillId="5" borderId="5" xfId="0" applyNumberFormat="1" applyFont="1" applyFill="1" applyBorder="1" applyAlignment="1" applyProtection="1">
      <alignment horizontal="left" vertical="center" wrapText="1"/>
    </xf>
    <xf numFmtId="0" fontId="155" fillId="0" borderId="36" xfId="0" applyFont="1" applyBorder="1" applyAlignment="1" applyProtection="1">
      <alignment horizontal="center" vertical="center"/>
      <protection locked="0"/>
    </xf>
    <xf numFmtId="0" fontId="155" fillId="0" borderId="37" xfId="0" applyFont="1" applyBorder="1" applyAlignment="1" applyProtection="1">
      <alignment horizontal="center" vertical="center"/>
      <protection locked="0"/>
    </xf>
    <xf numFmtId="0" fontId="155" fillId="0" borderId="61" xfId="0" applyFont="1" applyBorder="1" applyAlignment="1" applyProtection="1">
      <alignment horizontal="center" vertical="center"/>
      <protection locked="0"/>
    </xf>
    <xf numFmtId="0" fontId="155" fillId="0" borderId="38" xfId="0" applyFont="1" applyBorder="1" applyAlignment="1" applyProtection="1">
      <alignment horizontal="center" vertical="center"/>
      <protection locked="0"/>
    </xf>
    <xf numFmtId="0" fontId="78" fillId="5" borderId="16" xfId="0" applyFont="1" applyFill="1" applyBorder="1" applyAlignment="1" applyProtection="1">
      <alignment horizontal="left" vertical="center" wrapText="1"/>
    </xf>
    <xf numFmtId="0" fontId="97" fillId="5" borderId="1" xfId="0" applyFont="1" applyFill="1" applyBorder="1" applyAlignment="1" applyProtection="1">
      <alignment horizontal="center" vertical="center" wrapText="1"/>
    </xf>
    <xf numFmtId="0" fontId="97" fillId="5" borderId="6" xfId="0" applyFont="1" applyFill="1" applyBorder="1" applyAlignment="1" applyProtection="1">
      <alignment horizontal="center" vertical="center" wrapText="1"/>
    </xf>
    <xf numFmtId="0" fontId="97" fillId="5" borderId="31" xfId="0" applyFont="1" applyFill="1" applyBorder="1" applyAlignment="1" applyProtection="1">
      <alignment horizontal="center" vertical="center" wrapText="1"/>
    </xf>
    <xf numFmtId="0" fontId="97" fillId="5" borderId="0" xfId="0" applyFont="1" applyFill="1" applyBorder="1" applyAlignment="1" applyProtection="1">
      <alignment horizontal="center" vertical="center" wrapText="1"/>
    </xf>
    <xf numFmtId="0" fontId="78" fillId="5" borderId="11" xfId="0" applyFont="1" applyFill="1" applyBorder="1" applyAlignment="1" applyProtection="1">
      <alignment horizontal="left" vertical="center" wrapText="1"/>
    </xf>
    <xf numFmtId="0" fontId="87" fillId="5" borderId="61" xfId="0" applyFont="1" applyFill="1" applyBorder="1" applyAlignment="1" applyProtection="1">
      <alignment horizontal="center" vertical="center"/>
    </xf>
    <xf numFmtId="0" fontId="77" fillId="5" borderId="24" xfId="0" applyFont="1" applyFill="1" applyBorder="1" applyAlignment="1" applyProtection="1">
      <alignment horizontal="left" vertical="center" wrapText="1"/>
    </xf>
    <xf numFmtId="0" fontId="77" fillId="5" borderId="23" xfId="0" applyFont="1" applyFill="1" applyBorder="1" applyAlignment="1" applyProtection="1">
      <alignment horizontal="left" vertical="center" wrapText="1"/>
    </xf>
    <xf numFmtId="0" fontId="167" fillId="5" borderId="71" xfId="0" applyFont="1" applyFill="1" applyBorder="1" applyAlignment="1" applyProtection="1">
      <alignment horizontal="center" vertical="center" wrapText="1"/>
    </xf>
    <xf numFmtId="0" fontId="167" fillId="5" borderId="84" xfId="0" applyFont="1" applyFill="1" applyBorder="1" applyAlignment="1" applyProtection="1">
      <alignment horizontal="center" vertical="center" wrapText="1"/>
    </xf>
    <xf numFmtId="0" fontId="167"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78" fillId="5" borderId="43" xfId="0" applyFont="1" applyFill="1" applyBorder="1" applyAlignment="1" applyProtection="1">
      <alignment horizontal="left" vertical="center" wrapText="1"/>
    </xf>
    <xf numFmtId="0" fontId="78" fillId="5" borderId="44" xfId="0" applyFont="1" applyFill="1" applyBorder="1" applyAlignment="1" applyProtection="1">
      <alignment horizontal="left" vertical="center" wrapText="1"/>
    </xf>
    <xf numFmtId="0" fontId="87" fillId="5" borderId="4" xfId="0" applyFont="1" applyFill="1" applyBorder="1" applyAlignment="1" applyProtection="1">
      <alignment horizontal="left" vertical="center" wrapText="1"/>
    </xf>
    <xf numFmtId="0" fontId="87" fillId="5" borderId="14" xfId="0" applyFont="1" applyFill="1" applyBorder="1" applyAlignment="1" applyProtection="1">
      <alignment horizontal="left" vertical="center" wrapText="1"/>
    </xf>
    <xf numFmtId="0" fontId="87" fillId="5" borderId="32" xfId="0" applyFont="1" applyFill="1" applyBorder="1" applyAlignment="1" applyProtection="1">
      <alignment horizontal="left" vertical="center" wrapText="1"/>
    </xf>
    <xf numFmtId="0" fontId="78" fillId="5" borderId="25" xfId="0" applyFont="1" applyFill="1" applyBorder="1" applyAlignment="1" applyProtection="1">
      <alignment horizontal="center" vertical="center"/>
    </xf>
    <xf numFmtId="0" fontId="78" fillId="5" borderId="52"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164" fillId="5" borderId="2" xfId="0" applyFont="1" applyFill="1" applyBorder="1" applyAlignment="1">
      <alignment horizontal="center" vertical="center" wrapText="1"/>
    </xf>
    <xf numFmtId="0" fontId="51" fillId="5" borderId="5" xfId="0" applyFont="1" applyFill="1" applyBorder="1" applyAlignment="1" applyProtection="1">
      <alignment horizontal="center" vertical="center"/>
    </xf>
    <xf numFmtId="0" fontId="51" fillId="5" borderId="8" xfId="0" applyFont="1" applyFill="1" applyBorder="1" applyAlignment="1" applyProtection="1">
      <alignment horizontal="center" vertical="center"/>
    </xf>
    <xf numFmtId="0" fontId="51" fillId="5" borderId="5" xfId="0" applyFont="1" applyFill="1" applyBorder="1" applyAlignment="1" applyProtection="1">
      <alignment horizontal="left" vertical="center"/>
    </xf>
    <xf numFmtId="0" fontId="51" fillId="5" borderId="9" xfId="0" applyFont="1" applyFill="1" applyBorder="1" applyAlignment="1" applyProtection="1">
      <alignment horizontal="left" vertical="center"/>
    </xf>
    <xf numFmtId="0" fontId="177" fillId="5" borderId="36" xfId="0" applyFont="1" applyFill="1" applyBorder="1" applyAlignment="1" applyProtection="1">
      <alignment horizontal="center" vertical="center" wrapText="1"/>
    </xf>
    <xf numFmtId="0" fontId="177" fillId="5" borderId="37"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59" fillId="5" borderId="2" xfId="0" applyFont="1" applyFill="1" applyBorder="1" applyAlignment="1" applyProtection="1">
      <alignment horizontal="center" vertical="center" wrapText="1"/>
    </xf>
    <xf numFmtId="0" fontId="159" fillId="5" borderId="21" xfId="0" applyFont="1" applyFill="1" applyBorder="1" applyAlignment="1" applyProtection="1">
      <alignment horizontal="center" vertical="center" wrapText="1"/>
    </xf>
    <xf numFmtId="0" fontId="159" fillId="5" borderId="17"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0" fontId="47" fillId="5" borderId="10" xfId="0" applyFont="1" applyFill="1" applyBorder="1" applyAlignment="1" applyProtection="1">
      <alignment horizontal="center" vertical="center" wrapText="1"/>
    </xf>
    <xf numFmtId="0" fontId="159" fillId="5" borderId="10"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86" fillId="5" borderId="5" xfId="0" applyFont="1" applyFill="1" applyBorder="1" applyAlignment="1" applyProtection="1">
      <alignment horizontal="center" vertical="center" wrapText="1"/>
    </xf>
    <xf numFmtId="0" fontId="86" fillId="5" borderId="9" xfId="0" applyFont="1" applyFill="1" applyBorder="1" applyAlignment="1" applyProtection="1">
      <alignment horizontal="center" vertical="center" wrapText="1"/>
    </xf>
    <xf numFmtId="184" fontId="85"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184" fontId="86" fillId="5" borderId="2" xfId="0" applyNumberFormat="1" applyFont="1" applyFill="1" applyBorder="1" applyAlignment="1" applyProtection="1">
      <alignment horizontal="center" vertical="center"/>
    </xf>
    <xf numFmtId="0" fontId="86" fillId="5" borderId="10"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86" fillId="5" borderId="21" xfId="0" applyFont="1" applyFill="1" applyBorder="1" applyAlignment="1" applyProtection="1">
      <alignment horizontal="center" vertical="center"/>
    </xf>
    <xf numFmtId="0" fontId="86" fillId="5" borderId="1" xfId="0" applyFont="1" applyFill="1" applyBorder="1" applyAlignment="1" applyProtection="1">
      <alignment horizontal="center" vertical="center" wrapText="1"/>
    </xf>
    <xf numFmtId="0" fontId="86" fillId="5" borderId="7"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wrapText="1"/>
    </xf>
    <xf numFmtId="0" fontId="86" fillId="5" borderId="32" xfId="0" applyFont="1" applyFill="1" applyBorder="1" applyAlignment="1" applyProtection="1">
      <alignment horizontal="center" vertical="center" wrapText="1"/>
    </xf>
    <xf numFmtId="0" fontId="86" fillId="5" borderId="13" xfId="0" applyFont="1" applyFill="1" applyBorder="1" applyAlignment="1" applyProtection="1">
      <alignment horizontal="center" vertical="center" wrapText="1"/>
    </xf>
    <xf numFmtId="0" fontId="86" fillId="5" borderId="18"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wrapText="1"/>
    </xf>
    <xf numFmtId="0" fontId="86" fillId="5" borderId="20"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xf>
    <xf numFmtId="0" fontId="86" fillId="5" borderId="32" xfId="0" applyFont="1" applyFill="1" applyBorder="1" applyAlignment="1" applyProtection="1">
      <alignment horizontal="center" vertical="center"/>
    </xf>
    <xf numFmtId="0" fontId="86" fillId="5" borderId="13"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17" xfId="0" applyFont="1" applyFill="1" applyBorder="1" applyAlignment="1" applyProtection="1">
      <alignment horizontal="center" vertical="center"/>
    </xf>
    <xf numFmtId="0" fontId="86" fillId="5" borderId="20" xfId="0" applyFont="1" applyFill="1" applyBorder="1" applyAlignment="1" applyProtection="1">
      <alignment horizontal="center" vertical="center"/>
    </xf>
    <xf numFmtId="0" fontId="269" fillId="0" borderId="22" xfId="0" applyFont="1" applyFill="1" applyBorder="1" applyAlignment="1" applyProtection="1">
      <alignment horizontal="center" vertical="center" wrapText="1"/>
      <protection locked="0"/>
    </xf>
    <xf numFmtId="0" fontId="269" fillId="0" borderId="25" xfId="0" applyFont="1" applyFill="1" applyBorder="1" applyAlignment="1" applyProtection="1">
      <alignment horizontal="center" vertical="center" wrapText="1"/>
      <protection locked="0"/>
    </xf>
    <xf numFmtId="0" fontId="269" fillId="0" borderId="11" xfId="0" applyFont="1" applyFill="1" applyBorder="1" applyAlignment="1" applyProtection="1">
      <alignment horizontal="center" vertical="center" wrapText="1"/>
      <protection locked="0"/>
    </xf>
    <xf numFmtId="0" fontId="269" fillId="0" borderId="12" xfId="0" applyFont="1" applyFill="1" applyBorder="1" applyAlignment="1" applyProtection="1">
      <alignment horizontal="center" vertical="center" wrapText="1"/>
      <protection locked="0"/>
    </xf>
    <xf numFmtId="0" fontId="269" fillId="0" borderId="43" xfId="0" applyFont="1" applyFill="1" applyBorder="1" applyAlignment="1" applyProtection="1">
      <alignment horizontal="center" vertical="center" wrapText="1"/>
      <protection locked="0"/>
    </xf>
    <xf numFmtId="0" fontId="269" fillId="0" borderId="46" xfId="0" applyFont="1" applyFill="1" applyBorder="1" applyAlignment="1" applyProtection="1">
      <alignment horizontal="center" vertical="center" wrapText="1"/>
      <protection locked="0"/>
    </xf>
    <xf numFmtId="0" fontId="146" fillId="5" borderId="1" xfId="0" applyFont="1" applyFill="1" applyBorder="1" applyAlignment="1" applyProtection="1">
      <alignment horizontal="center" vertical="center" wrapText="1"/>
    </xf>
    <xf numFmtId="0" fontId="146" fillId="5" borderId="6" xfId="0" applyFont="1" applyFill="1" applyBorder="1" applyAlignment="1" applyProtection="1">
      <alignment horizontal="center" vertical="center" wrapText="1"/>
    </xf>
    <xf numFmtId="0" fontId="146" fillId="5" borderId="11" xfId="0" applyFont="1" applyFill="1" applyBorder="1" applyAlignment="1" applyProtection="1">
      <alignment horizontal="center" vertical="center" wrapText="1"/>
    </xf>
    <xf numFmtId="0" fontId="146" fillId="5" borderId="2" xfId="0" applyFont="1" applyFill="1" applyBorder="1" applyAlignment="1" applyProtection="1">
      <alignment horizontal="center" vertical="center" wrapText="1"/>
    </xf>
    <xf numFmtId="0" fontId="203" fillId="5" borderId="11" xfId="0" applyFont="1" applyFill="1" applyBorder="1" applyAlignment="1" applyProtection="1">
      <alignment horizontal="center" vertical="center"/>
    </xf>
    <xf numFmtId="0" fontId="73" fillId="5" borderId="5"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86" fillId="5" borderId="10" xfId="0" applyFont="1" applyFill="1" applyBorder="1" applyAlignment="1" applyProtection="1">
      <alignment horizontal="center" vertical="center" wrapText="1"/>
    </xf>
    <xf numFmtId="0" fontId="86" fillId="5" borderId="3" xfId="0" applyFont="1" applyFill="1" applyBorder="1" applyAlignment="1" applyProtection="1">
      <alignment horizontal="center" vertical="center" wrapText="1"/>
    </xf>
    <xf numFmtId="0" fontId="86" fillId="5" borderId="10" xfId="0" applyFont="1" applyFill="1" applyBorder="1" applyAlignment="1" applyProtection="1">
      <alignment horizontal="center" vertical="center" textRotation="255" wrapText="1"/>
    </xf>
    <xf numFmtId="0" fontId="86" fillId="5" borderId="3" xfId="0" applyFont="1" applyFill="1" applyBorder="1" applyAlignment="1" applyProtection="1">
      <alignment horizontal="center" vertical="center" textRotation="255" wrapText="1"/>
    </xf>
    <xf numFmtId="49" fontId="269" fillId="0" borderId="11" xfId="0" applyNumberFormat="1" applyFont="1" applyFill="1" applyBorder="1" applyAlignment="1" applyProtection="1">
      <alignment horizontal="center" vertical="center" wrapText="1"/>
      <protection locked="0"/>
    </xf>
    <xf numFmtId="0" fontId="269" fillId="0" borderId="32" xfId="0" applyFont="1" applyFill="1" applyBorder="1" applyAlignment="1" applyProtection="1">
      <alignment horizontal="center" vertical="center" wrapText="1"/>
      <protection locked="0"/>
    </xf>
    <xf numFmtId="0" fontId="269" fillId="0" borderId="4" xfId="0" applyFont="1" applyFill="1" applyBorder="1" applyAlignment="1" applyProtection="1">
      <alignment horizontal="center" vertical="center" wrapText="1"/>
      <protection locked="0"/>
    </xf>
    <xf numFmtId="0" fontId="86" fillId="5" borderId="42" xfId="0" applyFont="1" applyFill="1" applyBorder="1" applyAlignment="1" applyProtection="1">
      <alignment horizontal="center" vertical="center" wrapText="1"/>
    </xf>
    <xf numFmtId="0" fontId="86" fillId="5" borderId="29" xfId="0" applyFont="1" applyFill="1" applyBorder="1" applyAlignment="1" applyProtection="1">
      <alignment horizontal="center" vertical="center" wrapText="1"/>
    </xf>
    <xf numFmtId="0" fontId="269" fillId="0" borderId="9" xfId="0" applyFont="1" applyFill="1" applyBorder="1" applyAlignment="1" applyProtection="1">
      <alignment horizontal="center" vertical="center" wrapText="1"/>
      <protection locked="0"/>
    </xf>
    <xf numFmtId="0" fontId="269" fillId="0" borderId="5" xfId="0" applyFont="1" applyFill="1" applyBorder="1" applyAlignment="1" applyProtection="1">
      <alignment horizontal="center" vertical="center" wrapText="1"/>
      <protection locked="0"/>
    </xf>
    <xf numFmtId="0" fontId="151" fillId="5" borderId="26" xfId="0" applyFont="1" applyFill="1" applyBorder="1" applyAlignment="1" applyProtection="1">
      <alignment horizontal="center" vertical="center" wrapText="1"/>
    </xf>
    <xf numFmtId="0" fontId="151" fillId="5" borderId="39" xfId="0" applyFont="1" applyFill="1" applyBorder="1" applyAlignment="1" applyProtection="1">
      <alignment horizontal="center" vertical="center" wrapText="1"/>
    </xf>
    <xf numFmtId="0" fontId="151" fillId="5" borderId="87" xfId="0" applyFont="1" applyFill="1" applyBorder="1" applyAlignment="1" applyProtection="1">
      <alignment horizontal="center" vertical="center" wrapText="1"/>
    </xf>
    <xf numFmtId="0" fontId="151" fillId="5" borderId="63" xfId="0" applyFont="1" applyFill="1" applyBorder="1" applyAlignment="1" applyProtection="1">
      <alignment horizontal="center" vertical="center" wrapText="1"/>
    </xf>
    <xf numFmtId="0" fontId="154" fillId="5" borderId="11" xfId="0" applyFont="1" applyFill="1" applyBorder="1" applyAlignment="1" applyProtection="1">
      <alignment horizontal="center" vertical="center"/>
    </xf>
    <xf numFmtId="0" fontId="88" fillId="5" borderId="9" xfId="3" applyFont="1" applyFill="1" applyBorder="1" applyAlignment="1" applyProtection="1">
      <alignment horizontal="center" vertical="center" wrapText="1"/>
      <protection locked="0"/>
    </xf>
    <xf numFmtId="0" fontId="42" fillId="5" borderId="8" xfId="3" applyFont="1" applyFill="1" applyBorder="1" applyAlignment="1" applyProtection="1">
      <alignment horizontal="right" vertical="center" wrapText="1"/>
      <protection locked="0"/>
    </xf>
    <xf numFmtId="0" fontId="88" fillId="5" borderId="9" xfId="3" applyFont="1" applyFill="1" applyBorder="1" applyAlignment="1" applyProtection="1">
      <alignment horizontal="right" vertical="center" wrapText="1"/>
      <protection locked="0"/>
    </xf>
    <xf numFmtId="0" fontId="166" fillId="5" borderId="10" xfId="3" applyFont="1" applyFill="1" applyBorder="1" applyAlignment="1" applyProtection="1">
      <alignment horizontal="center" vertical="center"/>
    </xf>
    <xf numFmtId="0" fontId="166" fillId="5" borderId="3" xfId="3" applyFont="1" applyFill="1" applyBorder="1" applyAlignment="1" applyProtection="1">
      <alignment horizontal="center" vertical="center"/>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49" fontId="128" fillId="5" borderId="53" xfId="0" applyNumberFormat="1" applyFont="1" applyFill="1" applyBorder="1" applyAlignment="1" applyProtection="1">
      <alignment horizontal="center" vertical="center" wrapText="1"/>
    </xf>
    <xf numFmtId="49" fontId="128" fillId="5" borderId="24" xfId="0" applyNumberFormat="1" applyFont="1" applyFill="1" applyBorder="1" applyAlignment="1" applyProtection="1">
      <alignment horizontal="center" vertical="center" wrapText="1"/>
    </xf>
    <xf numFmtId="49" fontId="161" fillId="5" borderId="31" xfId="0" applyNumberFormat="1" applyFont="1" applyFill="1" applyBorder="1" applyAlignment="1" applyProtection="1">
      <alignment horizontal="center" vertical="center" wrapText="1"/>
    </xf>
    <xf numFmtId="49" fontId="161" fillId="5" borderId="23" xfId="0" applyNumberFormat="1" applyFont="1" applyFill="1" applyBorder="1" applyAlignment="1" applyProtection="1">
      <alignment horizontal="center" vertical="center" wrapText="1"/>
    </xf>
    <xf numFmtId="0" fontId="171" fillId="5" borderId="0" xfId="3" applyFont="1" applyFill="1" applyAlignment="1" applyProtection="1">
      <alignment horizontal="center" vertical="center"/>
    </xf>
    <xf numFmtId="0" fontId="166" fillId="5" borderId="2" xfId="3" applyFont="1" applyFill="1" applyBorder="1" applyAlignment="1" applyProtection="1">
      <alignment horizontal="center" vertical="center"/>
    </xf>
    <xf numFmtId="0" fontId="278" fillId="5" borderId="10" xfId="0" applyFont="1" applyFill="1" applyBorder="1" applyAlignment="1" applyProtection="1">
      <alignment vertical="center" wrapText="1"/>
    </xf>
    <xf numFmtId="0" fontId="278" fillId="5" borderId="3" xfId="0" applyFont="1" applyFill="1" applyBorder="1" applyAlignment="1" applyProtection="1">
      <alignment vertical="center" wrapText="1"/>
    </xf>
    <xf numFmtId="0" fontId="278" fillId="5" borderId="21" xfId="0" applyFont="1" applyFill="1" applyBorder="1" applyAlignment="1" applyProtection="1">
      <alignment vertical="center" wrapText="1"/>
    </xf>
    <xf numFmtId="0" fontId="202" fillId="5" borderId="0" xfId="3" applyFont="1" applyFill="1" applyAlignment="1" applyProtection="1">
      <alignment horizontal="center" vertical="center"/>
    </xf>
    <xf numFmtId="0" fontId="162" fillId="5" borderId="0" xfId="3" applyFont="1" applyFill="1" applyBorder="1" applyAlignment="1" applyProtection="1">
      <alignment horizontal="left" vertical="center"/>
    </xf>
    <xf numFmtId="0" fontId="168" fillId="5" borderId="1"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0" fontId="202" fillId="5" borderId="0" xfId="0" applyFont="1" applyFill="1" applyAlignment="1" applyProtection="1">
      <alignment horizontal="center" vertical="center"/>
    </xf>
    <xf numFmtId="0" fontId="124" fillId="5" borderId="0" xfId="0" applyFont="1" applyFill="1" applyAlignment="1" applyProtection="1">
      <alignment horizontal="left" vertical="center"/>
      <protection locked="0"/>
    </xf>
    <xf numFmtId="0" fontId="232" fillId="5" borderId="10" xfId="0" applyFont="1" applyFill="1" applyBorder="1" applyAlignment="1" applyProtection="1">
      <alignment vertical="top" wrapText="1"/>
    </xf>
    <xf numFmtId="0" fontId="232" fillId="5" borderId="18" xfId="0" applyFont="1" applyFill="1" applyBorder="1" applyAlignment="1" applyProtection="1">
      <alignment vertical="top" wrapText="1"/>
    </xf>
    <xf numFmtId="0" fontId="232" fillId="5" borderId="3" xfId="0" applyFont="1" applyFill="1" applyBorder="1" applyAlignment="1" applyProtection="1">
      <alignment vertical="top" wrapText="1"/>
    </xf>
    <xf numFmtId="0" fontId="232" fillId="5" borderId="21" xfId="0" applyFont="1" applyFill="1" applyBorder="1" applyAlignment="1" applyProtection="1">
      <alignment vertical="top" wrapText="1"/>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243" fillId="12" borderId="129" xfId="10" applyFont="1" applyFill="1" applyBorder="1" applyAlignment="1" applyProtection="1">
      <alignment horizontal="center" vertical="center" wrapText="1"/>
    </xf>
    <xf numFmtId="0" fontId="243" fillId="12" borderId="123" xfId="10" applyFont="1" applyFill="1" applyBorder="1" applyAlignment="1" applyProtection="1">
      <alignment horizontal="center" vertical="center" wrapText="1"/>
    </xf>
    <xf numFmtId="0" fontId="243" fillId="12" borderId="125" xfId="10" applyFont="1" applyFill="1" applyBorder="1" applyAlignment="1" applyProtection="1">
      <alignment horizontal="center" vertical="center" wrapText="1"/>
    </xf>
    <xf numFmtId="0" fontId="243" fillId="12" borderId="119" xfId="10" applyFont="1" applyFill="1" applyBorder="1" applyAlignment="1" applyProtection="1">
      <alignment horizontal="center" vertical="center" wrapText="1"/>
    </xf>
    <xf numFmtId="0" fontId="237" fillId="0" borderId="0" xfId="10" applyFont="1" applyAlignment="1">
      <alignment horizontal="center" vertical="center"/>
    </xf>
    <xf numFmtId="0" fontId="159" fillId="0" borderId="0" xfId="10" applyFont="1" applyAlignment="1">
      <alignment horizontal="center" vertical="center"/>
    </xf>
    <xf numFmtId="0" fontId="241" fillId="0" borderId="0" xfId="10" applyFont="1" applyAlignment="1">
      <alignment horizontal="center" vertical="center"/>
    </xf>
    <xf numFmtId="0" fontId="154" fillId="12" borderId="129" xfId="10" applyFont="1" applyFill="1" applyBorder="1" applyAlignment="1" applyProtection="1">
      <alignment horizontal="center" vertical="center" wrapText="1"/>
    </xf>
    <xf numFmtId="0" fontId="154" fillId="12" borderId="123" xfId="10" applyFont="1" applyFill="1" applyBorder="1" applyAlignment="1" applyProtection="1">
      <alignment horizontal="center" vertical="center" wrapText="1"/>
    </xf>
    <xf numFmtId="0" fontId="154" fillId="12" borderId="125" xfId="10" applyFont="1" applyFill="1" applyBorder="1" applyAlignment="1" applyProtection="1">
      <alignment horizontal="center" vertical="center"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5" borderId="64" xfId="0" applyFont="1" applyFill="1" applyBorder="1" applyAlignment="1">
      <alignment horizontal="left" vertical="center"/>
    </xf>
    <xf numFmtId="0" fontId="234" fillId="5" borderId="8" xfId="0" applyFont="1" applyFill="1" applyBorder="1" applyAlignment="1">
      <alignment horizontal="left" vertical="center"/>
    </xf>
    <xf numFmtId="0" fontId="234" fillId="5" borderId="9" xfId="0" applyFont="1" applyFill="1" applyBorder="1" applyAlignment="1">
      <alignment horizontal="left" vertical="center"/>
    </xf>
    <xf numFmtId="0" fontId="236" fillId="5" borderId="2" xfId="0" applyFont="1" applyFill="1" applyBorder="1" applyAlignment="1">
      <alignment horizontal="center" vertical="center"/>
    </xf>
    <xf numFmtId="0" fontId="236" fillId="5" borderId="12" xfId="0" applyFont="1" applyFill="1" applyBorder="1" applyAlignment="1">
      <alignment horizontal="center" vertical="center"/>
    </xf>
    <xf numFmtId="0" fontId="228" fillId="5" borderId="11" xfId="0" applyFont="1" applyFill="1" applyBorder="1" applyAlignment="1">
      <alignment horizontal="left" vertical="center" wrapText="1"/>
    </xf>
    <xf numFmtId="0" fontId="129" fillId="0" borderId="2" xfId="0" applyFont="1" applyFill="1" applyBorder="1" applyAlignment="1">
      <alignment horizontal="center" vertical="center"/>
    </xf>
    <xf numFmtId="0" fontId="228" fillId="0" borderId="2" xfId="0" applyFont="1" applyFill="1" applyBorder="1" applyAlignment="1">
      <alignment horizontal="center" vertical="center"/>
    </xf>
    <xf numFmtId="0" fontId="129" fillId="0" borderId="2" xfId="0" applyFont="1" applyBorder="1" applyAlignment="1"/>
    <xf numFmtId="0" fontId="228" fillId="5" borderId="2" xfId="0" applyFont="1" applyFill="1" applyBorder="1" applyAlignment="1">
      <alignment horizontal="left" vertical="center" wrapText="1"/>
    </xf>
    <xf numFmtId="0" fontId="237" fillId="5" borderId="81" xfId="0" applyFont="1" applyFill="1" applyBorder="1" applyAlignment="1">
      <alignment vertical="center"/>
    </xf>
    <xf numFmtId="0" fontId="237" fillId="5" borderId="14" xfId="0" applyFont="1" applyFill="1" applyBorder="1" applyAlignment="1">
      <alignment vertical="center"/>
    </xf>
    <xf numFmtId="0" fontId="237" fillId="5" borderId="32" xfId="0" applyFont="1" applyFill="1" applyBorder="1" applyAlignment="1">
      <alignment vertical="center"/>
    </xf>
    <xf numFmtId="0" fontId="237" fillId="5" borderId="54" xfId="0" applyFont="1" applyFill="1" applyBorder="1" applyAlignment="1">
      <alignment vertical="center"/>
    </xf>
    <xf numFmtId="0" fontId="237" fillId="5" borderId="61" xfId="0" applyFont="1" applyFill="1" applyBorder="1" applyAlignment="1">
      <alignment vertical="center"/>
    </xf>
    <xf numFmtId="0" fontId="237" fillId="5" borderId="67" xfId="0" applyFont="1" applyFill="1" applyBorder="1" applyAlignment="1">
      <alignment vertical="center"/>
    </xf>
    <xf numFmtId="0" fontId="228" fillId="11" borderId="2" xfId="0" applyFont="1" applyFill="1" applyBorder="1" applyAlignment="1">
      <alignment horizontal="center" vertical="center"/>
    </xf>
    <xf numFmtId="0" fontId="129" fillId="0" borderId="2" xfId="0" applyFont="1" applyBorder="1" applyAlignment="1">
      <alignment horizontal="center"/>
    </xf>
    <xf numFmtId="0" fontId="237" fillId="11" borderId="5" xfId="0" applyFont="1" applyFill="1" applyBorder="1" applyAlignment="1">
      <alignment horizontal="left" vertical="center"/>
    </xf>
    <xf numFmtId="0" fontId="237" fillId="11" borderId="8" xfId="0" applyFont="1" applyFill="1" applyBorder="1" applyAlignment="1">
      <alignment horizontal="left" vertical="center"/>
    </xf>
    <xf numFmtId="0" fontId="237" fillId="11" borderId="9" xfId="0" applyFont="1" applyFill="1" applyBorder="1" applyAlignment="1">
      <alignment horizontal="left" vertical="center"/>
    </xf>
    <xf numFmtId="0" fontId="85" fillId="5" borderId="2"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0" fontId="86" fillId="5" borderId="21" xfId="0" applyFont="1" applyFill="1" applyBorder="1" applyAlignment="1" applyProtection="1">
      <alignment horizontal="center" vertical="center" textRotation="255" wrapText="1"/>
    </xf>
    <xf numFmtId="0" fontId="86" fillId="5" borderId="8" xfId="0" applyFont="1" applyFill="1" applyBorder="1" applyAlignment="1" applyProtection="1">
      <alignment horizontal="center" vertical="center" wrapText="1"/>
    </xf>
    <xf numFmtId="0" fontId="86" fillId="5" borderId="14" xfId="0" applyFont="1" applyFill="1" applyBorder="1" applyAlignment="1" applyProtection="1">
      <alignment horizontal="center" vertical="center" wrapText="1"/>
    </xf>
    <xf numFmtId="0" fontId="86" fillId="5" borderId="0" xfId="0" applyFont="1" applyFill="1" applyBorder="1" applyAlignment="1" applyProtection="1">
      <alignment horizontal="center" vertical="center" wrapText="1"/>
    </xf>
    <xf numFmtId="0" fontId="86" fillId="5" borderId="19"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68" xfId="0" applyFont="1" applyFill="1" applyBorder="1" applyAlignment="1" applyProtection="1">
      <alignment horizontal="center" vertical="center"/>
      <protection locked="0"/>
    </xf>
    <xf numFmtId="0" fontId="78" fillId="5" borderId="61" xfId="0" applyFont="1" applyFill="1" applyBorder="1" applyAlignment="1" applyProtection="1">
      <alignment horizontal="center" vertical="center"/>
      <protection locked="0"/>
    </xf>
    <xf numFmtId="0" fontId="78" fillId="5" borderId="67" xfId="0" applyFont="1" applyFill="1" applyBorder="1" applyAlignment="1" applyProtection="1">
      <alignment horizontal="center" vertical="center"/>
      <protection locked="0"/>
    </xf>
    <xf numFmtId="0" fontId="147" fillId="0" borderId="5" xfId="0" applyFont="1" applyBorder="1" applyAlignment="1">
      <alignment horizontal="center" vertical="center"/>
    </xf>
    <xf numFmtId="0" fontId="147" fillId="0" borderId="9" xfId="0" applyFont="1" applyBorder="1" applyAlignment="1">
      <alignment horizontal="center" vertical="center"/>
    </xf>
    <xf numFmtId="0" fontId="0" fillId="8" borderId="2" xfId="0" applyFill="1" applyBorder="1" applyAlignment="1">
      <alignment horizontal="center" vertical="center"/>
    </xf>
    <xf numFmtId="0" fontId="147" fillId="0" borderId="2" xfId="0" applyFont="1" applyBorder="1" applyAlignment="1">
      <alignment horizontal="center" vertical="center"/>
    </xf>
    <xf numFmtId="0" fontId="0" fillId="0" borderId="2" xfId="0" applyBorder="1" applyAlignment="1">
      <alignment horizontal="center" vertical="center"/>
    </xf>
    <xf numFmtId="0" fontId="148" fillId="18" borderId="2" xfId="0" applyFont="1" applyFill="1" applyBorder="1" applyAlignment="1">
      <alignment horizontal="center" vertical="center"/>
    </xf>
    <xf numFmtId="0" fontId="147" fillId="0" borderId="2" xfId="0" applyFont="1" applyFill="1" applyBorder="1" applyAlignment="1">
      <alignment horizontal="center" vertical="center"/>
    </xf>
    <xf numFmtId="2" fontId="0" fillId="0" borderId="2" xfId="0" applyNumberFormat="1" applyBorder="1" applyAlignment="1">
      <alignment horizontal="center" vertical="center"/>
    </xf>
    <xf numFmtId="0" fontId="175" fillId="19" borderId="35" xfId="1" applyFont="1" applyFill="1" applyBorder="1" applyAlignment="1">
      <alignment horizontal="center" vertical="center" wrapText="1"/>
    </xf>
    <xf numFmtId="0" fontId="175" fillId="19" borderId="153" xfId="1" applyFont="1" applyFill="1" applyBorder="1" applyAlignment="1">
      <alignment horizontal="center" vertical="center" wrapText="1"/>
    </xf>
    <xf numFmtId="0" fontId="280" fillId="19" borderId="35" xfId="1" applyFont="1" applyFill="1" applyBorder="1" applyAlignment="1">
      <alignment horizontal="center" vertical="center" wrapText="1"/>
    </xf>
    <xf numFmtId="49" fontId="175" fillId="19" borderId="35" xfId="1" applyNumberFormat="1" applyFont="1" applyFill="1" applyBorder="1" applyAlignment="1">
      <alignment horizontal="center" vertical="center" wrapText="1"/>
    </xf>
    <xf numFmtId="49" fontId="175" fillId="19" borderId="153" xfId="1" applyNumberFormat="1" applyFont="1" applyFill="1" applyBorder="1" applyAlignment="1">
      <alignment horizontal="center" vertical="center" wrapText="1"/>
    </xf>
    <xf numFmtId="0" fontId="254" fillId="0" borderId="10" xfId="1" applyFont="1" applyBorder="1" applyAlignment="1">
      <alignment horizontal="center" vertical="center"/>
    </xf>
    <xf numFmtId="0" fontId="254" fillId="0" borderId="3" xfId="1" applyFont="1" applyBorder="1" applyAlignment="1">
      <alignment horizontal="center" vertical="center"/>
    </xf>
    <xf numFmtId="0" fontId="254" fillId="0" borderId="21" xfId="1" applyFont="1" applyBorder="1" applyAlignment="1">
      <alignment horizontal="center" vertical="center"/>
    </xf>
  </cellXfs>
  <cellStyles count="20">
    <cellStyle name="百分比 2" xfId="11"/>
    <cellStyle name="常规" xfId="0" builtinId="0"/>
    <cellStyle name="常规 10" xfId="15"/>
    <cellStyle name="常规 11"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7"/>
    <cellStyle name="常规 8 2" xfId="19"/>
    <cellStyle name="常规 9" xfId="14"/>
    <cellStyle name="超链接 2" xfId="18"/>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5</xdr:col>
      <xdr:colOff>523175</xdr:colOff>
      <xdr:row>55</xdr:row>
      <xdr:rowOff>28100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695950"/>
          <a:ext cx="5600000" cy="3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1-0365%20&#21271;&#20140;&#24066;&#28023;&#28096;&#21306;&#35199;&#19977;&#26071;&#24314;&#26448;&#22478;&#20013;&#36335;2&#21495;/2018-1-0365-F03SGCB%20&#25972;&#20307;&#35843;&#25972;&#20215;&#20540;/&#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18-1-0365%20&#21271;&#20140;&#24066;&#28023;&#28096;&#21306;&#35199;&#19977;&#26071;&#24314;&#26448;&#22478;&#20013;&#36335;2&#21495;/2018-1-0365-F01SGCB/&#25991;&#20214;/&#12304;&#27979;&#31639;&#12305;2016-1-E-3-123%20&#21271;&#20140;&#24066;&#24310;&#24198;&#21439;&#24247;&#24196;&#38215;&#35199;&#26705;&#22253;&#26449;&#21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18-1-0365%20&#21271;&#20140;&#24066;&#28023;&#28096;&#21306;&#35199;&#19977;&#26071;&#24314;&#26448;&#22478;&#20013;&#36335;2&#21495;/2018-1-0365-F03SGCB%20&#25972;&#20307;&#35843;&#25972;&#20215;&#20540;/&#27979;&#31639;&#65288;8-2&#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37;&#20316;&#3180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v>0</v>
          </cell>
        </row>
        <row r="15">
          <cell r="D15" t="str">
            <v>杨红英</v>
          </cell>
        </row>
        <row r="16">
          <cell r="D16" t="str">
            <v>刘梅</v>
          </cell>
        </row>
        <row r="17">
          <cell r="D17">
            <v>0</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不动产收益法平</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不动产收益法2</v>
          </cell>
        </row>
        <row r="21">
          <cell r="A21" t="str">
            <v>戊类库房</v>
          </cell>
          <cell r="B21" t="str">
            <v>不动产收益法3</v>
          </cell>
        </row>
        <row r="22">
          <cell r="A22" t="str">
            <v>燃品库房</v>
          </cell>
          <cell r="B22" t="str">
            <v>不动产收益法4</v>
          </cell>
        </row>
        <row r="23">
          <cell r="A23" t="str">
            <v>非燃品库房</v>
          </cell>
          <cell r="B23" t="str">
            <v>不动产收益法5</v>
          </cell>
        </row>
        <row r="24">
          <cell r="A24" t="str">
            <v>——</v>
          </cell>
          <cell r="B24" t="str">
            <v>不动产收益法6</v>
          </cell>
        </row>
        <row r="25">
          <cell r="A25" t="str">
            <v>限价商品房</v>
          </cell>
          <cell r="B25" t="str">
            <v>*</v>
          </cell>
        </row>
        <row r="26">
          <cell r="A26" t="str">
            <v>自住商品房</v>
          </cell>
          <cell r="B26" t="str">
            <v>*</v>
          </cell>
        </row>
        <row r="27">
          <cell r="A27" t="str">
            <v>平房</v>
          </cell>
          <cell r="B27" t="str">
            <v>*</v>
          </cell>
        </row>
        <row r="28">
          <cell r="A28" t="str">
            <v>2层</v>
          </cell>
          <cell r="B28" t="str">
            <v>*</v>
          </cell>
        </row>
        <row r="29">
          <cell r="A29" t="str">
            <v>4层</v>
          </cell>
          <cell r="B29" t="str">
            <v>*</v>
          </cell>
        </row>
        <row r="30">
          <cell r="A30" t="str">
            <v>5层</v>
          </cell>
          <cell r="B30" t="str">
            <v>*</v>
          </cell>
        </row>
        <row r="31">
          <cell r="A31" t="str">
            <v>3层</v>
          </cell>
          <cell r="B31" t="str">
            <v>*</v>
          </cell>
        </row>
        <row r="32">
          <cell r="A32" t="str">
            <v>6层</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平房</v>
          </cell>
        </row>
        <row r="20">
          <cell r="C20" t="str">
            <v>2层</v>
          </cell>
        </row>
        <row r="21">
          <cell r="C21" t="str">
            <v>3层</v>
          </cell>
        </row>
        <row r="22">
          <cell r="C22" t="str">
            <v>4层</v>
          </cell>
        </row>
        <row r="23">
          <cell r="C23" t="str">
            <v>5层</v>
          </cell>
        </row>
        <row r="24">
          <cell r="C24" t="str">
            <v>6层</v>
          </cell>
        </row>
        <row r="25">
          <cell r="C25" t="str">
            <v>地下</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0"/>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72">
          <cell r="B72" t="str">
            <v>用途</v>
          </cell>
          <cell r="C72" t="str">
            <v>工业</v>
          </cell>
          <cell r="D72" t="str">
            <v>仓储</v>
          </cell>
          <cell r="E72">
            <v>0</v>
          </cell>
          <cell r="F72">
            <v>0</v>
          </cell>
          <cell r="G72">
            <v>0</v>
          </cell>
          <cell r="H72">
            <v>0</v>
          </cell>
          <cell r="I72">
            <v>0</v>
          </cell>
          <cell r="J72">
            <v>0</v>
          </cell>
          <cell r="K72">
            <v>0</v>
          </cell>
          <cell r="L72">
            <v>0</v>
          </cell>
          <cell r="M72">
            <v>0</v>
          </cell>
        </row>
        <row r="99">
          <cell r="B99" t="str">
            <v>毗邻道路的类型与等级</v>
          </cell>
          <cell r="C99" t="str">
            <v>城市快速路</v>
          </cell>
          <cell r="D99" t="str">
            <v>主</v>
          </cell>
          <cell r="E99" t="str">
            <v>次</v>
          </cell>
          <cell r="F99" t="str">
            <v>支</v>
          </cell>
          <cell r="G99">
            <v>0</v>
          </cell>
          <cell r="H99">
            <v>0</v>
          </cell>
          <cell r="I99">
            <v>0</v>
          </cell>
          <cell r="J99">
            <v>0</v>
          </cell>
          <cell r="K99">
            <v>0</v>
          </cell>
          <cell r="L99">
            <v>0</v>
          </cell>
          <cell r="M99">
            <v>0</v>
          </cell>
        </row>
        <row r="101">
          <cell r="B101" t="str">
            <v>土地级别</v>
          </cell>
          <cell r="C101" t="str">
            <v>六级</v>
          </cell>
          <cell r="D101" t="str">
            <v>八级</v>
          </cell>
          <cell r="E101">
            <v>0</v>
          </cell>
          <cell r="F101">
            <v>0</v>
          </cell>
          <cell r="G101">
            <v>0</v>
          </cell>
          <cell r="H101">
            <v>0</v>
          </cell>
          <cell r="I101">
            <v>0</v>
          </cell>
          <cell r="J101">
            <v>0</v>
          </cell>
          <cell r="K101">
            <v>0</v>
          </cell>
          <cell r="L101">
            <v>0</v>
          </cell>
          <cell r="M101">
            <v>0</v>
          </cell>
        </row>
        <row r="112">
          <cell r="B112" t="str">
            <v>宗地形状</v>
          </cell>
          <cell r="C112" t="str">
            <v>较规则</v>
          </cell>
          <cell r="D112">
            <v>0</v>
          </cell>
          <cell r="E112">
            <v>0</v>
          </cell>
          <cell r="F112">
            <v>0</v>
          </cell>
          <cell r="G112">
            <v>0</v>
          </cell>
          <cell r="H112">
            <v>0</v>
          </cell>
          <cell r="I112">
            <v>0</v>
          </cell>
          <cell r="J112">
            <v>0</v>
          </cell>
          <cell r="K112">
            <v>0</v>
          </cell>
          <cell r="L112">
            <v>0</v>
          </cell>
          <cell r="M112">
            <v>0</v>
          </cell>
        </row>
        <row r="114">
          <cell r="B114" t="str">
            <v>宗地开发程度</v>
          </cell>
          <cell r="C114" t="str">
            <v>七通</v>
          </cell>
          <cell r="D114" t="str">
            <v>六通</v>
          </cell>
          <cell r="E114" t="str">
            <v>五通</v>
          </cell>
          <cell r="F114" t="str">
            <v>四通</v>
          </cell>
          <cell r="G114" t="str">
            <v>三通</v>
          </cell>
          <cell r="H114">
            <v>0</v>
          </cell>
          <cell r="I114">
            <v>0</v>
          </cell>
          <cell r="J114">
            <v>0</v>
          </cell>
          <cell r="K114">
            <v>0</v>
          </cell>
          <cell r="L114">
            <v>0</v>
          </cell>
          <cell r="M114">
            <v>0</v>
          </cell>
        </row>
        <row r="116">
          <cell r="B116" t="str">
            <v>工程地质条件</v>
          </cell>
          <cell r="C116" t="str">
            <v>自然平整</v>
          </cell>
          <cell r="D116">
            <v>0</v>
          </cell>
          <cell r="E116">
            <v>0</v>
          </cell>
          <cell r="F116">
            <v>0</v>
          </cell>
          <cell r="G116">
            <v>0</v>
          </cell>
          <cell r="H116">
            <v>0</v>
          </cell>
          <cell r="I116">
            <v>0</v>
          </cell>
          <cell r="J116">
            <v>0</v>
          </cell>
          <cell r="K116">
            <v>0</v>
          </cell>
          <cell r="L116">
            <v>0</v>
          </cell>
          <cell r="M116">
            <v>0</v>
          </cell>
        </row>
      </sheetData>
      <sheetData sheetId="38"/>
      <sheetData sheetId="39"/>
      <sheetData sheetId="4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2">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43">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4">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5">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6">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结果汇总"/>
      <sheetName val="停产停业及搬迁"/>
      <sheetName val="附属物清单"/>
      <sheetName val="附属物-树木"/>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26" sqref="A26:C2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2659</v>
      </c>
      <c r="B1" s="2893" t="s">
        <v>2756</v>
      </c>
    </row>
    <row r="2" spans="1:55" s="2897" customFormat="1" ht="15" thickTop="1">
      <c r="A2" s="2895" t="s">
        <v>2663</v>
      </c>
      <c r="B2" s="2896" t="str">
        <f>'预评函-封皮'!B37</f>
        <v>北京市通州区马驹桥镇金桥科技产业基地出让国有建设用地使用权市场价格预评估</v>
      </c>
      <c r="AX2" s="2898"/>
      <c r="AZ2" s="2898"/>
      <c r="BA2" s="2899"/>
      <c r="BC2" s="2899"/>
    </row>
    <row r="3" spans="1:55" s="2900" customFormat="1">
      <c r="A3" s="2879" t="s">
        <v>2664</v>
      </c>
      <c r="B3" s="2882" t="str">
        <f>'预评函-封皮'!B40</f>
        <v>北京捷宸阳光科技发展有限公司</v>
      </c>
    </row>
    <row r="4" spans="1:55" s="2881" customFormat="1">
      <c r="A4" s="2879" t="s">
        <v>2665</v>
      </c>
      <c r="B4" s="2880" t="str">
        <f>'预评函-封皮'!B46</f>
        <v>陈颖、叶凌</v>
      </c>
      <c r="N4" s="2881" t="str">
        <f>'预评函-1'!A28</f>
        <v>——</v>
      </c>
    </row>
    <row r="5" spans="1:55" s="2894" customFormat="1" ht="15" thickBot="1">
      <c r="A5" s="2901" t="s">
        <v>2666</v>
      </c>
      <c r="B5" s="2902" t="str">
        <f>'预评函-封皮'!B49</f>
        <v>康正预评字号</v>
      </c>
    </row>
    <row r="6" spans="1:55" s="2903" customFormat="1" ht="15" thickTop="1">
      <c r="A6" s="2895" t="s">
        <v>2708</v>
      </c>
      <c r="B6" s="2896" t="str">
        <f>'预评函-1'!A4</f>
        <v>受贵公司委托，我公司对北京市通州区马驹桥镇金桥科技产业基地出让国有建设用地使用权市场价格进行了预评估。</v>
      </c>
      <c r="AM6" s="2904"/>
    </row>
    <row r="7" spans="1:55" s="2878" customFormat="1">
      <c r="A7" s="2879" t="s">
        <v>2660</v>
      </c>
      <c r="B7" s="2880" t="str">
        <f>'预评函-1'!A6</f>
        <v>估价对象为使用的、位于北京市通州区马驹桥镇金桥科技产业基地出让国有建设用地使用权。根据《国有土地使用证》[]，估价对象（分摊）出让国有建设用地使用权面积为86802.49平方米。根据《建设工程规划许可证》[]、《出让合同》[]，估价对象规划建筑面积为80808平方米。</v>
      </c>
    </row>
    <row r="8" spans="1:55" s="2878" customFormat="1">
      <c r="A8" s="2879" t="s">
        <v>2661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2711</v>
      </c>
      <c r="B9" s="2880" t="str">
        <f>'预评函-1'!A9</f>
        <v>本次评估为委托估价方了解标的物之市场价格提供参考依据而评估出让国有建设用地使用权市场价格。</v>
      </c>
    </row>
    <row r="10" spans="1:55" s="2878" customFormat="1">
      <c r="A10" s="2879" t="s">
        <v>2662</v>
      </c>
      <c r="B10" s="2880" t="str">
        <f>'预评函-1'!A11</f>
        <v>2018年7月9日</v>
      </c>
    </row>
    <row r="11" spans="1:55" s="2878" customFormat="1">
      <c r="A11" s="2879" t="s">
        <v>2668</v>
      </c>
      <c r="B11" s="2880" t="str">
        <f>'预评函-1'!A14</f>
        <v>根据《国有土地使用证》[]，本次评估估价对象证载（地类）用途为工业。</v>
      </c>
    </row>
    <row r="12" spans="1:55" s="2878" customFormat="1">
      <c r="A12" s="2879" t="s">
        <v>2669</v>
      </c>
      <c r="B12" s="2880" t="str">
        <f>'预评函-1'!A15</f>
        <v>本次评估设定用途即为证载用途。</v>
      </c>
    </row>
    <row r="13" spans="1:55" s="2878" customFormat="1">
      <c r="A13" s="2879" t="s">
        <v>2670</v>
      </c>
      <c r="B13" s="2880" t="str">
        <f>'预评函-1'!A17</f>
        <v>根据委托估价方介绍及评估专业人员现场勘查，本次评估估价对象实际土地开发程度为红线外市政基础设施达“六通”（即通路、通电、通讯、通上水、通下水、燃气）、宗地红线内场地平整。</v>
      </c>
    </row>
    <row r="14" spans="1:55" s="2878" customFormat="1">
      <c r="A14" s="2879" t="s">
        <v>2671</v>
      </c>
      <c r="B14" s="2880" t="str">
        <f>'预评函-1'!A18</f>
        <v>。本次评估设定土地开发程度为红线外市政基础设施达“六通”、宗地红线内场地平整。</v>
      </c>
    </row>
    <row r="15" spans="1:55" s="2878" customFormat="1">
      <c r="A15" s="2879" t="s">
        <v>2667</v>
      </c>
      <c r="B15" s="2880" t="str">
        <f>'预评函-1'!A20</f>
        <v>根据《国有土地使用证》[]，估价对象（分摊）出让国有建设用地使用权面积为86802.49平方米。根据《建设工程规划许可证》[]、《出让合同》[]，估价对象规划建筑面积为80808平方米。</v>
      </c>
    </row>
    <row r="16" spans="1:55" s="2878" customFormat="1">
      <c r="A16" s="2879" t="s">
        <v>2672</v>
      </c>
      <c r="B16" s="288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2058年8月29日。截至估价期日，出让国有建设用地使用权剩余土地使用年限为。</v>
      </c>
    </row>
    <row r="17" spans="1:48" s="2878" customFormat="1">
      <c r="A17" s="2879" t="s">
        <v>2673</v>
      </c>
      <c r="B17" s="2880" t="str">
        <f>'预评函-1'!A23</f>
        <v>本次评估设定估价对象剩余土地使用年限为。</v>
      </c>
    </row>
    <row r="18" spans="1:48" s="2878" customFormat="1">
      <c r="A18" s="2879" t="s">
        <v>2674</v>
      </c>
      <c r="B18" s="2880" t="str">
        <f>'预评函-1'!A25</f>
        <v>本次估价的“出让国有建设用地使用权价格”是指在估价对象土地所有权为国家所有，使用权性质为出让，在公开市场条件下、于估价期日2018年7月9日，在规划利用条件下、设定土地开发程度为红线外“六通”、宗地内场地，设定用途为，剩余土地使用年限为的出让国有建设用地使用权价格。</v>
      </c>
    </row>
    <row r="19" spans="1:48" s="2878" customFormat="1">
      <c r="A19" s="2879" t="s">
        <v>2675</v>
      </c>
      <c r="B19" s="2880" t="str">
        <f>'预评函-1'!A26</f>
        <v>——</v>
      </c>
    </row>
    <row r="20" spans="1:48" s="2878" customFormat="1">
      <c r="A20" s="2879" t="s">
        <v>2676</v>
      </c>
      <c r="B20" s="2880" t="str">
        <f>'预评函-1'!A27</f>
        <v>——</v>
      </c>
    </row>
    <row r="21" spans="1:48" s="2894" customFormat="1" ht="15" thickBot="1">
      <c r="A21" s="2901" t="s">
        <v>2677</v>
      </c>
      <c r="B21" s="2902" t="str">
        <f>'预评函-1'!A28</f>
        <v>——</v>
      </c>
    </row>
    <row r="22" spans="1:48" ht="15" thickTop="1">
      <c r="A22" s="2890" t="s">
        <v>2678</v>
      </c>
      <c r="B22" s="2891"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23" spans="1:48">
      <c r="A23" s="2879" t="s">
        <v>2679</v>
      </c>
      <c r="B23" s="2880" t="str">
        <f>'预评函-2'!K2</f>
        <v>估价期日：2018年7月9日</v>
      </c>
    </row>
    <row r="24" spans="1:48">
      <c r="A24" s="2879" t="s">
        <v>2680</v>
      </c>
      <c r="B24" s="2880" t="str">
        <f>'预评函-2'!R2</f>
        <v>估价期日的国有建设用地使用权性质：出让</v>
      </c>
    </row>
    <row r="25" spans="1:48">
      <c r="A25" s="2879" t="s">
        <v>2736</v>
      </c>
      <c r="B25" s="2880" t="str">
        <f>'预评函-2'!A3</f>
        <v>估价期日土地使用者</v>
      </c>
    </row>
    <row r="26" spans="1:48">
      <c r="A26" s="2879" t="s">
        <v>2712</v>
      </c>
      <c r="B26" s="2880" t="str">
        <f>'预评函-2'!A5</f>
        <v>中信开发</v>
      </c>
    </row>
    <row r="27" spans="1:48">
      <c r="A27" s="2879" t="s">
        <v>2737</v>
      </c>
      <c r="B27" s="2880" t="str">
        <f>'预评函-2'!B3</f>
        <v>宗地编号/不动产单元号</v>
      </c>
    </row>
    <row r="28" spans="1:48">
      <c r="A28" s="2879" t="s">
        <v>2713</v>
      </c>
      <c r="B28" s="2880" t="str">
        <f>'预评函-2'!B5</f>
        <v>11111111111</v>
      </c>
    </row>
    <row r="29" spans="1:48">
      <c r="A29" s="2879" t="s">
        <v>2739</v>
      </c>
      <c r="B29" s="2880">
        <f>'预评函-2'!C5</f>
        <v>22</v>
      </c>
    </row>
    <row r="30" spans="1:48">
      <c r="A30" s="2879" t="s">
        <v>2740</v>
      </c>
      <c r="B30" s="2880" t="str">
        <f>'预评函-2'!D3</f>
        <v>土地使用证编号/不动产权证书编号</v>
      </c>
    </row>
    <row r="31" spans="1:48">
      <c r="A31" s="2879" t="s">
        <v>2714</v>
      </c>
      <c r="B31" s="2880" t="str">
        <f>'预评函-2'!D5</f>
        <v>京国土字第111号</v>
      </c>
    </row>
    <row r="32" spans="1:48">
      <c r="A32" s="2879" t="s">
        <v>2715</v>
      </c>
      <c r="B32" s="2880" t="str">
        <f>'预评函-2'!E5</f>
        <v>工业</v>
      </c>
      <c r="AV32" s="2884"/>
    </row>
    <row r="33" spans="1:2">
      <c r="A33" s="2879" t="s">
        <v>2716</v>
      </c>
      <c r="B33" s="2880">
        <f>'预评函-2'!F5</f>
        <v>258</v>
      </c>
    </row>
    <row r="34" spans="1:2">
      <c r="A34" s="2879" t="s">
        <v>2717</v>
      </c>
      <c r="B34" s="2880">
        <f>'预评函-2'!G5</f>
        <v>0</v>
      </c>
    </row>
    <row r="35" spans="1:2">
      <c r="A35" s="2879" t="s">
        <v>2718</v>
      </c>
      <c r="B35" s="2880">
        <f>'预评函-2'!H5</f>
        <v>1.5</v>
      </c>
    </row>
    <row r="36" spans="1:2">
      <c r="A36" s="2879" t="s">
        <v>2719</v>
      </c>
      <c r="B36" s="2880">
        <f>'预评函-2'!I5</f>
        <v>1.5</v>
      </c>
    </row>
    <row r="37" spans="1:2">
      <c r="A37" s="2879" t="s">
        <v>2720</v>
      </c>
      <c r="B37" s="2880">
        <f>'预评函-2'!J5</f>
        <v>1.5</v>
      </c>
    </row>
    <row r="38" spans="1:2">
      <c r="A38" s="2879" t="s">
        <v>2721</v>
      </c>
      <c r="B38" s="2880" t="str">
        <f>'预评函-2'!K5</f>
        <v>红线外六通、宗地红线内</v>
      </c>
    </row>
    <row r="39" spans="1:2">
      <c r="A39" s="2879" t="s">
        <v>2722</v>
      </c>
      <c r="B39" s="2880" t="str">
        <f>'预评函-2'!L5</f>
        <v>红线外六通、宗地红线内场地</v>
      </c>
    </row>
    <row r="40" spans="1:2">
      <c r="A40" s="2879" t="s">
        <v>2741</v>
      </c>
      <c r="B40" s="2880" t="str">
        <f>'预评函-2'!M3</f>
        <v>（剩余）土地使用年限/年</v>
      </c>
    </row>
    <row r="41" spans="1:2">
      <c r="A41" s="2879" t="s">
        <v>2723</v>
      </c>
      <c r="B41" s="2880">
        <f>'预评函-2'!M5</f>
        <v>0</v>
      </c>
    </row>
    <row r="42" spans="1:2">
      <c r="A42" s="2879" t="s">
        <v>2742</v>
      </c>
      <c r="B42" s="2880" t="str">
        <f>'预评函-2'!N3</f>
        <v>（分摊）出让国有建设用地使用权面积/㎡</v>
      </c>
    </row>
    <row r="43" spans="1:2">
      <c r="A43" s="2879" t="s">
        <v>2724</v>
      </c>
      <c r="B43" s="2880">
        <f>'预评函-2'!N5</f>
        <v>86802.49</v>
      </c>
    </row>
    <row r="44" spans="1:2">
      <c r="A44" s="2879" t="s">
        <v>2743</v>
      </c>
      <c r="B44" s="2880" t="str">
        <f>'预评函-2'!O3</f>
        <v>规划建筑面积/㎡</v>
      </c>
    </row>
    <row r="45" spans="1:2">
      <c r="A45" s="2879" t="s">
        <v>2725</v>
      </c>
      <c r="B45" s="2880">
        <f>'预评函-2'!O5</f>
        <v>80808</v>
      </c>
    </row>
    <row r="46" spans="1:2">
      <c r="A46" s="2879" t="s">
        <v>2726</v>
      </c>
      <c r="B46" s="2880">
        <f ca="1">'预评函-2'!P5</f>
        <v>1390</v>
      </c>
    </row>
    <row r="47" spans="1:2">
      <c r="A47" s="2879" t="s">
        <v>2727</v>
      </c>
      <c r="B47" s="2880">
        <f ca="1">'预评函-2'!Q5</f>
        <v>1493</v>
      </c>
    </row>
    <row r="48" spans="1:2">
      <c r="A48" s="2879" t="s">
        <v>2728</v>
      </c>
      <c r="B48" s="2880">
        <f ca="1">'预评函-2'!R5</f>
        <v>12064</v>
      </c>
    </row>
    <row r="49" spans="1:2">
      <c r="A49" s="2879" t="s">
        <v>2744</v>
      </c>
      <c r="B49" s="2880" t="str">
        <f>'预评函-2'!A6</f>
        <v>——</v>
      </c>
    </row>
    <row r="50" spans="1:2">
      <c r="A50" s="2879" t="s">
        <v>2729</v>
      </c>
      <c r="B50" s="2880" t="str">
        <f>'预评函-2'!R6</f>
        <v>——</v>
      </c>
    </row>
    <row r="51" spans="1:2">
      <c r="A51" s="2879" t="s">
        <v>2745</v>
      </c>
      <c r="B51" s="2880" t="str">
        <f>'预评函-2'!A7</f>
        <v>——</v>
      </c>
    </row>
    <row r="52" spans="1:2">
      <c r="A52" s="2879" t="s">
        <v>2730</v>
      </c>
      <c r="B52" s="2880" t="str">
        <f>'预评函-2'!R7</f>
        <v>——</v>
      </c>
    </row>
    <row r="53" spans="1:2">
      <c r="A53" s="2879" t="s">
        <v>2746</v>
      </c>
      <c r="B53" s="2880" t="str">
        <f>'预评函-2'!A8</f>
        <v>——</v>
      </c>
    </row>
    <row r="54" spans="1:2" s="2894" customFormat="1" ht="15" thickBot="1">
      <c r="A54" s="2901" t="s">
        <v>2731</v>
      </c>
      <c r="B54" s="2902" t="str">
        <f>'预评函-2'!R8</f>
        <v>——</v>
      </c>
    </row>
    <row r="55" spans="1:2" ht="15" thickTop="1">
      <c r="A55" s="2890" t="s">
        <v>2681</v>
      </c>
      <c r="B55" s="2891" t="str">
        <f>'预评函-3'!A2</f>
        <v>1.权利限制：根据估价对象《不动产权证书》原件、《国有土地使用权》复印件，截至估价期日，估价对象抵押权未见登记。未设定租赁等其他他项权利。</v>
      </c>
    </row>
    <row r="56" spans="1:2">
      <c r="A56" s="2879" t="s">
        <v>2682</v>
      </c>
      <c r="B56" s="2880" t="str">
        <f>'预评函-3'!A3</f>
        <v>2.基础设施条件：估价对象实际开发程度为红线外六通、宗地红线内；本次评估设定开发程度为红线外六通、宗地红线内场地。</v>
      </c>
    </row>
    <row r="57" spans="1:2">
      <c r="A57" s="2879" t="s">
        <v>2683</v>
      </c>
      <c r="B57" s="2880" t="str">
        <f>'预评函-3'!A4</f>
        <v>3.估价规划限制条件：详见《建设工程规划许可证》[]、《出让合同》[]。</v>
      </c>
    </row>
    <row r="58" spans="1:2" s="2894" customFormat="1" ht="15" thickBot="1">
      <c r="A58" s="2901" t="s">
        <v>2732</v>
      </c>
      <c r="B58" s="2902" t="str">
        <f>'预评函-3'!A5</f>
        <v>4.影响价格的其他限定条件：无。</v>
      </c>
    </row>
    <row r="59" spans="1:2" ht="15" thickTop="1">
      <c r="A59" s="2890" t="s">
        <v>2684</v>
      </c>
      <c r="B59" s="2891" t="str">
        <f>'预评函-3'!A8</f>
        <v>2.本次评估设定估价对象宗地权属无争议，未被查封或者以其他形式限制其房地产权利，未设定抵押权等他项权利，不涉及第三方权利义务。</v>
      </c>
    </row>
    <row r="60" spans="1:2">
      <c r="A60" s="2879" t="s">
        <v>2685</v>
      </c>
      <c r="B60" s="2880" t="str">
        <f>'预评函-3'!A9</f>
        <v>——</v>
      </c>
    </row>
    <row r="61" spans="1:2">
      <c r="A61" s="2879" t="s">
        <v>2687</v>
      </c>
      <c r="B61" s="2880" t="str">
        <f>'预评函-3'!A10</f>
        <v>——</v>
      </c>
    </row>
    <row r="62" spans="1:2">
      <c r="A62" s="2879" t="s">
        <v>2686</v>
      </c>
      <c r="B62" s="2880" t="str">
        <f>'预评函-3'!A11</f>
        <v>——</v>
      </c>
    </row>
    <row r="63" spans="1:2">
      <c r="A63" s="2879" t="s">
        <v>2688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2689</v>
      </c>
      <c r="B64" s="2885" t="str">
        <f>'预评函-3'!A13</f>
        <v>（3）。</v>
      </c>
    </row>
    <row r="65" spans="1:2">
      <c r="A65" s="2879" t="s">
        <v>2690</v>
      </c>
      <c r="B65" s="2886" t="str">
        <f>'预评函-3'!A14</f>
        <v>——</v>
      </c>
    </row>
    <row r="66" spans="1:2">
      <c r="A66" s="2879" t="s">
        <v>2691</v>
      </c>
      <c r="B66" s="288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2692</v>
      </c>
      <c r="B67" s="288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2695</v>
      </c>
      <c r="B68" s="2905">
        <f>'预评函-3'!D30</f>
        <v>42558</v>
      </c>
    </row>
    <row r="69" spans="1:2" ht="15" thickTop="1">
      <c r="A69" s="2890" t="s">
        <v>2693</v>
      </c>
      <c r="B69" s="2891" t="str">
        <f>'预评函-3'!A20</f>
        <v>陈颖</v>
      </c>
    </row>
    <row r="70" spans="1:2">
      <c r="A70" s="2879" t="s">
        <v>2693</v>
      </c>
      <c r="B70" s="2886">
        <f ca="1">'预评函-3'!B20</f>
        <v>2004110096</v>
      </c>
    </row>
    <row r="71" spans="1:2">
      <c r="A71" s="2879" t="s">
        <v>2694</v>
      </c>
      <c r="B71" s="2880" t="str">
        <f>'预评函-3'!A21</f>
        <v>叶凌</v>
      </c>
    </row>
    <row r="72" spans="1:2" s="2894" customFormat="1" ht="15" thickBot="1">
      <c r="A72" s="2901" t="s">
        <v>2694</v>
      </c>
      <c r="B72" s="2907">
        <f ca="1">'预评函-3'!B21</f>
        <v>94010078</v>
      </c>
    </row>
    <row r="73" spans="1:2" ht="15" thickTop="1">
      <c r="A73" s="2890" t="s">
        <v>2753</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2754</v>
      </c>
      <c r="B74" s="2887" t="str">
        <f>'预评函-1 (储备)'!A18</f>
        <v>由于本次评估估价目的是评估储备国有建设用地使用权的“抵押价格”，因此本次评估设定土地开发程度为红线外市政基础设施达“六通”、宗地红线内场地平整。</v>
      </c>
    </row>
    <row r="75" spans="1:2" s="2894" customFormat="1" ht="15" thickBot="1">
      <c r="A75" s="2901" t="s">
        <v>2755</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2789</v>
      </c>
      <c r="B76" s="2889"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0" sqref="C30"/>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327" t="str">
        <f>IF(B10="北京市","北京市",C10)&amp;F10&amp;B16&amp;"国有建设用地使用权"&amp;B9&amp;"预评估"</f>
        <v>北京市通州区马驹桥镇金桥科技产业基地出让国有建设用地使用权市场价格预评估</v>
      </c>
      <c r="C1" s="3328"/>
      <c r="D1" s="3328"/>
      <c r="E1" s="3328"/>
      <c r="F1" s="3328"/>
      <c r="G1" s="3328"/>
      <c r="H1" s="3328"/>
      <c r="I1" s="3329"/>
      <c r="J1" s="1694"/>
      <c r="K1" s="2456" t="str">
        <f>IF(B10="北京市","北京市",C10)&amp;F10&amp;B16&amp;"国有建设用地使用权"&amp;B9</f>
        <v>北京市通州区马驹桥镇金桥科技产业基地出让国有建设用地使用权市场价格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北京市通州区马驹桥镇金桥科技产业基地出让国有建设用地使用权</v>
      </c>
      <c r="L2" s="1723"/>
      <c r="M2" s="1723"/>
      <c r="N2" s="1694"/>
      <c r="O2" s="1695"/>
      <c r="P2" s="1694"/>
      <c r="Q2" s="1694"/>
      <c r="R2" s="1694"/>
      <c r="S2" s="1694"/>
      <c r="T2" s="1694"/>
      <c r="U2" s="1694"/>
    </row>
    <row r="3" spans="1:21">
      <c r="A3" s="1661" t="s">
        <v>1942</v>
      </c>
      <c r="B3" s="1662"/>
      <c r="C3" s="1663" t="s">
        <v>1998</v>
      </c>
      <c r="D3" s="1662">
        <v>43290</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2983</v>
      </c>
      <c r="C4" s="1846">
        <f ca="1">SUMIF(土地估价师,B4,估价师及机构信息!E3:E24)</f>
        <v>2004110096</v>
      </c>
      <c r="D4" s="1843" t="s">
        <v>2984</v>
      </c>
      <c r="E4" s="1846">
        <f ca="1">SUMIF(土地估价师,D4,估价师及机构信息!E3:E24)</f>
        <v>94010078</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陈颖、叶凌</v>
      </c>
      <c r="L4" s="1723"/>
      <c r="M4" s="1723"/>
      <c r="N4" s="1694"/>
      <c r="O4" s="1695"/>
      <c r="P4" s="1694"/>
      <c r="Q4" s="1694"/>
      <c r="R4" s="1694"/>
      <c r="S4" s="1694"/>
      <c r="T4" s="1694"/>
      <c r="U4" s="1694"/>
    </row>
    <row r="5" spans="1:21" ht="15" thickTop="1">
      <c r="A5" s="1665" t="s">
        <v>1944</v>
      </c>
      <c r="B5" s="1789" t="s">
        <v>2985</v>
      </c>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2987</v>
      </c>
      <c r="C8" s="1671"/>
      <c r="D8" s="3333"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t="s">
        <v>2986</v>
      </c>
      <c r="C9" s="1675"/>
      <c r="D9" s="3334"/>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1948</v>
      </c>
      <c r="C10" s="1676"/>
      <c r="D10" s="1667"/>
      <c r="E10" s="1677" t="s">
        <v>1949</v>
      </c>
      <c r="F10" s="1678" t="s">
        <v>2988</v>
      </c>
      <c r="G10" s="1745"/>
      <c r="H10" s="1746"/>
      <c r="I10" s="1667"/>
      <c r="J10" s="1694"/>
      <c r="K10" s="1774"/>
      <c r="L10" s="1723"/>
      <c r="M10" s="1723"/>
      <c r="N10" s="1694"/>
      <c r="O10" s="1695"/>
      <c r="P10" s="1694"/>
      <c r="Q10" s="1694"/>
      <c r="R10" s="1694"/>
      <c r="S10" s="1694"/>
      <c r="T10" s="1694"/>
      <c r="U10" s="1694"/>
    </row>
    <row r="11" spans="1:21">
      <c r="A11" s="1697" t="s">
        <v>2003</v>
      </c>
      <c r="B11" s="1698" t="s">
        <v>2989</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330" t="s">
        <v>2990</v>
      </c>
      <c r="C12" s="3331"/>
      <c r="D12" s="3332"/>
      <c r="E12" s="1699" t="s">
        <v>2064</v>
      </c>
      <c r="F12" s="3348" t="s">
        <v>2891</v>
      </c>
      <c r="G12" s="3349"/>
      <c r="H12" s="3349"/>
      <c r="I12" s="3350"/>
      <c r="J12" s="1694"/>
      <c r="K12" s="1774"/>
      <c r="L12" s="1723"/>
      <c r="M12" s="1723"/>
      <c r="N12" s="1694"/>
      <c r="O12" s="1695"/>
      <c r="P12" s="1694"/>
      <c r="Q12" s="1694"/>
      <c r="R12" s="1694"/>
      <c r="S12" s="1694"/>
      <c r="T12" s="1694"/>
      <c r="U12" s="1694"/>
    </row>
    <row r="13" spans="1:21">
      <c r="A13" s="1687" t="s">
        <v>2062</v>
      </c>
      <c r="B13" s="3330"/>
      <c r="C13" s="3331"/>
      <c r="D13" s="3332"/>
      <c r="E13" s="1699" t="s">
        <v>2064</v>
      </c>
      <c r="F13" s="3348" t="s">
        <v>2892</v>
      </c>
      <c r="G13" s="3349"/>
      <c r="H13" s="3349"/>
      <c r="I13" s="3350"/>
      <c r="J13" s="1694"/>
      <c r="K13" s="1774"/>
      <c r="L13" s="1723"/>
      <c r="M13" s="1723"/>
      <c r="N13" s="1694"/>
      <c r="O13" s="1695"/>
      <c r="P13" s="1694"/>
      <c r="Q13" s="1694"/>
      <c r="R13" s="1694"/>
      <c r="S13" s="1694"/>
      <c r="T13" s="1694"/>
      <c r="U13" s="1694"/>
    </row>
    <row r="14" spans="1:21">
      <c r="A14" s="1661" t="s">
        <v>2065</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2991</v>
      </c>
      <c r="C16" s="1699" t="s">
        <v>1951</v>
      </c>
      <c r="D16" s="2647" t="s">
        <v>1952</v>
      </c>
      <c r="E16" s="1722"/>
      <c r="F16" s="1722"/>
      <c r="G16" s="1722"/>
      <c r="H16" s="1722"/>
      <c r="I16" s="1686" t="s">
        <v>1957</v>
      </c>
      <c r="J16" s="1694"/>
      <c r="K16" s="2457" t="str">
        <f>IF(D17="","",D16&amp;TEXT(D17,"yyyy年m月d日;;"))</f>
        <v/>
      </c>
      <c r="L16" s="1699" t="str">
        <f>IF(OR(K16="",M16=""),"","、")</f>
        <v/>
      </c>
      <c r="M16" s="2457" t="str">
        <f>IF(E17="","",E16&amp;TEXT(E17,"yyyy年m月d日;;"))</f>
        <v/>
      </c>
      <c r="N16" s="1699" t="str">
        <f>IF(OR(M16="",O16=""),"","、")</f>
        <v/>
      </c>
      <c r="O16" s="2457" t="str">
        <f>IF(F17="","",F16&amp;TEXT(F17,"yyyy年m月d日;;"))</f>
        <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工业2058年8月29日</v>
      </c>
    </row>
    <row r="17" spans="1:21">
      <c r="A17" s="1763"/>
      <c r="B17" s="1682"/>
      <c r="C17" s="1683" t="s">
        <v>1958</v>
      </c>
      <c r="D17" s="1700"/>
      <c r="E17" s="1700"/>
      <c r="F17" s="1700"/>
      <c r="G17" s="1700"/>
      <c r="H17" s="1700"/>
      <c r="I17" s="1700">
        <v>57951</v>
      </c>
      <c r="J17" s="1694"/>
      <c r="K17" s="2456" t="str">
        <f>CONCATENATE(K16,L16,M16,N16,O16,P16,Q16,R16,S16,T16,,U16)</f>
        <v>工业2058年8月29日</v>
      </c>
      <c r="L17" s="1723"/>
      <c r="M17" s="1723"/>
      <c r="N17" s="1694"/>
      <c r="O17" s="1695"/>
      <c r="P17" s="1694"/>
      <c r="Q17" s="1694"/>
      <c r="R17" s="1694"/>
      <c r="S17" s="1694"/>
      <c r="T17" s="1694"/>
      <c r="U17" s="1694"/>
    </row>
    <row r="18" spans="1:21">
      <c r="A18" s="1763"/>
      <c r="B18" s="1682"/>
      <c r="C18" s="1683" t="s">
        <v>1959</v>
      </c>
      <c r="D18" s="1684"/>
      <c r="E18" s="1684"/>
      <c r="F18" s="1684"/>
      <c r="G18" s="1684"/>
      <c r="H18" s="1684"/>
      <c r="I18" s="1684">
        <v>50</v>
      </c>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f>IF(B16="出让",IF(I17="","",ROUNDDOWN(MIN((I17-$D$3)/365,I18),2)),I18)</f>
        <v>40.159999999999997</v>
      </c>
      <c r="J19" s="1694"/>
      <c r="K19" s="1774"/>
      <c r="L19" s="1723"/>
      <c r="M19" s="1723"/>
      <c r="N19" s="1694"/>
      <c r="O19" s="1695"/>
      <c r="P19" s="1694"/>
      <c r="Q19" s="1694"/>
      <c r="R19" s="1694"/>
      <c r="S19" s="1694"/>
      <c r="T19" s="1694"/>
      <c r="U19" s="1694"/>
    </row>
    <row r="20" spans="1:21">
      <c r="A20" s="1786"/>
      <c r="B20" s="1787"/>
      <c r="C20" s="1788" t="s">
        <v>2063</v>
      </c>
      <c r="D20" s="3345"/>
      <c r="E20" s="3346"/>
      <c r="F20" s="3346"/>
      <c r="G20" s="3346"/>
      <c r="H20" s="3346"/>
      <c r="I20" s="3347"/>
      <c r="J20" s="1694"/>
      <c r="K20" s="1774"/>
      <c r="L20" s="1723"/>
      <c r="M20" s="1723"/>
      <c r="N20" s="1694"/>
      <c r="O20" s="1695"/>
      <c r="P20" s="1694"/>
      <c r="Q20" s="1694"/>
      <c r="R20" s="1694"/>
      <c r="S20" s="1694"/>
      <c r="T20" s="1694"/>
      <c r="U20" s="1694"/>
    </row>
    <row r="21" spans="1:21">
      <c r="A21" s="1763" t="s">
        <v>1961</v>
      </c>
      <c r="B21" s="1764" t="s">
        <v>1962</v>
      </c>
      <c r="C21" s="1759">
        <f>'数据-汇总表'!E3</f>
        <v>80808</v>
      </c>
      <c r="D21" s="1760" t="s">
        <v>1963</v>
      </c>
      <c r="E21" s="3335" t="s">
        <v>2001</v>
      </c>
      <c r="F21" s="3336"/>
      <c r="G21" s="3336"/>
      <c r="H21" s="3336"/>
      <c r="I21" s="3337"/>
      <c r="J21" s="1694"/>
      <c r="K21" s="1774"/>
      <c r="L21" s="1723"/>
      <c r="M21" s="1723"/>
      <c r="N21" s="1694"/>
      <c r="O21" s="1695"/>
      <c r="P21" s="1694"/>
      <c r="Q21" s="1694"/>
      <c r="R21" s="1694"/>
      <c r="S21" s="1694"/>
      <c r="T21" s="1694"/>
      <c r="U21" s="1694"/>
    </row>
    <row r="22" spans="1:21">
      <c r="A22" s="3147" t="s">
        <v>952</v>
      </c>
      <c r="B22" s="1661" t="s">
        <v>1964</v>
      </c>
      <c r="C22" s="1686">
        <f>'数据-汇总表'!D3</f>
        <v>86802.49</v>
      </c>
      <c r="D22" s="1687" t="s">
        <v>1963</v>
      </c>
      <c r="E22" s="3335" t="s">
        <v>2893</v>
      </c>
      <c r="F22" s="3336"/>
      <c r="G22" s="3336"/>
      <c r="H22" s="3336"/>
      <c r="I22" s="3337"/>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338" t="s">
        <v>1969</v>
      </c>
      <c r="C24" s="3339"/>
      <c r="D24" s="3340" t="s">
        <v>1970</v>
      </c>
      <c r="E24" s="3341"/>
      <c r="F24" s="1708" t="s">
        <v>1971</v>
      </c>
      <c r="G24" s="1694"/>
      <c r="H24" s="1694"/>
      <c r="I24" s="1707"/>
      <c r="J24" s="1694"/>
      <c r="K24" s="3326" t="s">
        <v>1972</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326"/>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326"/>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312" t="s">
        <v>2004</v>
      </c>
      <c r="B31" s="1764" t="s">
        <v>2005</v>
      </c>
      <c r="C31" s="3351" t="s">
        <v>2998</v>
      </c>
      <c r="D31" s="3352"/>
      <c r="E31" s="1694"/>
      <c r="F31" s="1694"/>
      <c r="G31" s="1694"/>
      <c r="H31" s="1694"/>
      <c r="I31" s="1707"/>
      <c r="J31" s="1694"/>
      <c r="K31" s="2459"/>
      <c r="L31" s="1694"/>
      <c r="M31" s="1694"/>
      <c r="N31" s="1694"/>
      <c r="O31" s="1694"/>
      <c r="P31" s="1694"/>
      <c r="Q31" s="1694"/>
      <c r="R31" s="1694"/>
      <c r="S31" s="1694"/>
      <c r="T31" s="1694"/>
      <c r="U31" s="1694"/>
    </row>
    <row r="32" spans="1:21">
      <c r="A32" s="3312"/>
      <c r="B32" s="1661" t="s">
        <v>2006</v>
      </c>
      <c r="C32" s="1719" t="s">
        <v>3006</v>
      </c>
      <c r="D32" s="1720"/>
      <c r="E32" s="1694"/>
      <c r="F32" s="1694"/>
      <c r="G32" s="1694"/>
      <c r="H32" s="1694"/>
      <c r="I32" s="1707"/>
      <c r="J32" s="1694"/>
      <c r="K32" s="2459"/>
      <c r="L32" s="1694"/>
      <c r="M32" s="1694"/>
      <c r="N32" s="1694"/>
      <c r="O32" s="1694"/>
      <c r="P32" s="1694"/>
      <c r="Q32" s="1694"/>
      <c r="R32" s="1694"/>
      <c r="S32" s="1694"/>
      <c r="T32" s="1694"/>
      <c r="U32" s="1694"/>
    </row>
    <row r="33" spans="1:21">
      <c r="A33" s="3312"/>
      <c r="B33" s="1661" t="s">
        <v>2007</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313"/>
      <c r="B34" s="1661" t="s">
        <v>2008</v>
      </c>
      <c r="C34" s="3314"/>
      <c r="D34" s="3315"/>
      <c r="E34" s="1694"/>
      <c r="F34" s="1694"/>
      <c r="G34" s="1694"/>
      <c r="H34" s="1694"/>
      <c r="I34" s="1707"/>
      <c r="J34" s="1694"/>
      <c r="K34" s="2459"/>
      <c r="L34" s="1694"/>
      <c r="M34" s="1694"/>
      <c r="N34" s="1694"/>
      <c r="O34" s="1694"/>
      <c r="P34" s="1694"/>
      <c r="Q34" s="1694"/>
      <c r="R34" s="1694"/>
      <c r="S34" s="1694"/>
      <c r="T34" s="1694"/>
      <c r="U34" s="1694"/>
    </row>
    <row r="35" spans="1:21">
      <c r="A35" s="3316" t="s">
        <v>847</v>
      </c>
      <c r="B35" s="1722"/>
      <c r="C35" s="1776" t="str">
        <f>IF(B35="场地平整","——","具体情况：")</f>
        <v>具体情况：</v>
      </c>
      <c r="D35" s="3318"/>
      <c r="E35" s="3319"/>
      <c r="F35" s="3319"/>
      <c r="G35" s="3319"/>
      <c r="H35" s="3319"/>
      <c r="I35" s="3320"/>
      <c r="J35" s="1694"/>
      <c r="K35" s="1775"/>
      <c r="L35" s="1723"/>
      <c r="M35" s="1723"/>
      <c r="N35" s="1694"/>
      <c r="O35" s="1695"/>
      <c r="P35" s="1694"/>
      <c r="Q35" s="1694"/>
      <c r="R35" s="1694"/>
      <c r="S35" s="1694"/>
      <c r="T35" s="1694"/>
      <c r="U35" s="1694"/>
    </row>
    <row r="36" spans="1:21">
      <c r="A36" s="3312"/>
      <c r="B36" s="3321" t="s">
        <v>2057</v>
      </c>
      <c r="C36" s="3322"/>
      <c r="D36" s="1792"/>
      <c r="E36" s="3323"/>
      <c r="F36" s="3323"/>
      <c r="G36" s="1687" t="str">
        <f>IF(B35="场地未平整","估价结果处理","")</f>
        <v/>
      </c>
      <c r="H36" s="3324"/>
      <c r="I36" s="3324"/>
      <c r="J36" s="1694"/>
      <c r="K36" s="1775"/>
      <c r="L36" s="1723"/>
      <c r="M36" s="1723"/>
      <c r="N36" s="1694"/>
      <c r="O36" s="1695"/>
      <c r="P36" s="1694"/>
      <c r="Q36" s="1694"/>
      <c r="R36" s="1694"/>
      <c r="S36" s="1694"/>
      <c r="T36" s="1694"/>
      <c r="U36" s="1694"/>
    </row>
    <row r="37" spans="1:21" ht="28.5">
      <c r="A37" s="3312"/>
      <c r="B37" s="3342"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312"/>
      <c r="B38" s="3343"/>
      <c r="C38" s="1669" t="s">
        <v>850</v>
      </c>
      <c r="D38" s="1791">
        <f>ROUNDDOWN(MIN(('数据-取费表'!$B$2-D37)/365,D34),1)</f>
        <v>118.6</v>
      </c>
      <c r="E38" s="1727" t="s">
        <v>851</v>
      </c>
      <c r="F38" s="1694"/>
      <c r="G38" s="1694"/>
      <c r="H38" s="1694"/>
      <c r="I38" s="1707"/>
      <c r="J38" s="1694"/>
      <c r="K38" s="1775"/>
      <c r="L38" s="1694"/>
      <c r="M38" s="1694"/>
      <c r="N38" s="1694"/>
      <c r="O38" s="1694"/>
      <c r="P38" s="1694"/>
      <c r="Q38" s="1694"/>
      <c r="R38" s="1694"/>
      <c r="S38" s="1694"/>
      <c r="T38" s="1694"/>
      <c r="U38" s="1694"/>
    </row>
    <row r="39" spans="1:21">
      <c r="A39" s="3313"/>
      <c r="B39" s="3344"/>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t="s">
        <v>2999</v>
      </c>
      <c r="C40" s="1690" t="s">
        <v>3000</v>
      </c>
      <c r="D40" s="1690" t="s">
        <v>3001</v>
      </c>
      <c r="E40" s="1690" t="s">
        <v>3002</v>
      </c>
      <c r="F40" s="1690" t="s">
        <v>3003</v>
      </c>
      <c r="G40" s="1690" t="s">
        <v>3004</v>
      </c>
      <c r="H40" s="1690" t="s">
        <v>952</v>
      </c>
      <c r="I40" s="1707"/>
      <c r="J40" s="1694"/>
      <c r="K40" s="1730">
        <f>COUNTIF(B40:H40,"——")</f>
        <v>1</v>
      </c>
      <c r="L40" s="1699" t="s">
        <v>1981</v>
      </c>
      <c r="M40" s="1696" t="s">
        <v>1982</v>
      </c>
      <c r="N40" s="1696" t="s">
        <v>1983</v>
      </c>
      <c r="O40" s="1696" t="s">
        <v>1984</v>
      </c>
      <c r="P40" s="1696" t="s">
        <v>1985</v>
      </c>
      <c r="Q40" s="1696" t="s">
        <v>1986</v>
      </c>
      <c r="R40" s="1696" t="s">
        <v>1987</v>
      </c>
      <c r="S40" s="3325" t="s">
        <v>1988</v>
      </c>
      <c r="T40" s="1731" t="str">
        <f>NUMBERSTRING(7-K40,1)&amp;"通"</f>
        <v>六通</v>
      </c>
      <c r="U40" s="1694"/>
    </row>
    <row r="41" spans="1:21">
      <c r="A41" s="1663"/>
      <c r="B41" s="3317" t="s">
        <v>1722</v>
      </c>
      <c r="C41" s="3317"/>
      <c r="D41" s="3317"/>
      <c r="E41" s="3317"/>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通路、通电、通讯、通上水、通下水、燃气</v>
      </c>
      <c r="R41" s="1734" t="str">
        <f>B40&amp;"、"&amp;C40&amp;"、"&amp;D40&amp;"、"&amp;E40&amp;"、"&amp;F40&amp;"、"&amp;G40&amp;"、"&amp;H40</f>
        <v>通路、通电、通讯、通上水、通下水、燃气、——</v>
      </c>
      <c r="S41" s="3325"/>
      <c r="T41" s="1733" t="str">
        <f>IF(T40="一通",L41,IF(T40="二通",M41,IF(T40="三通",N41,IF(T40="四通",O41,IF(T40="五通",P41,IF(T40="六通",Q41,R41))))))</f>
        <v>通路、通电、通讯、通上水、通下水、燃气</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t="s">
        <v>1414</v>
      </c>
      <c r="F43" s="1739"/>
      <c r="G43" s="1694"/>
      <c r="H43" s="1694"/>
      <c r="I43" s="1707"/>
      <c r="J43" s="1694"/>
      <c r="K43" s="1774"/>
      <c r="L43" s="1723"/>
      <c r="M43" s="1723"/>
      <c r="N43" s="1694"/>
      <c r="O43" s="1695"/>
      <c r="P43" s="1694"/>
      <c r="Q43" s="1694"/>
      <c r="R43" s="1694"/>
      <c r="S43" s="1694"/>
      <c r="T43" s="1694"/>
      <c r="U43" s="1694"/>
    </row>
    <row r="44" spans="1:21" ht="28.5">
      <c r="A44" s="1737" t="s">
        <v>1708</v>
      </c>
      <c r="B44" s="1738"/>
      <c r="C44" s="1738"/>
      <c r="D44" s="1738"/>
      <c r="E44" s="1792" t="s">
        <v>2997</v>
      </c>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2894</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13" sqref="G13:G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34937.765+51864.729</f>
        <v>86802.494000000006</v>
      </c>
      <c r="B3" s="22">
        <f>IF(C3="否",G5-AT5,G5)</f>
        <v>80808</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80808</v>
      </c>
      <c r="H5" s="27">
        <f t="shared" ref="H5:AT5" si="0">SUM(H13:H641)</f>
        <v>80808</v>
      </c>
      <c r="I5" s="27">
        <f t="shared" si="0"/>
        <v>80568</v>
      </c>
      <c r="J5" s="27">
        <f t="shared" si="0"/>
        <v>0</v>
      </c>
      <c r="K5" s="27">
        <f t="shared" si="0"/>
        <v>240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80808</v>
      </c>
      <c r="BA5" s="29">
        <f t="shared" si="1"/>
        <v>80808</v>
      </c>
      <c r="BB5" s="29">
        <f t="shared" si="1"/>
        <v>80568</v>
      </c>
      <c r="BC5" s="29">
        <f t="shared" si="1"/>
        <v>240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86802.49</v>
      </c>
      <c r="F6" s="27" t="s">
        <v>1</v>
      </c>
      <c r="G6" s="27" t="s">
        <v>2</v>
      </c>
      <c r="H6" s="33">
        <f>SUMIF(I$12:AB$12,"总值",I6:AB6)</f>
        <v>86802.49</v>
      </c>
      <c r="I6" s="27">
        <f t="shared" ref="I6:AB6" si="2">ROUND($A$3*I5/$B$3,2)</f>
        <v>86544.69</v>
      </c>
      <c r="J6" s="27">
        <f t="shared" si="2"/>
        <v>0</v>
      </c>
      <c r="K6" s="27">
        <f t="shared" si="2"/>
        <v>257.8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86802.49</v>
      </c>
      <c r="AZ6" s="27" t="s">
        <v>3</v>
      </c>
      <c r="BA6" s="27">
        <f>ROUND($AY$6*BA5/$AZ$5,2)</f>
        <v>86802.49</v>
      </c>
      <c r="BB6" s="27">
        <f>ROUND($AY$6*BB5/$AZ$5,2)</f>
        <v>86544.69</v>
      </c>
      <c r="BC6" s="27">
        <f t="shared" ref="BC6:BH6" si="4">ROUND($AY$6*BC5/$AZ$5,2)</f>
        <v>257.8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20" t="s">
        <v>2994</v>
      </c>
      <c r="J9" s="51"/>
      <c r="K9" s="3020" t="s">
        <v>2994</v>
      </c>
      <c r="L9" s="51"/>
      <c r="M9" s="3020" t="s">
        <v>2995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20" t="s">
        <v>982</v>
      </c>
      <c r="J10" s="51"/>
      <c r="K10" s="3022" t="s">
        <v>982</v>
      </c>
      <c r="L10" s="51"/>
      <c r="M10" s="3022"/>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2996</v>
      </c>
      <c r="J11" s="71"/>
      <c r="K11" s="3021" t="s">
        <v>3019</v>
      </c>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工业</v>
      </c>
      <c r="BC11" s="50" t="str">
        <f>K10</f>
        <v>工业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标准厂房</v>
      </c>
      <c r="BC12" s="79" t="str">
        <f>K11</f>
        <v>特殊厂房</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8.25">
      <c r="A13" s="3015" t="s">
        <v>3007</v>
      </c>
      <c r="B13" s="3015" t="s">
        <v>3009</v>
      </c>
      <c r="C13" s="3015" t="s">
        <v>2992</v>
      </c>
      <c r="D13" s="3016" t="s">
        <v>1679</v>
      </c>
      <c r="E13" s="27">
        <f t="shared" ref="E13:E20" si="6">IF($C$3="是",ROUND($A$3*G13/$B$3,2),ROUND($A$3*(G13-AT13)/$B$3,2))</f>
        <v>25468.85</v>
      </c>
      <c r="F13" s="81"/>
      <c r="G13" s="82">
        <f t="shared" ref="G13:G20" si="7">H13+AC13+AT13</f>
        <v>23710</v>
      </c>
      <c r="H13" s="33">
        <f t="shared" ref="H13:H20" si="8">SUMIF(I$12:AB$12,"总值",I13:AB13)</f>
        <v>23710</v>
      </c>
      <c r="I13" s="3019">
        <v>23710</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t="str">
        <f t="shared" ref="AV13:AX20" si="10">A13</f>
        <v>京通国用（2008出）第061号</v>
      </c>
      <c r="AW13" s="17" t="str">
        <f t="shared" si="10"/>
        <v>2009规（通）建字0020号</v>
      </c>
      <c r="AX13" s="17" t="str">
        <f t="shared" si="10"/>
        <v>1#电池厂房</v>
      </c>
      <c r="AY13" s="996">
        <f t="shared" ref="AY13:AY20" si="11">ROUND($AY$6*AZ13/$AZ$5,2)</f>
        <v>25468.85</v>
      </c>
      <c r="AZ13" s="27">
        <f t="shared" ref="AZ13:AZ20" si="12">BA13+BL13</f>
        <v>23710</v>
      </c>
      <c r="BA13" s="27">
        <f t="shared" ref="BA13:BA20" si="13">SUM(BB13:BK13)</f>
        <v>23710</v>
      </c>
      <c r="BB13" s="27">
        <f t="shared" ref="BB13:BB20" si="14">IF($D13="是",I13-J13,0)</f>
        <v>23710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15"/>
      <c r="B14" s="3015"/>
      <c r="C14" s="3017" t="s">
        <v>2993</v>
      </c>
      <c r="D14" s="3016" t="s">
        <v>1679</v>
      </c>
      <c r="E14" s="27">
        <f t="shared" si="6"/>
        <v>24368.89</v>
      </c>
      <c r="F14" s="81"/>
      <c r="G14" s="82">
        <f t="shared" si="7"/>
        <v>22686</v>
      </c>
      <c r="H14" s="33">
        <f t="shared" si="8"/>
        <v>22686</v>
      </c>
      <c r="I14" s="3019">
        <v>22686</v>
      </c>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t="str">
        <f t="shared" si="10"/>
        <v>生产检测车间</v>
      </c>
      <c r="AY14" s="996">
        <f t="shared" si="11"/>
        <v>24368.89</v>
      </c>
      <c r="AZ14" s="27">
        <f t="shared" si="12"/>
        <v>22686</v>
      </c>
      <c r="BA14" s="27">
        <f t="shared" si="13"/>
        <v>22686</v>
      </c>
      <c r="BB14" s="27">
        <f t="shared" si="14"/>
        <v>22686</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38.25">
      <c r="A15" s="3015" t="s">
        <v>3008</v>
      </c>
      <c r="B15" s="3015" t="s">
        <v>3010</v>
      </c>
      <c r="C15" s="3017" t="s">
        <v>3011</v>
      </c>
      <c r="D15" s="3016" t="s">
        <v>1679</v>
      </c>
      <c r="E15" s="27">
        <f t="shared" si="6"/>
        <v>6982.18</v>
      </c>
      <c r="F15" s="81"/>
      <c r="G15" s="82">
        <f t="shared" si="7"/>
        <v>6500</v>
      </c>
      <c r="H15" s="33">
        <f t="shared" si="8"/>
        <v>6500</v>
      </c>
      <c r="I15" s="3019">
        <v>6500</v>
      </c>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t="str">
        <f t="shared" si="10"/>
        <v>京通国用（2008出）第062号</v>
      </c>
      <c r="AW15" s="17" t="str">
        <f t="shared" si="10"/>
        <v>2009规（通）建字0019号</v>
      </c>
      <c r="AX15" s="17" t="str">
        <f t="shared" si="10"/>
        <v>1#标准厂房</v>
      </c>
      <c r="AY15" s="996">
        <f t="shared" si="11"/>
        <v>6982.18</v>
      </c>
      <c r="AZ15" s="27">
        <f t="shared" si="12"/>
        <v>6500</v>
      </c>
      <c r="BA15" s="27">
        <f t="shared" si="13"/>
        <v>6500</v>
      </c>
      <c r="BB15" s="27">
        <f t="shared" si="14"/>
        <v>6500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t="s">
        <v>3012</v>
      </c>
      <c r="D16" s="3016" t="s">
        <v>1679</v>
      </c>
      <c r="E16" s="27">
        <f t="shared" si="6"/>
        <v>8849.11</v>
      </c>
      <c r="F16" s="81"/>
      <c r="G16" s="82">
        <f t="shared" si="7"/>
        <v>8238</v>
      </c>
      <c r="H16" s="33">
        <f t="shared" si="8"/>
        <v>8238</v>
      </c>
      <c r="I16" s="3019">
        <v>8238</v>
      </c>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t="str">
        <f t="shared" si="10"/>
        <v>1#单身宿舍</v>
      </c>
      <c r="AY16" s="996">
        <f t="shared" si="11"/>
        <v>8849.11</v>
      </c>
      <c r="AZ16" s="27">
        <f t="shared" si="12"/>
        <v>8238</v>
      </c>
      <c r="BA16" s="27">
        <f t="shared" si="13"/>
        <v>8238</v>
      </c>
      <c r="BB16" s="27">
        <f t="shared" si="14"/>
        <v>8238</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t="s">
        <v>3013</v>
      </c>
      <c r="D17" s="3016" t="s">
        <v>1679</v>
      </c>
      <c r="E17" s="27">
        <f t="shared" si="6"/>
        <v>11850.38</v>
      </c>
      <c r="F17" s="81"/>
      <c r="G17" s="82">
        <f t="shared" si="7"/>
        <v>11032</v>
      </c>
      <c r="H17" s="33">
        <f t="shared" si="8"/>
        <v>11032</v>
      </c>
      <c r="I17" s="3019">
        <v>11032</v>
      </c>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t="str">
        <f t="shared" si="10"/>
        <v>2#标准厂房</v>
      </c>
      <c r="AY17" s="996">
        <f t="shared" si="11"/>
        <v>11850.37</v>
      </c>
      <c r="AZ17" s="27">
        <f t="shared" si="12"/>
        <v>11032</v>
      </c>
      <c r="BA17" s="27">
        <f t="shared" si="13"/>
        <v>11032</v>
      </c>
      <c r="BB17" s="27">
        <f t="shared" si="14"/>
        <v>11032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84"/>
      <c r="B18" s="85"/>
      <c r="C18" s="85" t="s">
        <v>3014</v>
      </c>
      <c r="D18" s="3018" t="s">
        <v>1679</v>
      </c>
      <c r="E18" s="87">
        <f t="shared" si="6"/>
        <v>8849.11</v>
      </c>
      <c r="F18" s="88"/>
      <c r="G18" s="89">
        <f t="shared" si="7"/>
        <v>8238</v>
      </c>
      <c r="H18" s="90">
        <f t="shared" si="8"/>
        <v>8238</v>
      </c>
      <c r="I18" s="1395">
        <v>8238</v>
      </c>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t="str">
        <f t="shared" si="10"/>
        <v>2#单身宿舍</v>
      </c>
      <c r="AY18" s="95">
        <f t="shared" si="11"/>
        <v>8849.11</v>
      </c>
      <c r="AZ18" s="87">
        <f t="shared" si="12"/>
        <v>8238</v>
      </c>
      <c r="BA18" s="87">
        <f t="shared" si="13"/>
        <v>8238</v>
      </c>
      <c r="BB18" s="87">
        <f t="shared" si="14"/>
        <v>8238</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t="s">
        <v>3015</v>
      </c>
      <c r="D19" s="80" t="s">
        <v>1679</v>
      </c>
      <c r="E19" s="87">
        <f t="shared" si="6"/>
        <v>17.190000000000001</v>
      </c>
      <c r="F19" s="88"/>
      <c r="G19" s="89">
        <f t="shared" si="7"/>
        <v>16</v>
      </c>
      <c r="H19" s="90">
        <f t="shared" si="8"/>
        <v>16</v>
      </c>
      <c r="I19" s="1395">
        <v>16</v>
      </c>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t="str">
        <f t="shared" si="10"/>
        <v>门卫1</v>
      </c>
      <c r="AY19" s="95">
        <f t="shared" si="11"/>
        <v>17.190000000000001</v>
      </c>
      <c r="AZ19" s="87">
        <f t="shared" si="12"/>
        <v>16</v>
      </c>
      <c r="BA19" s="87">
        <f t="shared" si="13"/>
        <v>16</v>
      </c>
      <c r="BB19" s="87">
        <f t="shared" si="14"/>
        <v>16</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t="s">
        <v>3016</v>
      </c>
      <c r="D20" s="80" t="s">
        <v>1679</v>
      </c>
      <c r="E20" s="87">
        <f t="shared" si="6"/>
        <v>51.56</v>
      </c>
      <c r="F20" s="88"/>
      <c r="G20" s="89">
        <f t="shared" si="7"/>
        <v>48</v>
      </c>
      <c r="H20" s="90">
        <f t="shared" si="8"/>
        <v>48</v>
      </c>
      <c r="I20" s="1395">
        <v>48</v>
      </c>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t="str">
        <f t="shared" si="10"/>
        <v>门卫2</v>
      </c>
      <c r="AY20" s="95">
        <f t="shared" si="11"/>
        <v>51.56</v>
      </c>
      <c r="AZ20" s="87">
        <f t="shared" si="12"/>
        <v>48</v>
      </c>
      <c r="BA20" s="87">
        <f t="shared" si="13"/>
        <v>48</v>
      </c>
      <c r="BB20" s="87">
        <f t="shared" si="14"/>
        <v>48</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t="s">
        <v>3017</v>
      </c>
      <c r="D21" s="80" t="s">
        <v>1679</v>
      </c>
      <c r="E21" s="87">
        <f t="shared" ref="E21:E112" si="33">IF($C$3="是",ROUND($A$3*G21/$B$3,2),ROUND($A$3*(G21-AT21)/$B$3,2))</f>
        <v>107.42</v>
      </c>
      <c r="F21" s="88"/>
      <c r="G21" s="89">
        <f t="shared" ref="G21:G109" si="34">H21+AC21+AT21</f>
        <v>100</v>
      </c>
      <c r="H21" s="90">
        <f t="shared" ref="H21:H109" si="35">SUMIF(I$12:AB$12,"总值",I21:AB21)</f>
        <v>100</v>
      </c>
      <c r="I21" s="1397">
        <v>100</v>
      </c>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t="str">
        <f t="shared" ref="AX21:AX112" si="39">C21</f>
        <v>连廊</v>
      </c>
      <c r="AY21" s="95">
        <f t="shared" ref="AY21:AY109" si="40">ROUND($AY$6*AZ21/$AZ$5,2)</f>
        <v>107.42</v>
      </c>
      <c r="AZ21" s="87">
        <f t="shared" ref="AZ21:AZ109" si="41">BA21+BL21</f>
        <v>100</v>
      </c>
      <c r="BA21" s="87">
        <f t="shared" ref="BA21:BA109" si="42">SUM(BB21:BK21)</f>
        <v>100</v>
      </c>
      <c r="BB21" s="87">
        <f t="shared" ref="BB21:BB109" si="43">IF($D21="是",I21-J21,0)</f>
        <v>100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42.75">
      <c r="A22" s="84"/>
      <c r="B22" s="1394"/>
      <c r="C22" s="1395" t="s">
        <v>3018</v>
      </c>
      <c r="D22" s="80" t="s">
        <v>1679</v>
      </c>
      <c r="E22" s="87">
        <f t="shared" si="33"/>
        <v>257.8</v>
      </c>
      <c r="F22" s="88"/>
      <c r="G22" s="89">
        <f t="shared" si="34"/>
        <v>240</v>
      </c>
      <c r="H22" s="90">
        <f t="shared" si="35"/>
        <v>240</v>
      </c>
      <c r="I22" s="1397"/>
      <c r="J22" s="91"/>
      <c r="K22" s="1397">
        <v>240</v>
      </c>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t="str">
        <f t="shared" si="39"/>
        <v>1#废水处理区操作间</v>
      </c>
      <c r="AY22" s="95">
        <f t="shared" si="40"/>
        <v>257.8</v>
      </c>
      <c r="AZ22" s="87">
        <f t="shared" si="41"/>
        <v>240</v>
      </c>
      <c r="BA22" s="87">
        <f t="shared" si="42"/>
        <v>240</v>
      </c>
      <c r="BB22" s="87">
        <f t="shared" si="43"/>
        <v>0</v>
      </c>
      <c r="BC22" s="87">
        <f t="shared" si="44"/>
        <v>240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3" t="s">
        <v>0</v>
      </c>
      <c r="B1" s="3353" t="s">
        <v>4</v>
      </c>
      <c r="C1" s="3353" t="s">
        <v>5</v>
      </c>
      <c r="D1" s="3354" t="s">
        <v>40</v>
      </c>
      <c r="E1" s="3354" t="s">
        <v>41</v>
      </c>
      <c r="F1" s="3354"/>
      <c r="G1" s="3354"/>
      <c r="H1" s="3354"/>
      <c r="I1" s="3354"/>
      <c r="J1" s="3354"/>
      <c r="K1" s="3354"/>
      <c r="L1" s="3354"/>
      <c r="M1" s="3354"/>
    </row>
    <row r="2" spans="1:13" ht="27" customHeight="1">
      <c r="A2" s="3353"/>
      <c r="B2" s="3353"/>
      <c r="C2" s="3353"/>
      <c r="D2" s="3354"/>
      <c r="E2" s="3354" t="s">
        <v>24</v>
      </c>
      <c r="F2" s="3354" t="s">
        <v>25</v>
      </c>
      <c r="G2" s="3354"/>
      <c r="H2" s="3354"/>
      <c r="I2" s="3354"/>
      <c r="J2" s="3354" t="s">
        <v>26</v>
      </c>
      <c r="K2" s="3354"/>
      <c r="L2" s="3354"/>
      <c r="M2" s="3354"/>
    </row>
    <row r="3" spans="1:13" ht="28.5">
      <c r="A3" s="3353"/>
      <c r="B3" s="3353"/>
      <c r="C3" s="3353"/>
      <c r="D3" s="3354"/>
      <c r="E3" s="33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4" t="s">
        <v>42</v>
      </c>
      <c r="B9" s="3354"/>
      <c r="C9" s="33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64" t="s">
        <v>203</v>
      </c>
      <c r="B2" s="3364"/>
      <c r="C2" s="3364"/>
      <c r="D2" s="1976" t="s">
        <v>204</v>
      </c>
      <c r="E2" s="106" t="s">
        <v>205</v>
      </c>
      <c r="F2" s="1985"/>
      <c r="G2" s="1198"/>
      <c r="H2" s="1199"/>
      <c r="I2" s="1200" t="s">
        <v>857</v>
      </c>
      <c r="J2" s="1985"/>
      <c r="K2" s="1985"/>
      <c r="L2" s="1985"/>
    </row>
    <row r="3" spans="1:16" ht="15.75" thickBot="1">
      <c r="A3" s="3365" t="s">
        <v>206</v>
      </c>
      <c r="B3" s="3365"/>
      <c r="C3" s="3365"/>
      <c r="D3" s="107">
        <f>'数据-基础表'!AY6</f>
        <v>86802.49</v>
      </c>
      <c r="E3" s="107">
        <f>'数据-基础表'!AZ5</f>
        <v>80808</v>
      </c>
      <c r="F3" s="1985"/>
      <c r="G3" s="280" t="s">
        <v>858</v>
      </c>
      <c r="H3" s="275" t="s">
        <v>859</v>
      </c>
      <c r="I3" s="1977">
        <f>ROUND('数据-基础表'!B3/'数据-基础表'!A3,2)</f>
        <v>0.93</v>
      </c>
      <c r="J3" s="1985"/>
      <c r="K3" s="1985"/>
      <c r="L3" s="1985"/>
    </row>
    <row r="4" spans="1:16" ht="15">
      <c r="A4" s="3366"/>
      <c r="B4" s="3367"/>
      <c r="C4" s="3368"/>
      <c r="D4" s="108" t="s">
        <v>204</v>
      </c>
      <c r="E4" s="109" t="s">
        <v>205</v>
      </c>
      <c r="F4" s="1985"/>
      <c r="G4" s="1201"/>
      <c r="H4" s="275" t="s">
        <v>860</v>
      </c>
      <c r="I4" s="1977">
        <f>ROUND(SUMIF('数据-基础表'!I9:AS9,"地上",'数据-基础表'!I5:AS5)/'数据-基础表'!A3,2)</f>
        <v>0.93</v>
      </c>
      <c r="J4" s="1985"/>
      <c r="K4" s="1985"/>
      <c r="L4" s="1985"/>
    </row>
    <row r="5" spans="1:16">
      <c r="A5" s="110" t="s">
        <v>207</v>
      </c>
      <c r="B5" s="3369" t="s">
        <v>230</v>
      </c>
      <c r="C5" s="3369"/>
      <c r="D5" s="111">
        <f>ROUND($D$3*E5/$E$3,2)</f>
        <v>0</v>
      </c>
      <c r="E5" s="112">
        <f>SUMIF('数据-基础表'!$11:$11,"住宅",'数据-基础表'!$5:$5)</f>
        <v>0</v>
      </c>
      <c r="F5" s="1985"/>
      <c r="G5" s="280" t="s">
        <v>861</v>
      </c>
      <c r="H5" s="275" t="s">
        <v>859</v>
      </c>
      <c r="I5" s="1977">
        <f>ROUND(E31/D31,2)</f>
        <v>0.93</v>
      </c>
      <c r="J5" s="1985"/>
      <c r="K5" s="1985"/>
      <c r="L5" s="1985"/>
    </row>
    <row r="6" spans="1:16" ht="15" thickBot="1">
      <c r="A6" s="113"/>
      <c r="B6" s="3369" t="s">
        <v>208</v>
      </c>
      <c r="C6" s="3369"/>
      <c r="D6" s="111">
        <f>ROUND($D$3*E6/$E$3,2)</f>
        <v>86802.49</v>
      </c>
      <c r="E6" s="112">
        <f>E3-E5</f>
        <v>80808</v>
      </c>
      <c r="F6" s="1985"/>
      <c r="G6" s="1201"/>
      <c r="H6" s="275" t="s">
        <v>860</v>
      </c>
      <c r="I6" s="1977">
        <f>ROUND(F31/D31,2)</f>
        <v>0.93</v>
      </c>
      <c r="J6" s="1985"/>
      <c r="K6" s="1985"/>
      <c r="L6" s="1985"/>
    </row>
    <row r="7" spans="1:16" ht="15">
      <c r="A7" s="3361"/>
      <c r="B7" s="3362"/>
      <c r="C7" s="3363"/>
      <c r="D7" s="108" t="s">
        <v>204</v>
      </c>
      <c r="E7" s="114" t="s">
        <v>231</v>
      </c>
      <c r="F7" s="1985"/>
      <c r="G7" s="1156" t="s">
        <v>1646</v>
      </c>
      <c r="H7" s="1157"/>
      <c r="I7" s="1847">
        <v>1</v>
      </c>
      <c r="J7" s="1985"/>
      <c r="K7" s="1985"/>
      <c r="L7" s="1985"/>
    </row>
    <row r="8" spans="1:16">
      <c r="A8" s="110" t="s">
        <v>209</v>
      </c>
      <c r="B8" s="115" t="s">
        <v>210</v>
      </c>
      <c r="C8" s="111" t="s">
        <v>211</v>
      </c>
      <c r="D8" s="111">
        <f t="shared" ref="D8:D15" si="0">ROUND($D$3*E8/$E$3,2)</f>
        <v>86802.49</v>
      </c>
      <c r="E8" s="116">
        <f>SUMIF('数据-基础表'!BB10:BK10,"地上",'数据-基础表'!BB5:BK5)</f>
        <v>80808</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86802.49</v>
      </c>
      <c r="E16" s="120">
        <f>SUM(E8:E15)</f>
        <v>80808</v>
      </c>
      <c r="F16" s="1985"/>
      <c r="G16" s="1987"/>
      <c r="H16" s="968" t="s">
        <v>219</v>
      </c>
      <c r="I16" s="969"/>
      <c r="J16" s="1985"/>
      <c r="K16" s="3355" t="s">
        <v>2569</v>
      </c>
      <c r="L16" s="3356"/>
      <c r="M16" s="3356"/>
      <c r="N16" s="3356"/>
      <c r="O16" s="3356"/>
      <c r="P16" s="3357"/>
    </row>
    <row r="17" spans="1:19" ht="15">
      <c r="A17" s="121" t="s">
        <v>216</v>
      </c>
      <c r="B17" s="122" t="s">
        <v>217</v>
      </c>
      <c r="C17" s="2299" t="s">
        <v>2316</v>
      </c>
      <c r="D17" s="108" t="s">
        <v>204</v>
      </c>
      <c r="E17" s="124" t="s">
        <v>205</v>
      </c>
      <c r="F17" s="125"/>
      <c r="G17" s="1366"/>
      <c r="H17" s="970" t="s">
        <v>218</v>
      </c>
      <c r="I17" s="971" t="s">
        <v>2315</v>
      </c>
      <c r="J17" s="1985"/>
      <c r="K17" s="3358" t="s">
        <v>2570</v>
      </c>
      <c r="L17" s="3359"/>
      <c r="M17" s="3360"/>
      <c r="N17" s="3358" t="s">
        <v>2571</v>
      </c>
      <c r="O17" s="3359"/>
      <c r="P17" s="3360"/>
      <c r="R17" s="2300" t="s">
        <v>2314</v>
      </c>
      <c r="S17" s="144"/>
    </row>
    <row r="18" spans="1:19" ht="15">
      <c r="A18" s="117"/>
      <c r="B18" s="128"/>
      <c r="C18" s="129"/>
      <c r="D18" s="2643"/>
      <c r="E18" s="130" t="s">
        <v>220</v>
      </c>
      <c r="F18" s="131" t="s">
        <v>221</v>
      </c>
      <c r="G18" s="1367" t="s">
        <v>222</v>
      </c>
      <c r="H18" s="972" t="s">
        <v>223</v>
      </c>
      <c r="I18" s="973" t="s">
        <v>224</v>
      </c>
      <c r="J18" s="1985"/>
      <c r="K18" s="2606" t="s">
        <v>2572</v>
      </c>
      <c r="L18" s="2607" t="s">
        <v>2573</v>
      </c>
      <c r="M18" s="2608" t="s">
        <v>2574</v>
      </c>
      <c r="N18" s="2606" t="s">
        <v>2572</v>
      </c>
      <c r="O18" s="2607" t="s">
        <v>2573</v>
      </c>
      <c r="P18" s="2608" t="s">
        <v>2574</v>
      </c>
      <c r="R18" s="2301" t="s">
        <v>2312</v>
      </c>
      <c r="S18" s="2301" t="s">
        <v>2313</v>
      </c>
    </row>
    <row r="19" spans="1:19">
      <c r="A19" s="133"/>
      <c r="B19" s="115" t="s">
        <v>225</v>
      </c>
      <c r="C19" s="3026" t="s">
        <v>3020</v>
      </c>
      <c r="D19" s="111">
        <f t="shared" ref="D19:D26" si="1">ROUND($D$3*E19/$E$3,2)</f>
        <v>86544.69</v>
      </c>
      <c r="E19" s="134">
        <f t="shared" ref="E19:E26" si="2">SUM(F19:G19)</f>
        <v>80568</v>
      </c>
      <c r="F19" s="135">
        <f>'数据-基础表'!I5</f>
        <v>80568</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86544.69</v>
      </c>
      <c r="S19" s="2302">
        <f t="shared" si="5"/>
        <v>80568</v>
      </c>
    </row>
    <row r="20" spans="1:19">
      <c r="A20" s="138"/>
      <c r="B20" s="115" t="s">
        <v>226</v>
      </c>
      <c r="C20" s="3026" t="s">
        <v>3021</v>
      </c>
      <c r="D20" s="111">
        <f t="shared" si="1"/>
        <v>257.8</v>
      </c>
      <c r="E20" s="134">
        <f t="shared" si="2"/>
        <v>240</v>
      </c>
      <c r="F20" s="135">
        <f>'数据-基础表'!K5</f>
        <v>240</v>
      </c>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257.8</v>
      </c>
      <c r="S20" s="2302">
        <f t="shared" si="5"/>
        <v>240</v>
      </c>
    </row>
    <row r="21" spans="1:19">
      <c r="A21" s="138"/>
      <c r="B21" s="115" t="s">
        <v>226</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215</v>
      </c>
      <c r="D27" s="134">
        <f>SUM(D19:D26)</f>
        <v>86802.49</v>
      </c>
      <c r="E27" s="143">
        <f>IF(SUM(E19:E26)='数据-基础表'!BA5,SUM(E19:E26),IF(F27="地上面积有误","面积有误","地下面积有误"))</f>
        <v>80808</v>
      </c>
      <c r="F27" s="134">
        <f>IF(SUM(F19:F26)=E8,SUM(F19:F26),"地上面积有误")</f>
        <v>80808</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86802.49</v>
      </c>
      <c r="S27" s="275">
        <f>IF(SUM(S19:S26)=$E$3,SUM(S19:S26),SUM(S19:S26)&amp;"误差"&amp;ROUND(SUM(S19:S26)-E3,2))</f>
        <v>80808</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f>D27+D30</f>
        <v>86802.49</v>
      </c>
      <c r="E31" s="1372">
        <f>E27+E30</f>
        <v>80808</v>
      </c>
      <c r="F31" s="1373">
        <f>F27+F30</f>
        <v>80808</v>
      </c>
      <c r="G31" s="1374">
        <f>G27+G30</f>
        <v>0</v>
      </c>
      <c r="H31" s="1985"/>
      <c r="I31" s="1985"/>
      <c r="J31" s="1985"/>
      <c r="K31" s="1985"/>
      <c r="L31" s="1985"/>
    </row>
    <row r="32" spans="1:19">
      <c r="A32" s="1985"/>
      <c r="B32" s="2364" t="s">
        <v>2324</v>
      </c>
      <c r="C32" s="2648"/>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9" sqref="F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43290</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2"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2"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标准厂房</v>
      </c>
      <c r="B6" s="2338" t="str">
        <f>IF(A6=0,"","经营性")</f>
        <v>经营性</v>
      </c>
      <c r="C6" s="173" t="s">
        <v>982</v>
      </c>
      <c r="D6" s="2309">
        <f>SUMIF(项目基本情况!D$15:I$15,C6,项目基本情况!D$18:I$18)</f>
        <v>50</v>
      </c>
      <c r="E6" s="2310">
        <f>IF(B6="","",SUMIF(项目基本情况!D$15:I$15,C6,项目基本情况!D$17:I$17))</f>
        <v>57951</v>
      </c>
      <c r="F6" s="174">
        <f>SUMIF(项目基本情况!D$15:I$15,C6,项目基本情况!D$19:I$19)</f>
        <v>40.159999999999997</v>
      </c>
      <c r="G6" s="175">
        <f>IF(ISERROR(ROUND(POWER(1+H6,D6-F6)*(POWER(1+H6,F6)-1)/(POWER(1+H6,D6)-1),3)),0,ROUND(POWER(1+H6,D6-F6)*(POWER(1+H6,F6)-1)/(POWER(1+H6,D6)-1),3))</f>
        <v>0.91200000000000003</v>
      </c>
      <c r="H6" s="3027">
        <v>3.5000000000000003E-2</v>
      </c>
      <c r="I6" s="3027">
        <v>0.04</v>
      </c>
      <c r="J6" s="176">
        <v>7.0000000000000007E-2</v>
      </c>
      <c r="K6" s="179">
        <f>SUMIF('数据-汇总表'!C$19:C$33,'数据-取费表'!A6,'数据-汇总表'!E$19:E$33)</f>
        <v>80568</v>
      </c>
      <c r="L6" s="3028">
        <v>1200</v>
      </c>
      <c r="M6" s="177">
        <f t="shared" ref="M6:M14" si="0">ROUND(K6*L6/10000,0)</f>
        <v>9668</v>
      </c>
      <c r="N6" s="3029">
        <v>1</v>
      </c>
      <c r="O6" s="177">
        <f>IF($N$5="成新度","——",ROUND(M6*N6,0))</f>
        <v>9668</v>
      </c>
      <c r="P6" s="178">
        <f>IF($N$5="成新度","——",M6-O6)</f>
        <v>0</v>
      </c>
      <c r="Q6" s="3030">
        <v>0.15</v>
      </c>
      <c r="R6" s="179">
        <f>SUMIF('数据-汇总表'!C$19:C$33,A6,'数据-汇总表'!R$19:R$33)</f>
        <v>86544.69</v>
      </c>
      <c r="S6" s="132">
        <f>IF('数据-汇总表'!$I$17="按面积比例",SUMIF('数据-汇总表'!C$19:C$33,A6,'数据-汇总表'!K$19:K$33),SUMIF('数据-汇总表'!C$19:C$33,A6,'数据-汇总表'!N$19:N$33))</f>
        <v>0</v>
      </c>
      <c r="T6" s="2235" t="str">
        <f>IF($T$4="按面积比例",IF(ISERROR(ROUND($M$14*S6/S$16,0)),"0",ROUND($M$14*S6/S$16,0)),"需自行计算录入")</f>
        <v>0</v>
      </c>
      <c r="U6" s="180">
        <v>0.8</v>
      </c>
      <c r="V6" s="181">
        <v>1.4999999999999999E-2</v>
      </c>
      <c r="W6" s="181">
        <v>0.05</v>
      </c>
      <c r="X6" s="2322"/>
      <c r="Y6" s="182">
        <v>0.6</v>
      </c>
      <c r="Z6" s="183"/>
      <c r="AA6" s="176"/>
      <c r="AB6" s="176"/>
      <c r="AC6" s="2325"/>
      <c r="AD6" s="184"/>
      <c r="AE6" s="972">
        <f ca="1">IF(AN6="",0,SUMIF(INDIRECT("'"&amp;AN6&amp;"'"&amp;"!E:E"),$AE$5,INDIRECT("'"&amp;AN6&amp;"'"&amp;"!F:F")))</f>
        <v>0</v>
      </c>
      <c r="AF6" s="141"/>
      <c r="AG6" s="1213">
        <f>IF(AF6="",0,AE6-AF6)</f>
        <v>0</v>
      </c>
      <c r="AH6" s="141"/>
      <c r="AI6" s="187"/>
      <c r="AJ6" s="188"/>
      <c r="AK6" s="189"/>
      <c r="AL6" s="190"/>
      <c r="AM6" s="3041"/>
      <c r="AN6" s="2393"/>
      <c r="AO6" s="2001"/>
      <c r="AP6" s="1204">
        <f>ROUND(1-1/(1+H6)^F6,3)</f>
        <v>0.749</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特殊厂房</v>
      </c>
      <c r="B7" s="2338" t="str">
        <f t="shared" ref="B7:B13" si="1">IF(A7=0,"","经营性")</f>
        <v>经营性</v>
      </c>
      <c r="C7" s="173" t="s">
        <v>982</v>
      </c>
      <c r="D7" s="2309">
        <f>SUMIF(项目基本情况!D$15:I$15,C7,项目基本情况!D$18:I$18)</f>
        <v>50</v>
      </c>
      <c r="E7" s="2310">
        <f>IF(B7="","",SUMIF(项目基本情况!D$15:I$15,C7,项目基本情况!D$17:I$17))</f>
        <v>57951</v>
      </c>
      <c r="F7" s="174">
        <f>SUMIF(项目基本情况!D$15:I$15,C7,项目基本情况!D$19:I$19)</f>
        <v>40.159999999999997</v>
      </c>
      <c r="G7" s="175">
        <f t="shared" ref="G7:G11" si="2">IF(ISERROR(ROUND(POWER(1+H7,D7-F7)*(POWER(1+H7,F7)-1)/(POWER(1+H7,D7)-1),3)),0,ROUND(POWER(1+H7,D7-F7)*(POWER(1+H7,F7)-1)/(POWER(1+H7,D7)-1),3))</f>
        <v>0.91200000000000003</v>
      </c>
      <c r="H7" s="3027">
        <v>3.5000000000000003E-2</v>
      </c>
      <c r="I7" s="3027">
        <v>0.04</v>
      </c>
      <c r="J7" s="176">
        <v>7.0000000000000007E-2</v>
      </c>
      <c r="K7" s="179">
        <f>SUMIF('数据-汇总表'!C$19:C$33,'数据-取费表'!A7,'数据-汇总表'!E$19:E$33)</f>
        <v>240</v>
      </c>
      <c r="L7" s="3028">
        <v>1500</v>
      </c>
      <c r="M7" s="177">
        <f t="shared" si="0"/>
        <v>36</v>
      </c>
      <c r="N7" s="3029">
        <v>1</v>
      </c>
      <c r="O7" s="177">
        <f t="shared" ref="O7:O14" si="3">IF($N$5="成新度","——",ROUND(M7*N7,0))</f>
        <v>36</v>
      </c>
      <c r="P7" s="178">
        <f t="shared" ref="P7:P14" si="4">IF($N$5="成新度","——",M7-O7)</f>
        <v>0</v>
      </c>
      <c r="Q7" s="3030">
        <v>0.15</v>
      </c>
      <c r="R7" s="179">
        <f>SUMIF('数据-汇总表'!C$19:C$33,A7,'数据-汇总表'!R$19:R$33)</f>
        <v>257.8</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0.8</v>
      </c>
      <c r="V7" s="181">
        <v>1.4999999999999999E-2</v>
      </c>
      <c r="W7" s="181">
        <v>0.05</v>
      </c>
      <c r="X7" s="2322"/>
      <c r="Y7" s="182">
        <v>0.6</v>
      </c>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0.749</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0.91200000000000003</v>
      </c>
      <c r="H16" s="203">
        <f>ROUND(SUMPRODUCT(H6:H13,K6:K13)/SUMPRODUCT((H6:H13&gt;0)*(K6:K13)),3)</f>
        <v>3.5000000000000003E-2</v>
      </c>
      <c r="I16" s="204"/>
      <c r="J16" s="204"/>
      <c r="K16" s="205">
        <f>SUM(K6:K15)</f>
        <v>80808</v>
      </c>
      <c r="L16" s="206">
        <f>ROUND(M16*10000/SUM(K6:K14),0)</f>
        <v>1201</v>
      </c>
      <c r="M16" s="206">
        <f>SUM(M6:M14)</f>
        <v>9704</v>
      </c>
      <c r="N16" s="207">
        <f>ROUND(SUMPRODUCT(M6:M14,N6:N14)/M16,3)</f>
        <v>1</v>
      </c>
      <c r="O16" s="206">
        <f>SUM(O6:O14)</f>
        <v>9704</v>
      </c>
      <c r="P16" s="206">
        <f>SUM(P6:P14)</f>
        <v>0</v>
      </c>
      <c r="Q16" s="208">
        <f>ROUND(SUMPRODUCT(Q6:Q13,K6:K13)/SUMPRODUCT((Q6:Q13&gt;0)*(K6:K13)),2)</f>
        <v>0.15</v>
      </c>
      <c r="R16" s="2312">
        <f>SUM(R6:R13)</f>
        <v>86802.49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0.749</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1</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1</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1</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2</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0</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200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250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2896</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0.01</v>
      </c>
      <c r="C37" s="2366" t="s">
        <v>2899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0.01</v>
      </c>
      <c r="C38" s="2366" t="s">
        <v>2899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2460</v>
      </c>
      <c r="B40" s="2482">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099">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66" t="s">
        <v>2900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6" t="s">
        <v>2903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7" t="s">
        <v>2904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7" t="s">
        <v>2905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1410</v>
      </c>
      <c r="C53" s="3078" t="s">
        <v>2906</v>
      </c>
      <c r="D53" s="3079" t="s">
        <v>2907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2908</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2909</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2910</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2911</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2912</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2913</v>
      </c>
      <c r="B59" s="186">
        <v>1.5</v>
      </c>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5"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7" sqref="G7"/>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70" t="s">
        <v>1664</v>
      </c>
      <c r="B1" s="3371"/>
      <c r="C1" s="3371"/>
      <c r="D1" s="3371"/>
      <c r="E1" s="3371"/>
      <c r="F1" s="3371"/>
      <c r="G1" s="3371"/>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3" t="s">
        <v>2922</v>
      </c>
      <c r="D3" s="2010"/>
      <c r="E3" s="1229" t="s">
        <v>1667</v>
      </c>
      <c r="F3" s="1230" t="s">
        <v>1655</v>
      </c>
      <c r="G3" s="3178" t="s">
        <v>3029</v>
      </c>
      <c r="H3" s="2009"/>
      <c r="I3" s="2009"/>
      <c r="J3" s="2009"/>
      <c r="K3" s="2009"/>
      <c r="L3" s="2009"/>
      <c r="M3" s="2009"/>
      <c r="N3" s="2009"/>
      <c r="O3" s="2009"/>
      <c r="P3" s="2009"/>
      <c r="Q3" s="2009"/>
      <c r="R3" s="2009"/>
    </row>
    <row r="4" spans="1:18" ht="41.25">
      <c r="A4" s="1229"/>
      <c r="B4" s="1231" t="s">
        <v>1668</v>
      </c>
      <c r="C4" s="3084" t="s">
        <v>2923</v>
      </c>
      <c r="D4" s="2010"/>
      <c r="E4" s="1232"/>
      <c r="F4" s="1233" t="s">
        <v>1669</v>
      </c>
      <c r="G4" s="3179" t="s">
        <v>3030</v>
      </c>
      <c r="H4" s="2009"/>
      <c r="I4" s="2009"/>
      <c r="J4" s="2009"/>
      <c r="K4" s="2009"/>
      <c r="L4" s="2009"/>
      <c r="M4" s="2009"/>
      <c r="N4" s="2009"/>
      <c r="O4" s="2009"/>
      <c r="P4" s="2009"/>
      <c r="Q4" s="2009"/>
      <c r="R4" s="2009"/>
    </row>
    <row r="5" spans="1:18" ht="54">
      <c r="A5" s="1229"/>
      <c r="B5" s="1231" t="s">
        <v>1670</v>
      </c>
      <c r="C5" s="3084" t="s">
        <v>2924</v>
      </c>
      <c r="D5" s="2010"/>
      <c r="E5" s="1232"/>
      <c r="F5" s="1231" t="s">
        <v>2549</v>
      </c>
      <c r="G5" s="3179" t="s">
        <v>3031</v>
      </c>
      <c r="H5" s="2009"/>
      <c r="I5" s="2009"/>
      <c r="J5" s="2009"/>
      <c r="K5" s="2009"/>
      <c r="L5" s="2009"/>
      <c r="M5" s="2009"/>
      <c r="N5" s="2009"/>
      <c r="O5" s="2009"/>
      <c r="P5" s="2009"/>
      <c r="Q5" s="2009"/>
      <c r="R5" s="2009"/>
    </row>
    <row r="6" spans="1:18" ht="54">
      <c r="A6" s="1229"/>
      <c r="B6" s="1231" t="s">
        <v>1656</v>
      </c>
      <c r="C6" s="3085" t="s">
        <v>2920</v>
      </c>
      <c r="D6" s="2010"/>
      <c r="E6" s="1232"/>
      <c r="F6" s="1231" t="s">
        <v>2550</v>
      </c>
      <c r="G6" s="3193" t="s">
        <v>3283</v>
      </c>
      <c r="H6" s="2009"/>
      <c r="I6" s="2009"/>
      <c r="J6" s="2009"/>
      <c r="K6" s="2009"/>
      <c r="L6" s="2009"/>
      <c r="M6" s="2009"/>
      <c r="N6" s="2009"/>
      <c r="O6" s="2009"/>
      <c r="P6" s="2009"/>
      <c r="Q6" s="2009"/>
      <c r="R6" s="2009"/>
    </row>
    <row r="7" spans="1:18" ht="41.25" thickBot="1">
      <c r="A7" s="1229"/>
      <c r="B7" s="1231" t="s">
        <v>2549</v>
      </c>
      <c r="C7" s="3085" t="s">
        <v>2921</v>
      </c>
      <c r="D7" s="2011"/>
      <c r="E7" s="1234"/>
      <c r="F7" s="1235" t="s">
        <v>1671</v>
      </c>
      <c r="G7" s="3180" t="s">
        <v>3032</v>
      </c>
      <c r="H7" s="2009"/>
      <c r="I7" s="2009"/>
      <c r="J7" s="2009"/>
      <c r="K7" s="2009"/>
      <c r="L7" s="2009"/>
      <c r="M7" s="2009"/>
      <c r="N7" s="2009"/>
      <c r="O7" s="2009"/>
      <c r="P7" s="2009"/>
      <c r="Q7" s="2009"/>
      <c r="R7" s="2009"/>
    </row>
    <row r="8" spans="1:18" ht="27">
      <c r="A8" s="1229"/>
      <c r="B8" s="1231" t="s">
        <v>2550</v>
      </c>
      <c r="C8" s="3085" t="s">
        <v>2918</v>
      </c>
      <c r="D8" s="2011"/>
      <c r="E8" s="2011"/>
      <c r="F8" s="1554"/>
      <c r="G8" s="1554"/>
      <c r="H8" s="2009"/>
      <c r="I8" s="2009"/>
      <c r="J8" s="2009"/>
      <c r="K8" s="2009"/>
      <c r="L8" s="2009"/>
      <c r="M8" s="2009"/>
      <c r="N8" s="2009"/>
      <c r="O8" s="2009"/>
      <c r="P8" s="2009"/>
      <c r="Q8" s="2009"/>
      <c r="R8" s="2009"/>
    </row>
    <row r="9" spans="1:18" ht="40.5">
      <c r="A9" s="1229"/>
      <c r="B9" s="1231" t="s">
        <v>1657</v>
      </c>
      <c r="C9" s="3084" t="s">
        <v>2919</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6"/>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估价对象位于北京市通州区马驹桥镇金桥产业基地，园区建设成熟，产业集聚程度较好</v>
      </c>
    </row>
    <row r="16" spans="1:18" ht="40.5">
      <c r="A16" s="2590"/>
      <c r="B16" s="1245" t="s">
        <v>1668</v>
      </c>
      <c r="C16" s="1246" t="str">
        <f>C4</f>
        <v>估价对象位于XX商圈，周边商业氛围成熟，人流量大，商业繁华度好</v>
      </c>
      <c r="D16" s="2010"/>
      <c r="E16" s="2587"/>
      <c r="F16" s="1247" t="s">
        <v>1669</v>
      </c>
      <c r="G16" s="1005" t="str">
        <f>G4</f>
        <v>估价对象紧邻六环高速路、公共交通通达情况较好、综合评价交通便捷度较好</v>
      </c>
    </row>
    <row r="17" spans="1:7" ht="40.5">
      <c r="A17" s="2590"/>
      <c r="B17" s="1245" t="s">
        <v>1670</v>
      </c>
      <c r="C17" s="1246" t="str">
        <f>C5</f>
        <v>估价对象位于XX商圈，周边办公楼项目较多，入驻率高，办公集聚程度较好</v>
      </c>
      <c r="D17" s="2011"/>
      <c r="E17" s="2587"/>
      <c r="F17" s="1247" t="s">
        <v>1675</v>
      </c>
      <c r="G17" s="3181" t="s">
        <v>3033</v>
      </c>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该园区内无污染型企业，绿化条件一般，卫生条件一般，整体环境状况一般</v>
      </c>
    </row>
    <row r="19" spans="1:7" ht="54">
      <c r="A19" s="2590"/>
      <c r="B19" s="1247" t="s">
        <v>1660</v>
      </c>
      <c r="C19" s="2795"/>
      <c r="D19" s="2010"/>
      <c r="E19" s="2587"/>
      <c r="F19" s="1231" t="s">
        <v>2549</v>
      </c>
      <c r="G19" s="1005" t="str">
        <f>G5</f>
        <v>估价对象所在区域公共配套设施齐备情况一般；基础设施水平一般；综合评价公用设施及基础设施水平一般</v>
      </c>
    </row>
    <row r="20" spans="1:7" ht="40.5">
      <c r="A20" s="2590"/>
      <c r="B20" s="1247" t="s">
        <v>1661</v>
      </c>
      <c r="C20" s="1246" t="str">
        <f>C9</f>
        <v>区域自然环境：；人文环境；综合评价环境状况一般</v>
      </c>
      <c r="D20" s="2011"/>
      <c r="E20" s="2587"/>
      <c r="F20" s="1231" t="s">
        <v>2550</v>
      </c>
      <c r="G20" s="1005" t="str">
        <f>G6</f>
        <v>五通</v>
      </c>
    </row>
    <row r="21" spans="1:7" ht="27">
      <c r="A21" s="2590"/>
      <c r="B21" s="1231" t="s">
        <v>2549</v>
      </c>
      <c r="C21" s="1005" t="str">
        <f>C7</f>
        <v>估价对象所在区域公共配套设施齐备情况</v>
      </c>
      <c r="D21" s="2010"/>
      <c r="E21" s="2587"/>
      <c r="F21" s="1247" t="s">
        <v>1662</v>
      </c>
      <c r="G21" s="3087" t="s">
        <v>3036</v>
      </c>
    </row>
    <row r="22" spans="1:7" ht="27">
      <c r="A22" s="2590"/>
      <c r="B22" s="1231" t="s">
        <v>2550</v>
      </c>
      <c r="C22" s="1005" t="str">
        <f>C8</f>
        <v>估价对象所在区域基础设施水平</v>
      </c>
      <c r="D22" s="2010"/>
      <c r="E22" s="2587"/>
      <c r="F22" s="1247" t="s">
        <v>1672</v>
      </c>
      <c r="G22" s="3181" t="s">
        <v>3034</v>
      </c>
    </row>
    <row r="23" spans="1:7" ht="15" thickBot="1">
      <c r="A23" s="2590"/>
      <c r="B23" s="1247" t="s">
        <v>1662</v>
      </c>
      <c r="C23" s="3087"/>
      <c r="E23" s="2588"/>
      <c r="F23" s="1248" t="s">
        <v>1676</v>
      </c>
      <c r="G23" s="3182" t="s">
        <v>3035</v>
      </c>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0" sqref="E30"/>
    </sheetView>
  </sheetViews>
  <sheetFormatPr defaultColWidth="14.625" defaultRowHeight="13.5"/>
  <cols>
    <col min="1" max="1" width="24.375" customWidth="1"/>
  </cols>
  <sheetData>
    <row r="1" spans="1:9" ht="16.5">
      <c r="A1" s="3047" t="s">
        <v>2846</v>
      </c>
      <c r="B1" s="3047">
        <f>SUM(B14:B23)</f>
        <v>80808</v>
      </c>
      <c r="C1" s="3048"/>
      <c r="D1" s="3048"/>
      <c r="E1" s="3048"/>
      <c r="F1" s="3048"/>
    </row>
    <row r="2" spans="1:9" ht="16.5">
      <c r="A2" s="3047" t="s">
        <v>2847</v>
      </c>
      <c r="B2" s="3047">
        <f>SUM(C14:C23)</f>
        <v>86802.49</v>
      </c>
      <c r="C2" s="3048"/>
      <c r="D2" s="3048"/>
      <c r="E2" s="3048"/>
      <c r="F2" s="3048"/>
    </row>
    <row r="3" spans="1:9" ht="16.5">
      <c r="A3" s="3047" t="s">
        <v>2848</v>
      </c>
      <c r="B3" s="3049">
        <f>项目基本情况!D3</f>
        <v>43290</v>
      </c>
      <c r="C3" s="3048"/>
      <c r="D3" s="3048"/>
      <c r="E3" s="3048"/>
      <c r="F3" s="3048"/>
    </row>
    <row r="4" spans="1:9" ht="33">
      <c r="A4" s="3047" t="s">
        <v>2849</v>
      </c>
      <c r="B4" s="3047" t="s">
        <v>2850</v>
      </c>
      <c r="C4" s="3047" t="s">
        <v>2851</v>
      </c>
      <c r="D4" s="3047" t="s">
        <v>2852</v>
      </c>
      <c r="E4" s="3048"/>
      <c r="F4" s="3048"/>
    </row>
    <row r="5" spans="1:9" ht="16.5">
      <c r="A5" s="3047" t="s">
        <v>2853</v>
      </c>
      <c r="B5" s="3047">
        <f ca="1">SUM(D14:D23)</f>
        <v>12064</v>
      </c>
      <c r="C5" s="3047">
        <f ca="1">ROUND(B5*10000/$B$1,0)</f>
        <v>1493</v>
      </c>
      <c r="D5" s="3047">
        <f ca="1">ROUND(B5*10000/$B$2,0)</f>
        <v>1390</v>
      </c>
      <c r="E5" s="3048"/>
      <c r="F5" s="3048"/>
    </row>
    <row r="6" spans="1:9" ht="16.5">
      <c r="A6" s="3047" t="s">
        <v>2854</v>
      </c>
      <c r="B6" s="3047">
        <f>SUM(G14:G23)</f>
        <v>0</v>
      </c>
      <c r="C6" s="3047">
        <f t="shared" ref="C6:C8" si="0">ROUND(B6*10000/$B$1,0)</f>
        <v>0</v>
      </c>
      <c r="D6" s="3047">
        <f t="shared" ref="D6:D8" si="1">ROUND(B6*10000/$B$2,0)</f>
        <v>0</v>
      </c>
      <c r="E6" s="3048"/>
      <c r="F6" s="3048"/>
    </row>
    <row r="7" spans="1:9" ht="16.5">
      <c r="A7" s="3047" t="s">
        <v>2855</v>
      </c>
      <c r="B7" s="3047">
        <f>SUM(H14:H23)</f>
        <v>0</v>
      </c>
      <c r="C7" s="3047">
        <f t="shared" si="0"/>
        <v>0</v>
      </c>
      <c r="D7" s="3047">
        <f t="shared" si="1"/>
        <v>0</v>
      </c>
      <c r="E7" s="3048"/>
      <c r="F7" s="3048"/>
    </row>
    <row r="8" spans="1:9" ht="16.5">
      <c r="A8" s="3047" t="s">
        <v>2856</v>
      </c>
      <c r="B8" s="3047">
        <f>SUM(I14:I23)</f>
        <v>0</v>
      </c>
      <c r="C8" s="3047">
        <f t="shared" si="0"/>
        <v>0</v>
      </c>
      <c r="D8" s="3047">
        <f t="shared" si="1"/>
        <v>0</v>
      </c>
      <c r="E8" s="3048"/>
      <c r="F8" s="3048"/>
    </row>
    <row r="9" spans="1:9" ht="16.5">
      <c r="A9" s="3047" t="s">
        <v>2857</v>
      </c>
      <c r="B9" s="3050"/>
      <c r="C9" s="3048"/>
      <c r="D9" s="3048"/>
      <c r="E9" s="3048"/>
      <c r="F9" s="3048"/>
    </row>
    <row r="10" spans="1:9" ht="16.5">
      <c r="A10" s="3047" t="s">
        <v>2858</v>
      </c>
      <c r="B10" s="3050"/>
      <c r="C10" s="3048"/>
      <c r="D10" s="3048"/>
      <c r="E10" s="3048"/>
      <c r="F10" s="3048"/>
    </row>
    <row r="11" spans="1:9" ht="16.5">
      <c r="A11" s="3047" t="s">
        <v>2875</v>
      </c>
      <c r="B11" s="3050"/>
      <c r="C11" s="3048"/>
      <c r="D11" s="3048"/>
      <c r="E11" s="3048"/>
      <c r="F11" s="3048"/>
    </row>
    <row r="12" spans="1:9" ht="16.5">
      <c r="A12" s="3048"/>
      <c r="B12" s="3048"/>
      <c r="C12" s="3048"/>
      <c r="D12" s="3048"/>
      <c r="E12" s="3048"/>
      <c r="F12" s="3048"/>
    </row>
    <row r="13" spans="1:9" ht="33">
      <c r="A13" s="3053" t="s">
        <v>2874</v>
      </c>
      <c r="B13" s="3051" t="s">
        <v>2846</v>
      </c>
      <c r="C13" s="3051" t="s">
        <v>2847</v>
      </c>
      <c r="D13" s="3051" t="s">
        <v>2859</v>
      </c>
      <c r="E13" s="3047" t="s">
        <v>2873</v>
      </c>
      <c r="F13" s="3047" t="s">
        <v>2852</v>
      </c>
      <c r="G13" s="3051" t="s">
        <v>2860</v>
      </c>
      <c r="H13" s="3051" t="s">
        <v>2861</v>
      </c>
      <c r="I13" s="3051" t="s">
        <v>2862</v>
      </c>
    </row>
    <row r="14" spans="1:9" ht="16.5">
      <c r="A14" s="3054" t="s">
        <v>2872</v>
      </c>
      <c r="B14" s="3051">
        <f>结果表!L38</f>
        <v>80808</v>
      </c>
      <c r="C14" s="3051">
        <f>结果表!K38</f>
        <v>86802.49</v>
      </c>
      <c r="D14" s="3051">
        <f ca="1">结果表!C42</f>
        <v>12064</v>
      </c>
      <c r="E14" s="3051">
        <f ca="1">ROUND(D14*10000/B14,0)</f>
        <v>1493</v>
      </c>
      <c r="F14" s="3051">
        <f ca="1">ROUND(D14*10000/C14,0)</f>
        <v>1390</v>
      </c>
      <c r="G14" s="3051" t="str">
        <f>结果表!C44</f>
        <v>——</v>
      </c>
      <c r="H14" s="3051" t="str">
        <f>结果表!C45</f>
        <v>——</v>
      </c>
      <c r="I14" s="3051" t="str">
        <f>结果表!C46</f>
        <v>——</v>
      </c>
    </row>
    <row r="15" spans="1:9" ht="16.5">
      <c r="A15" s="3054" t="s">
        <v>2863</v>
      </c>
      <c r="B15" s="3055"/>
      <c r="C15" s="3055"/>
      <c r="D15" s="3055"/>
      <c r="E15" s="3051" t="e">
        <f t="shared" ref="E15:E23" si="2">ROUND(D15*10000/B15,0)</f>
        <v>#DIV/0!</v>
      </c>
      <c r="F15" s="3051" t="e">
        <f t="shared" ref="F15:F23" si="3">ROUND(D15*10000/C15,0)</f>
        <v>#DIV/0!</v>
      </c>
      <c r="G15" s="3052"/>
      <c r="H15" s="3052"/>
      <c r="I15" s="3055"/>
    </row>
    <row r="16" spans="1:9" ht="16.5">
      <c r="A16" s="3054" t="s">
        <v>2864</v>
      </c>
      <c r="B16" s="3055"/>
      <c r="C16" s="3055"/>
      <c r="D16" s="3055"/>
      <c r="E16" s="3051" t="e">
        <f t="shared" si="2"/>
        <v>#DIV/0!</v>
      </c>
      <c r="F16" s="3051" t="e">
        <f t="shared" si="3"/>
        <v>#DIV/0!</v>
      </c>
      <c r="G16" s="3052"/>
      <c r="H16" s="3052"/>
      <c r="I16" s="3055"/>
    </row>
    <row r="17" spans="1:9" ht="16.5">
      <c r="A17" s="3054" t="s">
        <v>2865</v>
      </c>
      <c r="B17" s="3055"/>
      <c r="C17" s="3055"/>
      <c r="D17" s="3055"/>
      <c r="E17" s="3051" t="e">
        <f t="shared" si="2"/>
        <v>#DIV/0!</v>
      </c>
      <c r="F17" s="3051" t="e">
        <f t="shared" si="3"/>
        <v>#DIV/0!</v>
      </c>
      <c r="G17" s="3052"/>
      <c r="H17" s="3052"/>
      <c r="I17" s="3055"/>
    </row>
    <row r="18" spans="1:9" ht="16.5">
      <c r="A18" s="3054" t="s">
        <v>2866</v>
      </c>
      <c r="B18" s="3055"/>
      <c r="C18" s="3055"/>
      <c r="D18" s="3055"/>
      <c r="E18" s="3051" t="e">
        <f t="shared" si="2"/>
        <v>#DIV/0!</v>
      </c>
      <c r="F18" s="3051" t="e">
        <f t="shared" si="3"/>
        <v>#DIV/0!</v>
      </c>
      <c r="G18" s="3055"/>
      <c r="H18" s="3055"/>
      <c r="I18" s="3055"/>
    </row>
    <row r="19" spans="1:9" ht="16.5">
      <c r="A19" s="3054" t="s">
        <v>2867</v>
      </c>
      <c r="B19" s="3055"/>
      <c r="C19" s="3055"/>
      <c r="D19" s="3055"/>
      <c r="E19" s="3051" t="e">
        <f t="shared" si="2"/>
        <v>#DIV/0!</v>
      </c>
      <c r="F19" s="3051" t="e">
        <f t="shared" si="3"/>
        <v>#DIV/0!</v>
      </c>
      <c r="G19" s="3055"/>
      <c r="H19" s="3055"/>
      <c r="I19" s="3055"/>
    </row>
    <row r="20" spans="1:9" ht="16.5">
      <c r="A20" s="3054" t="s">
        <v>2868</v>
      </c>
      <c r="B20" s="3055"/>
      <c r="C20" s="3055"/>
      <c r="D20" s="3055"/>
      <c r="E20" s="3051" t="e">
        <f t="shared" si="2"/>
        <v>#DIV/0!</v>
      </c>
      <c r="F20" s="3051" t="e">
        <f t="shared" si="3"/>
        <v>#DIV/0!</v>
      </c>
      <c r="G20" s="3055"/>
      <c r="H20" s="3055"/>
      <c r="I20" s="3055"/>
    </row>
    <row r="21" spans="1:9" ht="16.5">
      <c r="A21" s="3054" t="s">
        <v>2869</v>
      </c>
      <c r="B21" s="3055"/>
      <c r="C21" s="3055"/>
      <c r="D21" s="3055"/>
      <c r="E21" s="3051" t="e">
        <f t="shared" si="2"/>
        <v>#DIV/0!</v>
      </c>
      <c r="F21" s="3051" t="e">
        <f t="shared" si="3"/>
        <v>#DIV/0!</v>
      </c>
      <c r="G21" s="3055"/>
      <c r="H21" s="3055"/>
      <c r="I21" s="3055"/>
    </row>
    <row r="22" spans="1:9" ht="16.5">
      <c r="A22" s="3054" t="s">
        <v>2870</v>
      </c>
      <c r="B22" s="3055"/>
      <c r="C22" s="3055"/>
      <c r="D22" s="3055"/>
      <c r="E22" s="3051" t="e">
        <f t="shared" si="2"/>
        <v>#DIV/0!</v>
      </c>
      <c r="F22" s="3051" t="e">
        <f t="shared" si="3"/>
        <v>#DIV/0!</v>
      </c>
      <c r="G22" s="3055"/>
      <c r="H22" s="3055"/>
      <c r="I22" s="3055"/>
    </row>
    <row r="23" spans="1:9" ht="16.5">
      <c r="A23" s="3054" t="s">
        <v>2871</v>
      </c>
      <c r="B23" s="3055"/>
      <c r="C23" s="3055"/>
      <c r="D23" s="3055"/>
      <c r="E23" s="3047" t="e">
        <f t="shared" si="2"/>
        <v>#DIV/0!</v>
      </c>
      <c r="F23" s="3047" t="e">
        <f t="shared" si="3"/>
        <v>#DIV/0!</v>
      </c>
      <c r="G23" s="3055"/>
      <c r="H23" s="3055"/>
      <c r="I23" s="3055"/>
    </row>
  </sheetData>
  <sheetProtection password="C66D" sheet="1" objects="1" scenarios="1"/>
  <phoneticPr fontId="23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30"/>
      <c r="K1" s="2030"/>
      <c r="L1" s="2030"/>
      <c r="M1" s="2030"/>
      <c r="N1" s="2030"/>
      <c r="O1" s="2030"/>
      <c r="P1" s="2030"/>
      <c r="Q1" s="2030"/>
      <c r="R1" s="2030"/>
      <c r="S1" s="2030"/>
      <c r="T1" s="2030"/>
      <c r="U1" s="2030"/>
      <c r="V1" s="2030"/>
    </row>
    <row r="2" spans="1:22" ht="21.75" customHeight="1" thickBot="1">
      <c r="A2" s="3408" t="str">
        <f>项目基本情况!K2</f>
        <v>北京市通州区马驹桥镇金桥科技产业基地出让国有建设用地使用权</v>
      </c>
      <c r="B2" s="3409"/>
      <c r="C2" s="3410"/>
      <c r="D2" s="3410"/>
      <c r="E2" s="3410"/>
      <c r="F2" s="3410"/>
      <c r="G2" s="3409"/>
      <c r="H2" s="3409"/>
      <c r="I2" s="3411"/>
      <c r="J2" s="2031"/>
      <c r="K2" s="2030"/>
      <c r="L2" s="2030"/>
      <c r="M2" s="2030"/>
      <c r="N2" s="2030"/>
      <c r="O2" s="2030"/>
      <c r="P2" s="2030"/>
      <c r="Q2" s="2030"/>
      <c r="R2" s="2030"/>
      <c r="S2" s="2030"/>
      <c r="T2" s="2030"/>
      <c r="U2" s="2030"/>
      <c r="V2" s="2030"/>
    </row>
    <row r="3" spans="1:22" ht="14.25">
      <c r="A3" s="3401" t="s">
        <v>298</v>
      </c>
      <c r="B3" s="3402"/>
      <c r="C3" s="3402"/>
      <c r="D3" s="3402"/>
      <c r="E3" s="3402"/>
      <c r="F3" s="3402"/>
      <c r="G3" s="3402"/>
      <c r="H3" s="3402"/>
      <c r="I3" s="3402"/>
      <c r="J3" s="2031"/>
      <c r="K3" s="2030"/>
      <c r="L3" s="2030"/>
      <c r="M3" s="2030"/>
      <c r="N3" s="2030"/>
      <c r="O3" s="2030"/>
      <c r="P3" s="2030"/>
      <c r="Q3" s="2030"/>
      <c r="R3" s="2030"/>
      <c r="S3" s="2030"/>
      <c r="T3" s="2030"/>
      <c r="U3" s="2030"/>
      <c r="V3" s="2030"/>
    </row>
    <row r="4" spans="1:22" ht="14.25">
      <c r="A4" s="258" t="s">
        <v>299</v>
      </c>
      <c r="B4" s="259" t="s">
        <v>300</v>
      </c>
      <c r="C4" s="260" t="s">
        <v>2952</v>
      </c>
      <c r="D4" s="260" t="s">
        <v>3315</v>
      </c>
      <c r="E4" s="3373" t="s">
        <v>301</v>
      </c>
      <c r="F4" s="3374"/>
      <c r="G4" s="3374"/>
      <c r="H4" s="3374"/>
      <c r="I4" s="3403"/>
      <c r="J4" s="2031"/>
      <c r="K4" s="2030"/>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比较法</v>
      </c>
      <c r="N4" s="2030"/>
      <c r="O4" s="2030"/>
      <c r="P4" s="2030"/>
      <c r="Q4" s="2030"/>
      <c r="R4" s="2030"/>
      <c r="S4" s="2030"/>
      <c r="T4" s="2030"/>
      <c r="U4" s="2030"/>
      <c r="V4" s="2030"/>
    </row>
    <row r="5" spans="1:22" ht="14.25">
      <c r="A5" s="3372" t="s">
        <v>302</v>
      </c>
      <c r="B5" s="3398">
        <v>25</v>
      </c>
      <c r="C5" s="3396">
        <v>3</v>
      </c>
      <c r="D5" s="3400">
        <v>7</v>
      </c>
      <c r="E5" s="261" t="s">
        <v>303</v>
      </c>
      <c r="F5" s="262"/>
      <c r="G5" s="262"/>
      <c r="H5" s="262"/>
      <c r="I5" s="263"/>
      <c r="J5" s="2031"/>
      <c r="K5" s="2030"/>
      <c r="L5" s="2030"/>
      <c r="M5" s="2030"/>
      <c r="N5" s="2030"/>
      <c r="O5" s="2030"/>
      <c r="P5" s="2030"/>
      <c r="Q5" s="2030"/>
      <c r="R5" s="2030"/>
      <c r="S5" s="2030"/>
      <c r="T5" s="2030"/>
      <c r="U5" s="2030"/>
      <c r="V5" s="2030"/>
    </row>
    <row r="6" spans="1:22" ht="14.25">
      <c r="A6" s="3372"/>
      <c r="B6" s="3398"/>
      <c r="C6" s="3399"/>
      <c r="D6" s="3400"/>
      <c r="E6" s="261" t="s">
        <v>304</v>
      </c>
      <c r="F6" s="262"/>
      <c r="G6" s="262"/>
      <c r="H6" s="262"/>
      <c r="I6" s="263"/>
      <c r="J6" s="2031"/>
      <c r="K6" s="2030"/>
      <c r="L6" s="2030"/>
      <c r="M6" s="2030"/>
      <c r="N6" s="2030"/>
      <c r="O6" s="2030"/>
      <c r="P6" s="2030"/>
      <c r="Q6" s="2030"/>
      <c r="R6" s="2030"/>
      <c r="S6" s="2030"/>
      <c r="T6" s="2030"/>
      <c r="U6" s="2030"/>
      <c r="V6" s="2030"/>
    </row>
    <row r="7" spans="1:22" ht="14.25">
      <c r="A7" s="3372"/>
      <c r="B7" s="3398"/>
      <c r="C7" s="3397"/>
      <c r="D7" s="3400"/>
      <c r="E7" s="261" t="s">
        <v>305</v>
      </c>
      <c r="F7" s="262"/>
      <c r="G7" s="262"/>
      <c r="H7" s="262"/>
      <c r="I7" s="263"/>
      <c r="J7" s="2031"/>
      <c r="K7" s="2030"/>
      <c r="L7" s="2030"/>
      <c r="M7" s="2030"/>
      <c r="N7" s="2030"/>
      <c r="O7" s="2030"/>
      <c r="P7" s="2030"/>
      <c r="Q7" s="2030"/>
      <c r="R7" s="2030"/>
      <c r="S7" s="2030"/>
      <c r="T7" s="2030"/>
      <c r="U7" s="2030"/>
      <c r="V7" s="2030"/>
    </row>
    <row r="8" spans="1:22" ht="14.25">
      <c r="A8" s="3372" t="s">
        <v>306</v>
      </c>
      <c r="B8" s="3398">
        <v>15</v>
      </c>
      <c r="C8" s="3396"/>
      <c r="D8" s="3400"/>
      <c r="E8" s="261" t="s">
        <v>307</v>
      </c>
      <c r="F8" s="262"/>
      <c r="G8" s="262"/>
      <c r="H8" s="262"/>
      <c r="I8" s="263"/>
      <c r="J8" s="2031"/>
      <c r="K8" s="2030"/>
      <c r="L8" s="2030"/>
      <c r="M8" s="2030"/>
      <c r="N8" s="2030"/>
      <c r="O8" s="2030"/>
      <c r="P8" s="2030"/>
      <c r="Q8" s="2030"/>
      <c r="R8" s="2030"/>
      <c r="S8" s="2030"/>
      <c r="T8" s="2030"/>
      <c r="U8" s="2030"/>
      <c r="V8" s="2030"/>
    </row>
    <row r="9" spans="1:22" ht="14.25">
      <c r="A9" s="3372"/>
      <c r="B9" s="3398"/>
      <c r="C9" s="3397"/>
      <c r="D9" s="3400"/>
      <c r="E9" s="261" t="s">
        <v>308</v>
      </c>
      <c r="F9" s="262"/>
      <c r="G9" s="262"/>
      <c r="H9" s="262"/>
      <c r="I9" s="263"/>
      <c r="J9" s="2031"/>
      <c r="K9" s="2030"/>
      <c r="L9" s="2030"/>
      <c r="M9" s="2030"/>
      <c r="N9" s="2030"/>
      <c r="O9" s="2030"/>
      <c r="P9" s="2030"/>
      <c r="Q9" s="2030"/>
      <c r="R9" s="2030"/>
      <c r="S9" s="2030"/>
      <c r="T9" s="2030"/>
      <c r="U9" s="2030"/>
      <c r="V9" s="2030"/>
    </row>
    <row r="10" spans="1:22" ht="14.25">
      <c r="A10" s="3372" t="s">
        <v>309</v>
      </c>
      <c r="B10" s="3398">
        <v>15</v>
      </c>
      <c r="C10" s="3396"/>
      <c r="D10" s="3400"/>
      <c r="E10" s="261" t="s">
        <v>310</v>
      </c>
      <c r="F10" s="262"/>
      <c r="G10" s="262"/>
      <c r="H10" s="262"/>
      <c r="I10" s="263"/>
      <c r="J10" s="2031"/>
      <c r="K10" s="2030"/>
      <c r="L10" s="2030"/>
      <c r="M10" s="2030"/>
      <c r="N10" s="2030"/>
      <c r="O10" s="2030"/>
      <c r="P10" s="2030"/>
      <c r="Q10" s="2030"/>
      <c r="R10" s="2030"/>
      <c r="S10" s="2030"/>
      <c r="T10" s="2030"/>
      <c r="U10" s="2030"/>
      <c r="V10" s="2030"/>
    </row>
    <row r="11" spans="1:22" ht="14.25">
      <c r="A11" s="3372"/>
      <c r="B11" s="3398"/>
      <c r="C11" s="3397"/>
      <c r="D11" s="3400"/>
      <c r="E11" s="261" t="s">
        <v>311</v>
      </c>
      <c r="F11" s="262"/>
      <c r="G11" s="262"/>
      <c r="H11" s="262"/>
      <c r="I11" s="263"/>
      <c r="J11" s="2031"/>
      <c r="K11" s="2030"/>
      <c r="L11" s="2030"/>
      <c r="M11" s="2030"/>
      <c r="N11" s="2030"/>
      <c r="O11" s="2030"/>
      <c r="P11" s="2030"/>
      <c r="Q11" s="2030"/>
      <c r="R11" s="2030"/>
      <c r="S11" s="2030"/>
      <c r="T11" s="2030"/>
      <c r="U11" s="2030"/>
      <c r="V11" s="2030"/>
    </row>
    <row r="12" spans="1:22" ht="14.25">
      <c r="A12" s="3372" t="s">
        <v>312</v>
      </c>
      <c r="B12" s="3398">
        <v>15</v>
      </c>
      <c r="C12" s="3396"/>
      <c r="D12" s="3400"/>
      <c r="E12" s="261" t="s">
        <v>313</v>
      </c>
      <c r="F12" s="262"/>
      <c r="G12" s="262"/>
      <c r="H12" s="262"/>
      <c r="I12" s="263"/>
      <c r="J12" s="2031"/>
      <c r="K12" s="2030"/>
      <c r="L12" s="2030"/>
      <c r="M12" s="2030"/>
      <c r="N12" s="2030"/>
      <c r="O12" s="2030"/>
      <c r="P12" s="2030"/>
      <c r="Q12" s="2030"/>
      <c r="R12" s="2030"/>
      <c r="S12" s="2030"/>
      <c r="T12" s="2030"/>
      <c r="U12" s="2030"/>
      <c r="V12" s="2030"/>
    </row>
    <row r="13" spans="1:22" ht="14.25">
      <c r="A13" s="3372"/>
      <c r="B13" s="3398"/>
      <c r="C13" s="3397"/>
      <c r="D13" s="3400"/>
      <c r="E13" s="261" t="s">
        <v>314</v>
      </c>
      <c r="F13" s="262"/>
      <c r="G13" s="262"/>
      <c r="H13" s="262"/>
      <c r="I13" s="263"/>
      <c r="J13" s="2031"/>
      <c r="K13" s="2030"/>
      <c r="L13" s="2030"/>
      <c r="M13" s="2030"/>
      <c r="N13" s="2030"/>
      <c r="O13" s="2030"/>
      <c r="P13" s="2030"/>
      <c r="Q13" s="2030"/>
      <c r="R13" s="2030"/>
      <c r="S13" s="2030"/>
      <c r="T13" s="2030"/>
      <c r="U13" s="2030"/>
      <c r="V13" s="2030"/>
    </row>
    <row r="14" spans="1:22" ht="14.25">
      <c r="A14" s="3372" t="s">
        <v>315</v>
      </c>
      <c r="B14" s="3398">
        <v>30</v>
      </c>
      <c r="C14" s="3396"/>
      <c r="D14" s="3400"/>
      <c r="E14" s="261" t="s">
        <v>316</v>
      </c>
      <c r="F14" s="262"/>
      <c r="G14" s="262"/>
      <c r="H14" s="262"/>
      <c r="I14" s="263"/>
      <c r="J14" s="2031"/>
      <c r="K14" s="2030"/>
      <c r="L14" s="2030"/>
      <c r="M14" s="2030"/>
      <c r="N14" s="2030"/>
      <c r="O14" s="2030"/>
      <c r="P14" s="2030"/>
      <c r="Q14" s="2030"/>
      <c r="R14" s="2030"/>
      <c r="S14" s="2030"/>
      <c r="T14" s="2030"/>
      <c r="U14" s="2030"/>
      <c r="V14" s="2030"/>
    </row>
    <row r="15" spans="1:22" ht="14.25">
      <c r="A15" s="3372"/>
      <c r="B15" s="3398"/>
      <c r="C15" s="3399"/>
      <c r="D15" s="3400"/>
      <c r="E15" s="261" t="s">
        <v>317</v>
      </c>
      <c r="F15" s="262"/>
      <c r="G15" s="262"/>
      <c r="H15" s="262"/>
      <c r="I15" s="263"/>
      <c r="J15" s="2031"/>
      <c r="K15" s="2030"/>
      <c r="L15" s="2030"/>
      <c r="M15" s="2030"/>
      <c r="N15" s="2030"/>
      <c r="O15" s="2030"/>
      <c r="P15" s="2030"/>
      <c r="Q15" s="2030"/>
      <c r="R15" s="2030"/>
      <c r="S15" s="2030"/>
      <c r="T15" s="2030"/>
      <c r="U15" s="2030"/>
      <c r="V15" s="2030"/>
    </row>
    <row r="16" spans="1:22" ht="14.25">
      <c r="A16" s="3372"/>
      <c r="B16" s="3398"/>
      <c r="C16" s="3397"/>
      <c r="D16" s="3400"/>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3</v>
      </c>
      <c r="D17" s="265">
        <f>SUM(D5:D16)</f>
        <v>7</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0.3</v>
      </c>
      <c r="D18" s="267">
        <f>1-C18</f>
        <v>0.7</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9972</v>
      </c>
      <c r="D19" s="271">
        <f ca="1">SUMIF(INDIRECT("'"&amp;D4&amp;"'"&amp;"!A:A"),结果表!B19,INDIRECT("'"&amp;D4&amp;"'"&amp;"!B:B"))</f>
        <v>12960</v>
      </c>
      <c r="E19" s="268" t="s">
        <v>323</v>
      </c>
      <c r="F19" s="269" t="s">
        <v>322</v>
      </c>
      <c r="G19" s="272">
        <f ca="1">ROUND(C19*$C$18+D19*$D$18,0)</f>
        <v>12064</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1234</v>
      </c>
      <c r="D20" s="277">
        <f ca="1">SUMIF(INDIRECT("'"&amp;D4&amp;"'"&amp;"!A:A"),结果表!B20,INDIRECT("'"&amp;D4&amp;"'"&amp;"!B:B"))</f>
        <v>1604</v>
      </c>
      <c r="E20" s="274"/>
      <c r="F20" s="275" t="s">
        <v>325</v>
      </c>
      <c r="G20" s="278">
        <f ca="1">ROUND(C20*$C$18+D20*$D$18,0)</f>
        <v>1493</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1149</v>
      </c>
      <c r="D21" s="151">
        <f ca="1">SUMIF(INDIRECT("'"&amp;D4&amp;"'"&amp;"!A:A"),结果表!B21,INDIRECT("'"&amp;D4&amp;"'"&amp;"!B:B"))</f>
        <v>1493</v>
      </c>
      <c r="E21" s="274"/>
      <c r="F21" s="280" t="s">
        <v>327</v>
      </c>
      <c r="G21" s="282">
        <f ca="1">ROUND(C21*$C$18+D21*$D$18,0)</f>
        <v>1390</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0.29963898916967513</v>
      </c>
      <c r="E22" s="284"/>
      <c r="F22" s="285"/>
      <c r="G22" s="286">
        <f ca="1">ROUND(G19/('数据-汇总表'!D3/666.67),0)</f>
        <v>93</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78"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79"/>
      <c r="B25" s="1321" t="s">
        <v>331</v>
      </c>
      <c r="C25" s="290">
        <f>IF(B30=0,0,C30)</f>
        <v>0</v>
      </c>
      <c r="D25" s="291"/>
      <c r="E25" s="311"/>
      <c r="F25" s="311"/>
      <c r="G25" s="311"/>
      <c r="H25" s="311"/>
      <c r="I25" s="311"/>
      <c r="J25" s="2030"/>
      <c r="K25" s="1255" t="str">
        <f ca="1">项目基本情况!B16&amp;"国有建设用地使用权价格："&amp;O38&amp;"万元"</f>
        <v>出让国有建设用地使用权价格：12064万元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大写金额：人民币壹亿贰仟零陆拾肆万元整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单位面积地价：1390元/平方米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楼面地价：1493元/平方米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29" t="s">
        <v>336</v>
      </c>
      <c r="B30" s="309"/>
      <c r="C30" s="309"/>
      <c r="D30" s="310"/>
      <c r="E30" s="3130" t="s">
        <v>2969</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337</v>
      </c>
      <c r="B32" s="1382" t="s">
        <v>1689</v>
      </c>
      <c r="C32" s="1383">
        <f ca="1">G19-C24</f>
        <v>12064</v>
      </c>
      <c r="D32" s="1384" t="s">
        <v>1690</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340</v>
      </c>
      <c r="B33" s="1385" t="s">
        <v>1691</v>
      </c>
      <c r="C33" s="264">
        <f ca="1">ROUND(C32*10000/'数据-汇总表'!E3,0)</f>
        <v>1493</v>
      </c>
      <c r="D33" s="1386" t="s">
        <v>1692</v>
      </c>
      <c r="E33" s="3378"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1390</v>
      </c>
      <c r="D34" s="1388" t="s">
        <v>1692</v>
      </c>
      <c r="E34" s="3419"/>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93</v>
      </c>
      <c r="D35" s="1391" t="s">
        <v>1694</v>
      </c>
      <c r="E35" s="3420"/>
      <c r="F35" s="301" t="s">
        <v>342</v>
      </c>
      <c r="G35" s="982"/>
      <c r="H35" s="981" t="s">
        <v>343</v>
      </c>
      <c r="I35" s="311"/>
      <c r="J35" s="2030"/>
      <c r="K35" s="3393" t="s">
        <v>350</v>
      </c>
      <c r="L35" s="3393" t="s">
        <v>351</v>
      </c>
      <c r="M35" s="1264" t="s">
        <v>352</v>
      </c>
      <c r="N35" s="3393" t="s">
        <v>353</v>
      </c>
      <c r="O35" s="3393" t="s">
        <v>354</v>
      </c>
      <c r="P35" s="2030"/>
      <c r="V35" s="2030"/>
    </row>
    <row r="36" spans="1:26" ht="16.5" customHeight="1">
      <c r="A36" s="303" t="s">
        <v>344</v>
      </c>
      <c r="B36" s="304" t="s">
        <v>333</v>
      </c>
      <c r="C36" s="305" t="s">
        <v>345</v>
      </c>
      <c r="D36" s="305" t="s">
        <v>346</v>
      </c>
      <c r="E36" s="306" t="s">
        <v>347</v>
      </c>
      <c r="F36" s="311"/>
      <c r="G36" s="311"/>
      <c r="H36" s="311"/>
      <c r="I36" s="311"/>
      <c r="J36" s="2032"/>
      <c r="K36" s="3394"/>
      <c r="L36" s="3394"/>
      <c r="M36" s="1266" t="s">
        <v>355</v>
      </c>
      <c r="N36" s="3394"/>
      <c r="O36" s="3394"/>
      <c r="P36" s="2030"/>
      <c r="V36" s="2030"/>
    </row>
    <row r="37" spans="1:26" ht="16.5" customHeight="1" thickBot="1">
      <c r="A37" s="1260" t="s">
        <v>348</v>
      </c>
      <c r="B37" s="307"/>
      <c r="C37" s="294"/>
      <c r="D37" s="294"/>
      <c r="E37" s="295"/>
      <c r="F37" s="311"/>
      <c r="G37" s="311"/>
      <c r="H37" s="311"/>
      <c r="I37" s="311"/>
      <c r="J37" s="2032"/>
      <c r="K37" s="3395"/>
      <c r="L37" s="3395"/>
      <c r="M37" s="1267"/>
      <c r="N37" s="3395"/>
      <c r="O37" s="3395"/>
      <c r="P37" s="2030"/>
      <c r="V37" s="2030"/>
    </row>
    <row r="38" spans="1:26" ht="16.5" customHeight="1" thickBot="1">
      <c r="A38" s="1260" t="s">
        <v>349</v>
      </c>
      <c r="B38" s="307"/>
      <c r="C38" s="294"/>
      <c r="D38" s="294"/>
      <c r="E38" s="295"/>
      <c r="F38" s="311"/>
      <c r="G38" s="311"/>
      <c r="H38" s="311"/>
      <c r="I38" s="311"/>
      <c r="J38" s="2032"/>
      <c r="K38" s="1268">
        <f>'数据-汇总表'!D3</f>
        <v>86802.49</v>
      </c>
      <c r="L38" s="1269">
        <f>'数据-汇总表'!E3</f>
        <v>80808</v>
      </c>
      <c r="M38" s="1269">
        <f ca="1">C34</f>
        <v>1390</v>
      </c>
      <c r="N38" s="1269">
        <f ca="1">C33</f>
        <v>1493</v>
      </c>
      <c r="O38" s="1270">
        <f ca="1">C32</f>
        <v>12064</v>
      </c>
      <c r="P38" s="2030"/>
      <c r="V38" s="2030"/>
    </row>
    <row r="39" spans="1:26" ht="16.5" customHeight="1" thickBot="1">
      <c r="A39" s="1265"/>
      <c r="B39" s="308"/>
      <c r="C39" s="309"/>
      <c r="D39" s="309"/>
      <c r="E39" s="310"/>
      <c r="F39" s="311"/>
      <c r="G39" s="311"/>
      <c r="H39" s="311"/>
      <c r="I39" s="311"/>
      <c r="J39" s="2032"/>
      <c r="K39" s="3438" t="str">
        <f>MID(A44,3,LEN(A44)-2)</f>
        <v/>
      </c>
      <c r="L39" s="3439"/>
      <c r="M39" s="3439"/>
      <c r="N39" s="3440"/>
      <c r="O39" s="1393" t="str">
        <f>C44</f>
        <v>——</v>
      </c>
      <c r="P39" s="2030"/>
      <c r="V39" s="2030"/>
    </row>
    <row r="40" spans="1:26" ht="19.5" thickBot="1">
      <c r="A40" s="104" t="s">
        <v>873</v>
      </c>
      <c r="B40" s="311"/>
      <c r="C40" s="311"/>
      <c r="D40" s="311"/>
      <c r="E40" s="311"/>
      <c r="F40" s="311"/>
      <c r="G40" s="311"/>
      <c r="H40" s="311"/>
      <c r="I40" s="311"/>
      <c r="J40" s="2032"/>
      <c r="K40" s="3438" t="str">
        <f t="shared" ref="K40:K41" si="0">MID(A45,3,LEN(A45)-2)</f>
        <v/>
      </c>
      <c r="L40" s="3439"/>
      <c r="M40" s="3439"/>
      <c r="N40" s="3440"/>
      <c r="O40" s="1393" t="str">
        <f>C45</f>
        <v>——</v>
      </c>
      <c r="P40" s="2030"/>
      <c r="V40" s="2030"/>
    </row>
    <row r="41" spans="1:26" ht="16.5" thickBot="1">
      <c r="A41" s="312" t="s">
        <v>356</v>
      </c>
      <c r="B41" s="313"/>
      <c r="C41" s="314" t="s">
        <v>357</v>
      </c>
      <c r="D41" s="315" t="s">
        <v>358</v>
      </c>
      <c r="E41" s="315" t="s">
        <v>359</v>
      </c>
      <c r="F41" s="316" t="s">
        <v>360</v>
      </c>
      <c r="G41" s="311"/>
      <c r="H41" s="311"/>
      <c r="I41" s="311"/>
      <c r="J41" s="2032"/>
      <c r="K41" s="3438" t="str">
        <f t="shared" si="0"/>
        <v/>
      </c>
      <c r="L41" s="3439"/>
      <c r="M41" s="3439"/>
      <c r="N41" s="3440"/>
      <c r="O41" s="1393" t="str">
        <f>C46</f>
        <v>——</v>
      </c>
      <c r="P41" s="2030"/>
      <c r="V41" s="2030"/>
    </row>
    <row r="42" spans="1:26" ht="29.25">
      <c r="A42" s="3380" t="s">
        <v>2070</v>
      </c>
      <c r="B42" s="3381"/>
      <c r="C42" s="264">
        <f ca="1">C32</f>
        <v>12064</v>
      </c>
      <c r="D42" s="317">
        <f ca="1">C33</f>
        <v>1493</v>
      </c>
      <c r="E42" s="317">
        <f ca="1">C34</f>
        <v>1390</v>
      </c>
      <c r="F42" s="318">
        <f ca="1">C35</f>
        <v>93</v>
      </c>
      <c r="G42" s="311"/>
      <c r="H42" s="311"/>
      <c r="I42" s="319"/>
      <c r="J42" s="2032"/>
      <c r="K42" s="1271" t="s">
        <v>361</v>
      </c>
      <c r="L42" s="2049" t="s">
        <v>362</v>
      </c>
      <c r="M42" s="1272" t="s">
        <v>363</v>
      </c>
      <c r="N42" s="2050" t="s">
        <v>364</v>
      </c>
      <c r="O42" s="2051" t="s">
        <v>365</v>
      </c>
      <c r="P42" s="2030"/>
      <c r="V42" s="2030"/>
    </row>
    <row r="43" spans="1:26" ht="18">
      <c r="A43" s="3391" t="s">
        <v>2733</v>
      </c>
      <c r="B43" s="3392"/>
      <c r="C43" s="264">
        <f>IF(H33="正常操作",G33+G34+G35,G34+G35)</f>
        <v>0</v>
      </c>
      <c r="D43" s="317" t="s">
        <v>43</v>
      </c>
      <c r="E43" s="317" t="s">
        <v>44</v>
      </c>
      <c r="F43" s="318" t="s">
        <v>44</v>
      </c>
      <c r="G43" s="2868" t="s">
        <v>952</v>
      </c>
      <c r="H43" s="311"/>
      <c r="I43" s="319"/>
      <c r="J43" s="2032"/>
      <c r="K43" s="1273" t="str">
        <f>C4</f>
        <v>基准地价</v>
      </c>
      <c r="L43" s="1274">
        <f ca="1">IF(L42="估价结果/万元",C19,C20)</f>
        <v>9972</v>
      </c>
      <c r="M43" s="1275">
        <f>C18</f>
        <v>0.3</v>
      </c>
      <c r="N43" s="1276">
        <f ca="1">IF(N42="测算结果/万元",G19,G20)</f>
        <v>12064</v>
      </c>
      <c r="O43" s="1277">
        <f ca="1">IF(O42="最终结果/万元",C32,C33)</f>
        <v>12064</v>
      </c>
      <c r="P43" s="2030"/>
      <c r="V43" s="2030"/>
    </row>
    <row r="44" spans="1:26" ht="18.75" thickBot="1">
      <c r="A44" s="3380" t="str">
        <f>IF(OR(项目基本情况!E8="抵押价格",项目基本情况!E8="已注销及未注销"),"3.抵押价格","——")</f>
        <v>——</v>
      </c>
      <c r="B44" s="3381"/>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比较法-工业</v>
      </c>
      <c r="L44" s="1279">
        <f ca="1">IF(L42="估价结果/万元",D19,D20)</f>
        <v>12960</v>
      </c>
      <c r="M44" s="1280">
        <f>D18</f>
        <v>0.7</v>
      </c>
      <c r="N44" s="1281"/>
      <c r="O44" s="1282"/>
      <c r="P44" s="2030"/>
      <c r="V44" s="2030"/>
    </row>
    <row r="45" spans="1:26" ht="15">
      <c r="A45" s="3386" t="str">
        <f>IF(项目基本情况!E8="已注销及未注销","4.抵押担保权已注销时的抵押价格",IF(项目基本情况!E8="已注销","3.抵押担保权已注销时的抵押价格","——"))</f>
        <v>——</v>
      </c>
      <c r="B45" s="3387"/>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82" t="str">
        <f>IF(项目基本情况!E9="抵押净值",IF(A45="——","4.抵押净值","5.抵押净值"),"——")</f>
        <v>——</v>
      </c>
      <c r="B46" s="3383"/>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427" t="s">
        <v>374</v>
      </c>
      <c r="B63" s="3428"/>
      <c r="C63" s="3429"/>
      <c r="D63" s="341">
        <f ca="1">ROUND(C42*F63,0)</f>
        <v>7238</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88" t="s">
        <v>378</v>
      </c>
      <c r="B64" s="3389"/>
      <c r="C64" s="3389"/>
      <c r="D64" s="3389"/>
      <c r="E64" s="3389"/>
      <c r="F64" s="3389"/>
      <c r="G64" s="3390"/>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84" t="s">
        <v>386</v>
      </c>
      <c r="B66" s="3385"/>
      <c r="C66" s="3385"/>
      <c r="D66" s="261">
        <f ca="1">IF(H66="情况1",0,IF(H66="情况2",D70,IF(H66="情况3",D71,IF(H66="情况4",D72))))</f>
        <v>379</v>
      </c>
      <c r="E66" s="993" t="str">
        <f>IF(H66="情况4","(销售额-原购置价)×税（费）率","销售额×税（费）率")</f>
        <v>销售额×税（费）率</v>
      </c>
      <c r="F66" s="350">
        <f>IF(H66="情况1","免征",'数据-取费表'!B41)</f>
        <v>5.5000000000000007E-2</v>
      </c>
      <c r="G66" s="351" t="s">
        <v>387</v>
      </c>
      <c r="H66" s="191" t="s">
        <v>388</v>
      </c>
      <c r="I66" s="1288"/>
      <c r="J66" s="2036"/>
      <c r="K66" s="1291">
        <v>1</v>
      </c>
      <c r="L66" s="3442" t="s">
        <v>385</v>
      </c>
      <c r="M66" s="3443"/>
      <c r="N66" s="2460"/>
      <c r="O66" s="2461"/>
      <c r="P66" s="2462"/>
      <c r="Q66" s="2030"/>
      <c r="R66" s="2030"/>
      <c r="S66" s="2030"/>
      <c r="T66" s="2030"/>
      <c r="U66" s="2030"/>
      <c r="V66" s="2030"/>
    </row>
    <row r="67" spans="1:22" ht="25.5" customHeight="1">
      <c r="A67" s="352" t="s">
        <v>390</v>
      </c>
      <c r="B67" s="3375" t="s">
        <v>391</v>
      </c>
      <c r="C67" s="3375"/>
      <c r="D67" s="353">
        <v>0</v>
      </c>
      <c r="E67" s="41" t="s">
        <v>392</v>
      </c>
      <c r="F67" s="62" t="s">
        <v>21</v>
      </c>
      <c r="G67" s="3430"/>
      <c r="H67" s="311"/>
      <c r="I67" s="1292"/>
      <c r="J67" s="2037"/>
      <c r="K67" s="1978">
        <v>2</v>
      </c>
      <c r="L67" s="3441" t="s">
        <v>389</v>
      </c>
      <c r="M67" s="3441"/>
      <c r="N67" s="1325">
        <f>'数据-取费表'!B2</f>
        <v>43290</v>
      </c>
      <c r="O67" s="1325"/>
      <c r="P67" s="1325"/>
      <c r="Q67" s="2030"/>
      <c r="R67" s="2030"/>
      <c r="S67" s="2030"/>
      <c r="T67" s="2030"/>
      <c r="U67" s="2030"/>
      <c r="V67" s="2030"/>
    </row>
    <row r="68" spans="1:22" ht="25.5" customHeight="1">
      <c r="A68" s="354"/>
      <c r="B68" s="3375" t="s">
        <v>394</v>
      </c>
      <c r="C68" s="3375"/>
      <c r="D68" s="355"/>
      <c r="E68" s="77"/>
      <c r="F68" s="356"/>
      <c r="G68" s="3431"/>
      <c r="H68" s="311"/>
      <c r="I68" s="1292"/>
      <c r="J68" s="2037"/>
      <c r="K68" s="1978">
        <v>3</v>
      </c>
      <c r="L68" s="3441" t="s">
        <v>393</v>
      </c>
      <c r="M68" s="3441"/>
      <c r="N68" s="1293">
        <f ca="1">C42</f>
        <v>12064</v>
      </c>
      <c r="O68" s="1293"/>
      <c r="P68" s="1293"/>
      <c r="Q68" s="2030"/>
      <c r="R68" s="2030"/>
      <c r="S68" s="2030"/>
      <c r="T68" s="2030"/>
      <c r="U68" s="2030"/>
      <c r="V68" s="2030"/>
    </row>
    <row r="69" spans="1:22" ht="12" customHeight="1">
      <c r="A69" s="357"/>
      <c r="B69" s="3375" t="s">
        <v>395</v>
      </c>
      <c r="C69" s="3375"/>
      <c r="D69" s="358"/>
      <c r="E69" s="73"/>
      <c r="F69" s="356"/>
      <c r="G69" s="3432"/>
      <c r="H69" s="311"/>
      <c r="I69" s="1292"/>
      <c r="J69" s="2037"/>
      <c r="K69" s="1294">
        <v>4</v>
      </c>
      <c r="L69" s="3446" t="s">
        <v>2885</v>
      </c>
      <c r="M69" s="3447"/>
      <c r="N69" s="1295" t="str">
        <f>C44</f>
        <v>——</v>
      </c>
      <c r="O69" s="1295"/>
      <c r="P69" s="1295"/>
      <c r="Q69" s="2030"/>
      <c r="R69" s="2030"/>
      <c r="S69" s="2030"/>
      <c r="T69" s="2030"/>
      <c r="U69" s="2030"/>
      <c r="V69" s="2030"/>
    </row>
    <row r="70" spans="1:22" ht="24" customHeight="1">
      <c r="A70" s="359" t="s">
        <v>396</v>
      </c>
      <c r="B70" s="3375" t="s">
        <v>397</v>
      </c>
      <c r="C70" s="3375"/>
      <c r="D70" s="358">
        <f ca="1">ROUND(D63*'数据-取费表'!B41/(1+'数据-取费表'!C42),0)</f>
        <v>379</v>
      </c>
      <c r="E70" s="17" t="s">
        <v>398</v>
      </c>
      <c r="F70" s="360">
        <f>'数据-取费表'!B41</f>
        <v>5.5000000000000007E-2</v>
      </c>
      <c r="G70" s="361"/>
      <c r="H70" s="311"/>
      <c r="I70" s="1292"/>
      <c r="J70" s="2037"/>
      <c r="K70" s="3064"/>
      <c r="L70" s="3065"/>
      <c r="M70" s="3065"/>
      <c r="N70" s="3066" t="s">
        <v>2890</v>
      </c>
      <c r="O70" s="3065"/>
      <c r="P70" s="3067"/>
      <c r="Q70" s="2030"/>
      <c r="R70" s="2030"/>
      <c r="S70" s="2030"/>
      <c r="T70" s="2030"/>
      <c r="U70" s="2030"/>
      <c r="V70" s="2030"/>
    </row>
    <row r="71" spans="1:22" ht="12" customHeight="1">
      <c r="A71" s="359" t="s">
        <v>404</v>
      </c>
      <c r="B71" s="3376" t="s">
        <v>405</v>
      </c>
      <c r="C71" s="3377"/>
      <c r="D71" s="358">
        <f ca="1">ROUND(D63*'数据-取费表'!B41/(1+'数据-取费表'!C42),0)</f>
        <v>379</v>
      </c>
      <c r="E71" s="17" t="s">
        <v>398</v>
      </c>
      <c r="F71" s="360">
        <f>'数据-取费表'!B41</f>
        <v>5.5000000000000007E-2</v>
      </c>
      <c r="G71" s="361"/>
      <c r="H71" s="311"/>
      <c r="I71" s="1292"/>
      <c r="J71" s="2037"/>
      <c r="K71" s="3063" t="s">
        <v>399</v>
      </c>
      <c r="L71" s="3448" t="s">
        <v>400</v>
      </c>
      <c r="M71" s="3448"/>
      <c r="N71" s="3063" t="s">
        <v>401</v>
      </c>
      <c r="O71" s="3063" t="s">
        <v>402</v>
      </c>
      <c r="P71" s="3063" t="s">
        <v>403</v>
      </c>
      <c r="Q71" s="2030"/>
      <c r="R71" s="2030"/>
      <c r="S71" s="2030"/>
      <c r="T71" s="2030"/>
      <c r="U71" s="2030"/>
      <c r="V71" s="2030"/>
    </row>
    <row r="72" spans="1:22" ht="12" customHeight="1">
      <c r="A72" s="359" t="s">
        <v>407</v>
      </c>
      <c r="B72" s="3376" t="s">
        <v>408</v>
      </c>
      <c r="C72" s="3377"/>
      <c r="D72" s="358">
        <f ca="1">C86</f>
        <v>269</v>
      </c>
      <c r="E72" s="73" t="s">
        <v>409</v>
      </c>
      <c r="F72" s="360">
        <f>'数据-取费表'!B41</f>
        <v>5.5000000000000007E-2</v>
      </c>
      <c r="G72" s="361"/>
      <c r="H72" s="1298"/>
      <c r="I72" s="1292"/>
      <c r="J72" s="2037"/>
      <c r="K72" s="1978">
        <v>1</v>
      </c>
      <c r="L72" s="3423" t="s">
        <v>406</v>
      </c>
      <c r="M72" s="3423"/>
      <c r="N72" s="1296">
        <f ca="1">D66</f>
        <v>379</v>
      </c>
      <c r="O72" s="1861" t="str">
        <f>E66</f>
        <v>销售额×税（费）率</v>
      </c>
      <c r="P72" s="1297">
        <f>F66</f>
        <v>5.5000000000000007E-2</v>
      </c>
      <c r="Q72" s="2030"/>
      <c r="R72" s="2030"/>
      <c r="S72" s="2030"/>
      <c r="T72" s="2030"/>
      <c r="U72" s="2030"/>
      <c r="V72" s="2030"/>
    </row>
    <row r="73" spans="1:22" ht="24" customHeight="1">
      <c r="A73" s="3417" t="s">
        <v>411</v>
      </c>
      <c r="B73" s="3385"/>
      <c r="C73" s="3385"/>
      <c r="D73" s="362">
        <f>IF(H73="个人住宅",0,ROUND(D63*I73,0))</f>
        <v>0</v>
      </c>
      <c r="E73" s="17" t="s">
        <v>412</v>
      </c>
      <c r="F73" s="360" t="str">
        <f>IF(H73="正常",I73,"免征")</f>
        <v>免征</v>
      </c>
      <c r="G73" s="361"/>
      <c r="H73" s="191" t="s">
        <v>2458</v>
      </c>
      <c r="I73" s="360">
        <f>'数据-取费表'!B49</f>
        <v>5.0000000000000001E-4</v>
      </c>
      <c r="J73" s="2037"/>
      <c r="K73" s="1978">
        <v>2</v>
      </c>
      <c r="L73" s="3423" t="s">
        <v>410</v>
      </c>
      <c r="M73" s="3423"/>
      <c r="N73" s="1296">
        <f t="shared" ref="N73:P74" si="1">D73</f>
        <v>0</v>
      </c>
      <c r="O73" s="1861" t="str">
        <f t="shared" si="1"/>
        <v>销售额×税（费）率</v>
      </c>
      <c r="P73" s="1297" t="str">
        <f t="shared" si="1"/>
        <v>免征</v>
      </c>
      <c r="Q73" s="2030"/>
      <c r="R73" s="2030"/>
      <c r="S73" s="2030"/>
      <c r="T73" s="2030"/>
      <c r="U73" s="2030"/>
      <c r="V73" s="2030"/>
    </row>
    <row r="74" spans="1:22" ht="24.75">
      <c r="A74" s="3417" t="s">
        <v>415</v>
      </c>
      <c r="B74" s="3385"/>
      <c r="C74" s="3385"/>
      <c r="D74" s="362">
        <f ca="1">IF(H74="个人住宅",D75,D76)</f>
        <v>3448</v>
      </c>
      <c r="E74" s="17" t="s">
        <v>416</v>
      </c>
      <c r="F74" s="360" t="str">
        <f>IF(H74="正常",F76,"免征")</f>
        <v>——</v>
      </c>
      <c r="G74" s="983" t="s">
        <v>417</v>
      </c>
      <c r="H74" s="363" t="s">
        <v>413</v>
      </c>
      <c r="I74" s="42"/>
      <c r="J74" s="2037"/>
      <c r="K74" s="1978">
        <v>3</v>
      </c>
      <c r="L74" s="3423" t="s">
        <v>414</v>
      </c>
      <c r="M74" s="3423"/>
      <c r="N74" s="1296">
        <f t="shared" ca="1" si="1"/>
        <v>3448</v>
      </c>
      <c r="O74" s="1861" t="str">
        <f t="shared" si="1"/>
        <v>增值额×税（费）率</v>
      </c>
      <c r="P74" s="1299" t="str">
        <f t="shared" si="1"/>
        <v>——</v>
      </c>
      <c r="Q74" s="2030"/>
      <c r="R74" s="2030"/>
      <c r="S74" s="2030"/>
      <c r="T74" s="2030"/>
      <c r="U74" s="2030"/>
      <c r="V74" s="2030"/>
    </row>
    <row r="75" spans="1:22" ht="24">
      <c r="A75" s="359" t="s">
        <v>418</v>
      </c>
      <c r="B75" s="3373" t="s">
        <v>419</v>
      </c>
      <c r="C75" s="3403"/>
      <c r="D75" s="364">
        <v>0</v>
      </c>
      <c r="E75" s="41" t="s">
        <v>420</v>
      </c>
      <c r="F75" s="365"/>
      <c r="G75" s="361"/>
      <c r="H75" s="42"/>
      <c r="I75" s="42"/>
      <c r="J75" s="2037"/>
      <c r="K75" s="3056">
        <f>IF(H77="非个人房产","",4)</f>
        <v>4</v>
      </c>
      <c r="L75" s="3423" t="str">
        <f>IF(H77="非个人房产","——","个人所得税")</f>
        <v>个人所得税</v>
      </c>
      <c r="M75" s="3423"/>
      <c r="N75" s="1300">
        <f ca="1">D77</f>
        <v>72</v>
      </c>
      <c r="O75" s="1874" t="str">
        <f>E77</f>
        <v>销售额×税（费）率</v>
      </c>
      <c r="P75" s="1301">
        <f>F77</f>
        <v>0.01</v>
      </c>
      <c r="Q75" s="2030"/>
      <c r="R75" s="2030"/>
      <c r="S75" s="2030"/>
      <c r="T75" s="2030"/>
      <c r="U75" s="2030"/>
      <c r="V75" s="2030"/>
    </row>
    <row r="76" spans="1:22" ht="24.75">
      <c r="A76" s="359" t="s">
        <v>396</v>
      </c>
      <c r="B76" s="3373" t="s">
        <v>422</v>
      </c>
      <c r="C76" s="3374"/>
      <c r="D76" s="362">
        <f ca="1">IF(H76="转让取得",C99,C115)</f>
        <v>3448</v>
      </c>
      <c r="E76" s="17" t="s">
        <v>423</v>
      </c>
      <c r="F76" s="53" t="s">
        <v>21</v>
      </c>
      <c r="G76" s="361"/>
      <c r="H76" s="363" t="s">
        <v>424</v>
      </c>
      <c r="I76" s="42"/>
      <c r="J76" s="2037"/>
      <c r="K76" s="3056" t="str">
        <f>IF(项目基本情况!K6="上海银行",IF(K75="",4,K75+1),"")</f>
        <v/>
      </c>
      <c r="L76" s="3434" t="str">
        <f>IF(项目基本情况!K6="上海银行","其他处置费用","")</f>
        <v/>
      </c>
      <c r="M76" s="3435"/>
      <c r="N76" s="1296" t="str">
        <f>IF(项目基本情况!K6="上海银行",N89,"")</f>
        <v/>
      </c>
      <c r="O76" s="3436" t="str">
        <f>IF(项目基本情况!K6="上海银行","包含处置中涉及的律师、诉讼、拍卖、评估等费用","")</f>
        <v/>
      </c>
      <c r="P76" s="3437"/>
      <c r="Q76" s="2030"/>
      <c r="R76" s="2030"/>
      <c r="S76" s="2030"/>
      <c r="T76" s="2030"/>
      <c r="U76" s="2030"/>
      <c r="V76" s="2030"/>
    </row>
    <row r="77" spans="1:22" ht="26.25" thickBot="1">
      <c r="A77" s="3425" t="s">
        <v>426</v>
      </c>
      <c r="B77" s="3426"/>
      <c r="C77" s="3426"/>
      <c r="D77" s="366">
        <f ca="1">IF(H77="非个人房产","——",IF(H77="个人住宅",0,ROUND(D63*I77,0)))</f>
        <v>72</v>
      </c>
      <c r="E77" s="367" t="str">
        <f>IF(H77="非个人房产","——","销售额×税（费）率")</f>
        <v>销售额×税（费）率</v>
      </c>
      <c r="F77" s="368">
        <f>IF(H77="非个人房产","——",IF(H77="个人住宅","免征",I77))</f>
        <v>0.01</v>
      </c>
      <c r="G77" s="984" t="s">
        <v>417</v>
      </c>
      <c r="H77" s="363" t="s">
        <v>2886</v>
      </c>
      <c r="I77" s="369">
        <v>0.01</v>
      </c>
      <c r="J77" s="2037"/>
      <c r="K77" s="3424">
        <f>IF(AND(K75="",K76=""),4,IF(项目基本情况!K6="上海银行",K76+1,K75+1))</f>
        <v>5</v>
      </c>
      <c r="L77" s="3423" t="s">
        <v>2887</v>
      </c>
      <c r="M77" s="3062" t="s">
        <v>421</v>
      </c>
      <c r="N77" s="1302"/>
      <c r="O77" s="1303">
        <f ca="1">SUMIF(N72:N76,"&lt;9e307")</f>
        <v>3899</v>
      </c>
      <c r="P77" s="1304"/>
      <c r="Q77" s="3060" t="e">
        <f ca="1">O77/N69</f>
        <v>#VALUE!</v>
      </c>
      <c r="R77" s="2030"/>
      <c r="S77" s="2030"/>
      <c r="T77" s="2030"/>
      <c r="U77" s="2030"/>
      <c r="V77" s="2030"/>
    </row>
    <row r="78" spans="1:22" ht="12" customHeight="1">
      <c r="A78" s="1305"/>
      <c r="B78" s="311"/>
      <c r="C78" s="311"/>
      <c r="D78" s="311"/>
      <c r="E78" s="42"/>
      <c r="F78" s="42"/>
      <c r="G78" s="42"/>
      <c r="H78" s="1003"/>
      <c r="I78" s="311"/>
      <c r="J78" s="2037"/>
      <c r="K78" s="3424"/>
      <c r="L78" s="3423"/>
      <c r="M78" s="3062" t="s">
        <v>425</v>
      </c>
      <c r="N78" s="1302"/>
      <c r="O78" s="1303" t="str">
        <f ca="1">NUMBERSTRING(INT(O77*10000),2)&amp;"元整"</f>
        <v>叁仟捌佰玖拾玖万元整</v>
      </c>
      <c r="P78" s="1304"/>
      <c r="Q78" s="2030"/>
      <c r="R78" s="2030"/>
      <c r="S78" s="2030"/>
      <c r="T78" s="2030"/>
      <c r="U78" s="2030"/>
      <c r="V78" s="2030"/>
    </row>
    <row r="79" spans="1:22" ht="13.5" thickBot="1">
      <c r="A79" s="3418" t="s">
        <v>427</v>
      </c>
      <c r="B79" s="3418"/>
      <c r="C79" s="3418"/>
      <c r="D79" s="3418"/>
      <c r="E79" s="3418"/>
      <c r="F79" s="42"/>
      <c r="G79" s="42"/>
      <c r="H79" s="1003"/>
      <c r="I79" s="311"/>
      <c r="J79" s="2037"/>
      <c r="K79" s="3444">
        <f>K77+1</f>
        <v>6</v>
      </c>
      <c r="L79" s="3423" t="s">
        <v>2888</v>
      </c>
      <c r="M79" s="3062" t="s">
        <v>421</v>
      </c>
      <c r="N79" s="1302"/>
      <c r="O79" s="1303" t="e">
        <f ca="1">N69-O77</f>
        <v>#VALUE!</v>
      </c>
      <c r="P79" s="1304"/>
      <c r="Q79" s="2030"/>
      <c r="R79" s="2030"/>
      <c r="S79" s="2030"/>
      <c r="T79" s="2030"/>
      <c r="U79" s="2030"/>
      <c r="V79" s="2030"/>
    </row>
    <row r="80" spans="1:22" ht="12.75">
      <c r="A80" s="3413" t="s">
        <v>428</v>
      </c>
      <c r="B80" s="3414"/>
      <c r="C80" s="994"/>
      <c r="D80" s="994" t="s">
        <v>429</v>
      </c>
      <c r="E80" s="370" t="s">
        <v>430</v>
      </c>
      <c r="F80" s="42"/>
      <c r="G80" s="42"/>
      <c r="H80" s="1003"/>
      <c r="I80" s="311"/>
      <c r="J80" s="2030"/>
      <c r="K80" s="3445"/>
      <c r="L80" s="3423"/>
      <c r="M80" s="3062" t="s">
        <v>425</v>
      </c>
      <c r="N80" s="1302"/>
      <c r="O80" s="1303" t="e">
        <f ca="1">NUMBERSTRING(INT(O79*10000),2)&amp;"元整"</f>
        <v>#VALUE!</v>
      </c>
      <c r="P80" s="1304"/>
      <c r="Q80" s="2030"/>
      <c r="R80" s="2030"/>
      <c r="S80" s="2030"/>
      <c r="T80" s="2030"/>
      <c r="U80" s="2030"/>
      <c r="V80" s="2030"/>
    </row>
    <row r="81" spans="1:26" ht="13.5" thickBot="1">
      <c r="A81" s="381" t="s">
        <v>1824</v>
      </c>
      <c r="B81" s="371" t="s">
        <v>431</v>
      </c>
      <c r="C81" s="372">
        <f ca="1">ROUND((C82+C83)/(1+'数据-取费表'!C42),0)</f>
        <v>6893</v>
      </c>
      <c r="D81" s="373"/>
      <c r="E81" s="374"/>
      <c r="F81" s="42"/>
      <c r="G81" s="42"/>
      <c r="H81" s="1003"/>
      <c r="I81" s="311"/>
      <c r="J81" s="2030"/>
      <c r="K81" s="3056">
        <f>K79+1</f>
        <v>7</v>
      </c>
      <c r="L81" s="3421" t="s">
        <v>2889</v>
      </c>
      <c r="M81" s="3422"/>
      <c r="N81" s="1306"/>
      <c r="O81" s="1307" t="e">
        <f ca="1">ROUND(O79*10000/'数据-汇总表'!E3,0)</f>
        <v>#VALUE!</v>
      </c>
      <c r="P81" s="1308"/>
      <c r="Q81" s="2030"/>
      <c r="R81" s="2030"/>
      <c r="S81" s="2030"/>
      <c r="T81" s="2030"/>
      <c r="U81" s="2030"/>
      <c r="V81" s="2030"/>
    </row>
    <row r="82" spans="1:26" ht="13.5" thickTop="1">
      <c r="A82" s="375" t="s">
        <v>1825</v>
      </c>
      <c r="B82" s="376" t="s">
        <v>432</v>
      </c>
      <c r="C82" s="377">
        <f ca="1">D63</f>
        <v>7238</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433" t="s">
        <v>2876</v>
      </c>
      <c r="L83" s="3068" t="s">
        <v>2877</v>
      </c>
      <c r="M83" s="3058" t="e">
        <f>IF(N69&gt;10000,N69*0.5%,IF(AND(N69&gt;1000,N69&lt;=10000),N69*1%,IF(AND(N69&gt;100,N69&lt;=1000),N69*3%,IF(AND(N69&gt;10,N69&lt;=100),N69*5%,N69*8%))))</f>
        <v>#VALUE!</v>
      </c>
      <c r="N83" s="53" t="e">
        <f>ROUND(M83,1)</f>
        <v>#VALUE!</v>
      </c>
      <c r="O83" s="3061"/>
      <c r="P83" s="2030"/>
      <c r="Q83" s="2030"/>
      <c r="R83" s="2030"/>
      <c r="S83" s="2030"/>
      <c r="T83" s="2030"/>
      <c r="U83" s="2030"/>
      <c r="V83" s="2030"/>
    </row>
    <row r="84" spans="1:26" ht="12.75">
      <c r="A84" s="381" t="s">
        <v>1827</v>
      </c>
      <c r="B84" s="382" t="s">
        <v>434</v>
      </c>
      <c r="C84" s="383">
        <v>2000</v>
      </c>
      <c r="D84" s="384" t="s">
        <v>19</v>
      </c>
      <c r="E84" s="3100" t="s">
        <v>2941</v>
      </c>
      <c r="F84" s="42"/>
      <c r="G84" s="42"/>
      <c r="H84" s="1003"/>
      <c r="I84" s="311"/>
      <c r="J84" s="2030"/>
      <c r="K84" s="3433"/>
      <c r="L84" s="3068" t="s">
        <v>2878</v>
      </c>
      <c r="M84" s="30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2879</v>
      </c>
      <c r="P84" s="2030"/>
      <c r="Q84" s="2030"/>
      <c r="R84" s="2030"/>
      <c r="S84" s="2030"/>
      <c r="T84" s="2030"/>
      <c r="U84" s="2030"/>
      <c r="V84" s="2030"/>
    </row>
    <row r="85" spans="1:26" ht="12.75">
      <c r="A85" s="381" t="s">
        <v>1828</v>
      </c>
      <c r="B85" s="382" t="s">
        <v>435</v>
      </c>
      <c r="C85" s="385">
        <f ca="1">C81-C84</f>
        <v>4893</v>
      </c>
      <c r="D85" s="378" t="s">
        <v>19</v>
      </c>
      <c r="E85" s="379"/>
      <c r="F85" s="42"/>
      <c r="G85" s="42"/>
      <c r="H85" s="1003"/>
      <c r="I85" s="311"/>
      <c r="J85" s="2030"/>
      <c r="K85" s="3433"/>
      <c r="L85" s="3068" t="s">
        <v>2880</v>
      </c>
      <c r="M85" s="3058" t="e">
        <f>IF(N69&gt;1000,N69*0.1%,IF(AND(N69&gt;500,N69&lt;=1000),N69*0.5%,IF(AND(N69&gt;50,N69&lt;=500),N69*1%,IF(AND(N69&gt;1,N69&lt;=50),N69*1.5%))))</f>
        <v>#VALUE!</v>
      </c>
      <c r="N85" s="53" t="e">
        <f t="shared" si="2"/>
        <v>#VALUE!</v>
      </c>
      <c r="O85" s="2030" t="s">
        <v>2879</v>
      </c>
      <c r="P85" s="2030"/>
      <c r="Q85" s="2030"/>
      <c r="R85" s="2030"/>
      <c r="S85" s="2030"/>
      <c r="T85" s="2030"/>
      <c r="U85" s="2030"/>
      <c r="V85" s="2030"/>
    </row>
    <row r="86" spans="1:26" ht="13.5" thickBot="1">
      <c r="A86" s="386" t="s">
        <v>1829</v>
      </c>
      <c r="B86" s="387" t="s">
        <v>436</v>
      </c>
      <c r="C86" s="388">
        <f ca="1">IF(C85&lt;=0,0,ROUND(C85*D86,0))</f>
        <v>269</v>
      </c>
      <c r="D86" s="389">
        <f>'数据-取费表'!B41</f>
        <v>5.5000000000000007E-2</v>
      </c>
      <c r="E86" s="390"/>
      <c r="F86" s="42"/>
      <c r="G86" s="42"/>
      <c r="H86" s="1003"/>
      <c r="I86" s="311"/>
      <c r="J86" s="2030"/>
      <c r="K86" s="3433"/>
      <c r="L86" s="3068" t="s">
        <v>2881</v>
      </c>
      <c r="M86" s="3058" t="e">
        <f>N69*0.5%</f>
        <v>#VALUE!</v>
      </c>
      <c r="N86" s="53" t="e">
        <f>IF(M86&gt;0.5,0.5,ROUND(M86,0))</f>
        <v>#VALUE!</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433"/>
      <c r="L87" s="3068" t="s">
        <v>2883</v>
      </c>
      <c r="M87" s="30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1"/>
      <c r="P87" s="311"/>
      <c r="Q87" s="2030"/>
      <c r="R87" s="2030"/>
      <c r="S87" s="2030"/>
      <c r="T87" s="2030"/>
      <c r="U87" s="2030"/>
      <c r="V87" s="2030"/>
      <c r="W87" s="292"/>
      <c r="X87" s="292"/>
      <c r="Y87" s="292"/>
      <c r="Z87" s="292"/>
    </row>
    <row r="88" spans="1:26" s="1314" customFormat="1" ht="15" thickBot="1">
      <c r="A88" s="3415" t="s">
        <v>437</v>
      </c>
      <c r="B88" s="3416"/>
      <c r="C88" s="3416"/>
      <c r="D88" s="3416"/>
      <c r="E88" s="3416"/>
      <c r="F88" s="3416"/>
      <c r="G88" s="3416"/>
      <c r="H88" s="3416"/>
      <c r="I88" s="1315"/>
      <c r="J88" s="2038"/>
      <c r="K88" s="3433"/>
      <c r="L88" s="3068" t="s">
        <v>2884</v>
      </c>
      <c r="M88" s="3058" t="e">
        <f>IF(N69&gt;10000,N69*0.5%,IF(AND(N69&gt;5000,N69&lt;=10000),N69*1%,IF(AND(N69&gt;1000,N69&lt;=5000),N69*2%,IF(AND(N69&gt;200,N69&lt;=1000),N69*3%,N69*5%))))</f>
        <v>#VALUE!</v>
      </c>
      <c r="N88" s="53" t="e">
        <f>ROUND(M88,1)</f>
        <v>#VALUE!</v>
      </c>
      <c r="O88" s="3061"/>
      <c r="P88" s="11"/>
      <c r="Q88" s="2035"/>
      <c r="R88" s="2035"/>
      <c r="S88" s="2035"/>
      <c r="T88" s="2035"/>
      <c r="U88" s="2035"/>
      <c r="V88" s="2035"/>
      <c r="W88" s="2039"/>
      <c r="X88" s="2039"/>
      <c r="Y88" s="2039"/>
      <c r="Z88" s="2039"/>
    </row>
    <row r="89" spans="1:26" s="1314" customFormat="1" ht="14.25">
      <c r="A89" s="3413" t="s">
        <v>428</v>
      </c>
      <c r="B89" s="3414"/>
      <c r="C89" s="994"/>
      <c r="D89" s="994" t="s">
        <v>429</v>
      </c>
      <c r="E89" s="391" t="s">
        <v>438</v>
      </c>
      <c r="F89" s="392"/>
      <c r="G89" s="392"/>
      <c r="H89" s="393"/>
      <c r="I89" s="1316"/>
      <c r="J89" s="2040"/>
      <c r="K89" s="3433"/>
      <c r="L89" s="3068" t="s">
        <v>27</v>
      </c>
      <c r="M89" s="3059"/>
      <c r="N89" s="53" t="e">
        <f>ROUND(SUM(N83:N88),0)</f>
        <v>#VALUE!</v>
      </c>
      <c r="O89" s="3069" t="e">
        <f>N89/N69</f>
        <v>#VALUE!</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6893</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2595</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76" t="s">
        <v>447</v>
      </c>
      <c r="F94" s="3375"/>
      <c r="G94" s="3375"/>
      <c r="H94" s="3412"/>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34</v>
      </c>
      <c r="D96" s="406">
        <f>'数据-取费表'!B43</f>
        <v>5.000000000000001E-3</v>
      </c>
      <c r="E96" s="3404" t="s">
        <v>2431</v>
      </c>
      <c r="F96" s="3405"/>
      <c r="G96" s="3405"/>
      <c r="H96" s="3406"/>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4298</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1.65626204238921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1760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415" t="s">
        <v>454</v>
      </c>
      <c r="B101" s="3416"/>
      <c r="C101" s="3416"/>
      <c r="D101" s="3416"/>
      <c r="E101" s="3416"/>
      <c r="F101" s="3416"/>
      <c r="G101" s="3416"/>
      <c r="H101" s="3416"/>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413" t="s">
        <v>428</v>
      </c>
      <c r="B102" s="3414"/>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6893</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724</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407" t="s">
        <v>462</v>
      </c>
      <c r="F109" s="3405"/>
      <c r="G109" s="3405"/>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407" t="s">
        <v>464</v>
      </c>
      <c r="F110" s="3405"/>
      <c r="G110" s="3405"/>
      <c r="H110" s="3406"/>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34</v>
      </c>
      <c r="D111" s="406">
        <f>'数据-取费表'!B43</f>
        <v>5.000000000000001E-3</v>
      </c>
      <c r="E111" s="3404" t="s">
        <v>2431</v>
      </c>
      <c r="F111" s="3405"/>
      <c r="G111" s="3405"/>
      <c r="H111" s="3406"/>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407" t="s">
        <v>2456</v>
      </c>
      <c r="F112" s="3405"/>
      <c r="G112" s="3405"/>
      <c r="H112" s="3406"/>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6169</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8.5207182320441994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3448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1"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8</v>
      </c>
    </row>
    <row r="2" spans="1:31" s="2043" customFormat="1" ht="18" customHeight="1">
      <c r="A2" s="2103" t="s">
        <v>467</v>
      </c>
      <c r="B2" s="2107">
        <f ca="1">C36</f>
        <v>-3172</v>
      </c>
      <c r="C2" s="2106"/>
      <c r="D2" s="2106"/>
      <c r="E2" s="2106"/>
      <c r="F2" s="2106"/>
      <c r="G2" s="2106"/>
      <c r="H2" s="2106"/>
      <c r="I2" s="2106"/>
      <c r="J2" s="2106"/>
      <c r="K2" s="2106"/>
    </row>
    <row r="3" spans="1:31" s="2043" customFormat="1" ht="18" customHeight="1">
      <c r="A3" s="2108" t="s">
        <v>1685</v>
      </c>
      <c r="B3" s="2109">
        <f ca="1">ROUND(B2*10000/IF(B1="",'数据-汇总表'!E3,INDIRECT("'数据-取费表'!K"&amp;$K$1)),0)</f>
        <v>-393</v>
      </c>
      <c r="C3" s="2106"/>
      <c r="D3" s="2106"/>
      <c r="E3" s="2106"/>
      <c r="F3" s="2106"/>
      <c r="G3" s="2106"/>
      <c r="H3" s="2106"/>
      <c r="I3" s="2106"/>
      <c r="J3" s="2106"/>
      <c r="K3" s="2106"/>
    </row>
    <row r="4" spans="1:31" s="2043" customFormat="1" ht="18" customHeight="1">
      <c r="A4" s="426" t="s">
        <v>468</v>
      </c>
      <c r="B4" s="427">
        <f ca="1">ROUND(B2*10000/IF(B1="",'数据-汇总表'!D3,INDIRECT("'数据-取费表'!R"&amp;$K$1)),0)</f>
        <v>-365</v>
      </c>
      <c r="C4" s="428"/>
      <c r="D4" s="422"/>
      <c r="E4" s="422"/>
      <c r="F4" s="422"/>
      <c r="G4" s="422"/>
      <c r="H4" s="422"/>
      <c r="I4" s="422"/>
      <c r="J4" s="422"/>
      <c r="K4" s="422"/>
    </row>
    <row r="5" spans="1:31" s="2043" customFormat="1" ht="18" customHeight="1" thickBot="1">
      <c r="A5" s="429"/>
      <c r="B5" s="430">
        <f ca="1">ROUND(B2/(IF(B1="",'数据-汇总表'!D3,INDIRECT("'数据-取费表'!R"&amp;$K$1))/666.67),0)</f>
        <v>-24</v>
      </c>
      <c r="C5" s="431" t="s">
        <v>469</v>
      </c>
      <c r="D5" s="422"/>
      <c r="E5" s="422"/>
      <c r="F5" s="422"/>
      <c r="G5" s="422"/>
      <c r="H5" s="422"/>
      <c r="I5" s="422"/>
      <c r="J5" s="422"/>
      <c r="K5" s="422"/>
    </row>
    <row r="6" spans="1:31" s="2113" customFormat="1" ht="16.5" customHeight="1">
      <c r="A6" s="2830" t="s">
        <v>1843</v>
      </c>
      <c r="B6" s="2831"/>
      <c r="C6" s="2832">
        <f>SUM(C10:K10)</f>
        <v>0</v>
      </c>
      <c r="D6" s="2831"/>
      <c r="E6" s="2831"/>
      <c r="F6" s="2831"/>
      <c r="G6" s="2831"/>
      <c r="H6" s="2831"/>
      <c r="I6" s="2831"/>
      <c r="J6" s="2831"/>
      <c r="K6" s="2833"/>
    </row>
    <row r="7" spans="1:31" s="2115" customFormat="1" ht="15">
      <c r="A7" s="2834" t="s">
        <v>470</v>
      </c>
      <c r="B7" s="28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1"/>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0</v>
      </c>
      <c r="D13" s="2846"/>
      <c r="E13" s="2847"/>
      <c r="F13" s="2848"/>
      <c r="G13" s="2814"/>
      <c r="H13" s="2815"/>
      <c r="I13" s="2815"/>
      <c r="J13" s="2815"/>
      <c r="K13" s="2816"/>
    </row>
    <row r="14" spans="1:31" s="2118" customFormat="1" ht="13.5" customHeight="1">
      <c r="A14" s="2844" t="s">
        <v>1850</v>
      </c>
      <c r="B14" s="2845" t="s">
        <v>480</v>
      </c>
      <c r="C14" s="53">
        <f ca="1">ROUND(C13*F14,0)</f>
        <v>0</v>
      </c>
      <c r="D14" s="2846"/>
      <c r="E14" s="2847"/>
      <c r="F14" s="2849">
        <f>'数据-取费表'!B33</f>
        <v>0.03</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0</v>
      </c>
      <c r="D15" s="2846"/>
      <c r="E15" s="2847"/>
      <c r="F15" s="2849">
        <f>'数据-取费表'!B34</f>
        <v>0</v>
      </c>
      <c r="G15" s="2814" t="s">
        <v>483</v>
      </c>
      <c r="H15" s="2815"/>
      <c r="I15" s="2815"/>
      <c r="J15" s="2815"/>
      <c r="K15" s="2816"/>
    </row>
    <row r="16" spans="1:31" s="2119" customFormat="1" ht="13.5" customHeight="1">
      <c r="A16" s="2844" t="s">
        <v>1852</v>
      </c>
      <c r="B16" s="2845" t="s">
        <v>484</v>
      </c>
      <c r="C16" s="53">
        <f ca="1">ROUND(D16*E16/10000,0)</f>
        <v>1616</v>
      </c>
      <c r="D16" s="2846">
        <f ca="1">IF(B1="",'数据-汇总表'!E3,INDIRECT("'数据-取费表'!K"&amp;$K$1)+INDIRECT("'数据-取费表'!S"&amp;$K$1))</f>
        <v>80808</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0</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1616</v>
      </c>
      <c r="D18" s="2855"/>
      <c r="E18" s="468"/>
      <c r="F18" s="468"/>
      <c r="G18" s="2818" t="s">
        <v>2433</v>
      </c>
      <c r="H18" s="2819"/>
      <c r="I18" s="2819"/>
      <c r="J18" s="2819"/>
      <c r="K18" s="2820"/>
    </row>
    <row r="19" spans="1:14" s="2118" customFormat="1" ht="13.5" customHeight="1">
      <c r="A19" s="2852" t="s">
        <v>1855</v>
      </c>
      <c r="B19" s="2853" t="s">
        <v>488</v>
      </c>
      <c r="C19" s="2810">
        <f ca="1">ROUND(D19*E19/10000,0)</f>
        <v>0</v>
      </c>
      <c r="D19" s="2856">
        <f ca="1">D16</f>
        <v>80808</v>
      </c>
      <c r="E19" s="2810">
        <f>'数据-取费表'!B32</f>
        <v>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1616</v>
      </c>
      <c r="D20" s="2856"/>
      <c r="E20" s="2810"/>
      <c r="F20" s="2857"/>
      <c r="G20" s="3088"/>
      <c r="H20" s="2812"/>
      <c r="I20" s="2813" t="s">
        <v>2654</v>
      </c>
      <c r="J20" s="2819"/>
      <c r="K20" s="2820"/>
    </row>
    <row r="21" spans="1:14" s="2118" customFormat="1" ht="13.5" customHeight="1">
      <c r="A21" s="2844" t="s">
        <v>1857</v>
      </c>
      <c r="B21" s="2845" t="s">
        <v>491</v>
      </c>
      <c r="C21" s="53">
        <f ca="1">ROUND(D21*E21/10000,0)</f>
        <v>0</v>
      </c>
      <c r="D21" s="2846">
        <f ca="1">IF(B1="",'数据-汇总表'!E5,IF(INDIRECT("'数据-取费表'!c"&amp;$K$1)="住宅",INDIRECT("'数据-取费表'!k"&amp;$K$1),0))</f>
        <v>0</v>
      </c>
      <c r="E21" s="53">
        <f>'数据-取费表'!B27</f>
        <v>0</v>
      </c>
      <c r="F21" s="2849"/>
      <c r="G21" s="26"/>
      <c r="H21" s="51"/>
      <c r="I21" s="51"/>
      <c r="J21" s="51"/>
      <c r="K21" s="2821"/>
    </row>
    <row r="22" spans="1:14" s="2118" customFormat="1" ht="13.5" customHeight="1">
      <c r="A22" s="2844" t="s">
        <v>1858</v>
      </c>
      <c r="B22" s="2845" t="s">
        <v>492</v>
      </c>
      <c r="C22" s="53">
        <f ca="1">ROUND(D22*E22/10000,0)</f>
        <v>1616</v>
      </c>
      <c r="D22" s="2846">
        <f ca="1">IF(B1="",'数据-汇总表'!E6,IF(INDIRECT("'数据-取费表'!c"&amp;$K$1)="住宅",INDIRECT("'数据-取费表'!s"&amp;$K$1),INDIRECT("'数据-取费表'!k"&amp;$K$1)+INDIRECT("'数据-取费表'!s"&amp;$K$1)))</f>
        <v>80808</v>
      </c>
      <c r="E22" s="53">
        <f>'数据-取费表'!B28</f>
        <v>200</v>
      </c>
      <c r="F22" s="2849"/>
      <c r="G22" s="26"/>
      <c r="H22" s="51"/>
      <c r="I22" s="51"/>
      <c r="J22" s="51"/>
      <c r="K22" s="2821"/>
    </row>
    <row r="23" spans="1:14" s="2118" customFormat="1" ht="13.5" customHeight="1">
      <c r="A23" s="2852" t="s">
        <v>1859</v>
      </c>
      <c r="B23" s="3037" t="s">
        <v>2836</v>
      </c>
      <c r="C23" s="2854">
        <f ca="1">ROUND((C18+C19+C20)*F23,0)</f>
        <v>32</v>
      </c>
      <c r="D23" s="468"/>
      <c r="E23" s="468"/>
      <c r="F23" s="2858">
        <f>'数据-取费表'!B37</f>
        <v>0.01</v>
      </c>
      <c r="G23" s="2814" t="s">
        <v>2434</v>
      </c>
      <c r="H23" s="2815"/>
      <c r="I23" s="2815"/>
      <c r="J23" s="2815"/>
      <c r="K23" s="2816"/>
      <c r="L23" s="2120"/>
      <c r="M23" s="2120"/>
      <c r="N23" s="2120"/>
    </row>
    <row r="24" spans="1:14" s="2118" customFormat="1" ht="13.5" customHeight="1">
      <c r="A24" s="2852" t="s">
        <v>1860</v>
      </c>
      <c r="B24" s="3037" t="s">
        <v>2839</v>
      </c>
      <c r="C24" s="2854">
        <f>ROUND(C6*F24,0)</f>
        <v>0</v>
      </c>
      <c r="D24" s="475"/>
      <c r="E24" s="473"/>
      <c r="F24" s="2858">
        <f>'数据-取费表'!B38</f>
        <v>0.01</v>
      </c>
      <c r="G24" s="2823" t="s">
        <v>499</v>
      </c>
      <c r="H24" s="2817"/>
      <c r="I24" s="2817"/>
      <c r="J24" s="2817"/>
      <c r="K24" s="279"/>
      <c r="L24" s="2120"/>
      <c r="M24" s="2120"/>
      <c r="N24" s="2120"/>
    </row>
    <row r="25" spans="1:14" s="2121" customFormat="1" ht="13.5" customHeight="1">
      <c r="A25" s="2852" t="s">
        <v>1861</v>
      </c>
      <c r="B25" s="3037" t="s">
        <v>2837</v>
      </c>
      <c r="C25" s="467">
        <f>ROUND(F25/(1+'数据-取费表'!C42),4)</f>
        <v>2.9000000000000001E-2</v>
      </c>
      <c r="D25" s="462" t="s">
        <v>2831</v>
      </c>
      <c r="E25" s="469"/>
      <c r="F25" s="2858">
        <f>'数据-取费表'!B48+'数据-取费表'!B49</f>
        <v>3.0499999999999999E-2</v>
      </c>
      <c r="G25" s="2822" t="s">
        <v>2292</v>
      </c>
      <c r="H25" s="2815"/>
      <c r="I25" s="2815"/>
      <c r="J25" s="2815"/>
      <c r="K25" s="2816"/>
    </row>
    <row r="26" spans="1:14" s="2120" customFormat="1" ht="13.5" customHeight="1">
      <c r="A26" s="2852" t="s">
        <v>1862</v>
      </c>
      <c r="B26" s="3038" t="s">
        <v>2838</v>
      </c>
      <c r="C26" s="2859">
        <f ca="1">C28</f>
        <v>0</v>
      </c>
      <c r="D26" s="467">
        <f ca="1">C27</f>
        <v>0</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2840</v>
      </c>
      <c r="C28" s="2862">
        <f ca="1">ROUND(IF('数据-取费表'!B22&lt;=1,(C18+C19+C20+C23+C24)*F26*'数据-取费表'!B24/2,(C18+C19+C20+C23+C24)*(POWER((1+F26),'数据-取费表'!B24/2)-1)),0)</f>
        <v>0</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ROUND(C6*F29/(1+'数据-取费表'!C42),0)</f>
        <v>0</v>
      </c>
      <c r="D29" s="468"/>
      <c r="E29" s="468"/>
      <c r="F29" s="3039">
        <f>'数据-取费表'!B41</f>
        <v>5.5000000000000007E-2</v>
      </c>
      <c r="G29" s="2823" t="s">
        <v>498</v>
      </c>
      <c r="H29" s="2815"/>
      <c r="I29" s="2815"/>
      <c r="J29" s="2815"/>
      <c r="K29" s="2816"/>
    </row>
    <row r="30" spans="1:14" s="2123" customFormat="1" ht="13.5" customHeight="1">
      <c r="A30" s="1636" t="s">
        <v>1864</v>
      </c>
      <c r="B30" s="2864" t="s">
        <v>500</v>
      </c>
      <c r="C30" s="2859">
        <f ca="1">C31</f>
        <v>3264</v>
      </c>
      <c r="D30" s="477">
        <f ca="1">C32</f>
        <v>2.9000000000000001E-2</v>
      </c>
      <c r="E30" s="469" t="s">
        <v>495</v>
      </c>
      <c r="F30" s="471"/>
      <c r="G30" s="2822" t="s">
        <v>2973</v>
      </c>
      <c r="H30" s="2815"/>
      <c r="I30" s="2815"/>
      <c r="J30" s="2815"/>
      <c r="K30" s="2816"/>
    </row>
    <row r="31" spans="1:14" s="2122" customFormat="1" ht="13.5" customHeight="1">
      <c r="A31" s="803" t="s">
        <v>1857</v>
      </c>
      <c r="B31" s="2860"/>
      <c r="C31" s="450">
        <f ca="1">C18+C19+C20+C23+C24+C26+C29</f>
        <v>3264</v>
      </c>
      <c r="D31" s="472"/>
      <c r="E31" s="473"/>
      <c r="F31" s="474"/>
      <c r="G31" s="261"/>
      <c r="H31" s="2817"/>
      <c r="I31" s="2817"/>
      <c r="J31" s="2817"/>
      <c r="K31" s="279"/>
    </row>
    <row r="32" spans="1:14" s="2122" customFormat="1" ht="13.5" customHeight="1">
      <c r="A32" s="803" t="s">
        <v>1858</v>
      </c>
      <c r="B32" s="2860"/>
      <c r="C32" s="53">
        <f ca="1">ROUND(C25+D26,4)</f>
        <v>2.9000000000000001E-2</v>
      </c>
      <c r="D32" s="472"/>
      <c r="E32" s="473"/>
      <c r="F32" s="474"/>
      <c r="G32" s="261"/>
      <c r="H32" s="2817"/>
      <c r="I32" s="2817"/>
      <c r="J32" s="2817"/>
      <c r="K32" s="279"/>
    </row>
    <row r="33" spans="1:11" s="2124" customFormat="1" ht="13.5" customHeight="1">
      <c r="A33" s="3036" t="s">
        <v>2835</v>
      </c>
      <c r="B33" s="3034" t="s">
        <v>2833</v>
      </c>
      <c r="C33" s="478">
        <f ca="1">C35</f>
        <v>490</v>
      </c>
      <c r="D33" s="467">
        <f ca="1">C34</f>
        <v>0.15440000000000001</v>
      </c>
      <c r="E33" s="469" t="s">
        <v>495</v>
      </c>
      <c r="F33" s="479">
        <f ca="1">IF(B1="",'数据-取费表'!Q16,INDIRECT("'数据-取费表'!q"&amp;$K$1))</f>
        <v>0.15</v>
      </c>
      <c r="G33" s="2818"/>
      <c r="H33" s="2819"/>
      <c r="I33" s="2819"/>
      <c r="J33" s="2819"/>
      <c r="K33" s="2820"/>
    </row>
    <row r="34" spans="1:11" s="2125" customFormat="1" ht="13.5" customHeight="1">
      <c r="A34" s="375" t="s">
        <v>1857</v>
      </c>
      <c r="B34" s="2865" t="s">
        <v>501</v>
      </c>
      <c r="C34" s="472">
        <f ca="1">ROUND((1+C25)*F33,4)</f>
        <v>0.15440000000000001</v>
      </c>
      <c r="D34" s="472"/>
      <c r="E34" s="473"/>
      <c r="F34" s="480"/>
      <c r="G34" s="261" t="s">
        <v>2293</v>
      </c>
      <c r="H34" s="2817"/>
      <c r="I34" s="2817"/>
      <c r="J34" s="2817"/>
      <c r="K34" s="279"/>
    </row>
    <row r="35" spans="1:11" s="2125" customFormat="1" ht="13.5" customHeight="1" thickBot="1">
      <c r="A35" s="1637" t="s">
        <v>1858</v>
      </c>
      <c r="B35" s="3035" t="s">
        <v>2841</v>
      </c>
      <c r="C35" s="1629">
        <f ca="1">ROUND((C18+C19+C20+C23+C24)*F33,0)</f>
        <v>490</v>
      </c>
      <c r="D35" s="1630"/>
      <c r="E35" s="2866"/>
      <c r="F35" s="1631"/>
      <c r="G35" s="2824"/>
      <c r="H35" s="2825"/>
      <c r="I35" s="2825"/>
      <c r="J35" s="2825"/>
      <c r="K35" s="2826"/>
    </row>
    <row r="36" spans="1:11" s="2087" customFormat="1" ht="13.5" customHeight="1" thickBot="1">
      <c r="A36" s="284" t="s">
        <v>1845</v>
      </c>
      <c r="B36" s="2828"/>
      <c r="C36" s="2867">
        <f ca="1">ROUND((C6-C30-C33)/(1+D30+D33),0)</f>
        <v>-3172</v>
      </c>
      <c r="D36" s="2828"/>
      <c r="E36" s="2828"/>
      <c r="F36" s="2828"/>
      <c r="G36" s="2827" t="s">
        <v>2842</v>
      </c>
      <c r="H36" s="2828"/>
      <c r="I36" s="2828"/>
      <c r="J36" s="2828"/>
      <c r="K36" s="2829"/>
    </row>
    <row r="38" spans="1:11" ht="12.75" customHeight="1"/>
  </sheetData>
  <sheetProtection password="C66D"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12" sqref="E1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8</v>
      </c>
    </row>
    <row r="2" spans="1:41" s="2043" customFormat="1" ht="18" customHeight="1">
      <c r="A2" s="423" t="s">
        <v>467</v>
      </c>
      <c r="B2" s="424">
        <f ca="1">C32</f>
        <v>-12065.407979384512</v>
      </c>
      <c r="C2" s="2106"/>
      <c r="D2" s="2106"/>
      <c r="E2" s="2106"/>
      <c r="F2" s="2106"/>
      <c r="G2" s="2106"/>
      <c r="H2" s="2106"/>
      <c r="I2" s="2106"/>
      <c r="J2" s="2106"/>
      <c r="K2" s="2106"/>
    </row>
    <row r="3" spans="1:41" s="2043" customFormat="1" ht="18" customHeight="1">
      <c r="A3" s="1380" t="s">
        <v>1685</v>
      </c>
      <c r="B3" s="425">
        <f ca="1">ROUND(B2*10000/IF(B1="",'数据-汇总表'!E3,INDIRECT("'数据-取费表'!K"&amp;$K$1)),0)</f>
        <v>-1493</v>
      </c>
      <c r="C3" s="2106"/>
      <c r="D3" s="2106"/>
      <c r="E3" s="2106"/>
      <c r="F3" s="2106"/>
      <c r="G3" s="2106"/>
      <c r="H3" s="2106"/>
      <c r="I3" s="2106"/>
      <c r="J3" s="2106"/>
      <c r="K3" s="2106"/>
    </row>
    <row r="4" spans="1:41" s="2043" customFormat="1" ht="18" customHeight="1">
      <c r="A4" s="426" t="s">
        <v>468</v>
      </c>
      <c r="B4" s="427">
        <f ca="1">ROUND(B2*10000/IF(B1="",'数据-汇总表'!D3,INDIRECT("'数据-取费表'!R"&amp;$K$1)),0)</f>
        <v>-1390</v>
      </c>
      <c r="C4" s="2063"/>
      <c r="D4" s="2106"/>
      <c r="E4" s="2106"/>
      <c r="F4" s="2106"/>
      <c r="G4" s="2106"/>
      <c r="H4" s="2106"/>
      <c r="I4" s="2106"/>
      <c r="J4" s="2106"/>
      <c r="K4" s="2106"/>
    </row>
    <row r="5" spans="1:41" s="2043" customFormat="1" ht="18" customHeight="1" thickBot="1">
      <c r="A5" s="429"/>
      <c r="B5" s="430">
        <f ca="1">ROUND(B2/(IF(B1="",'数据-汇总表'!D3,INDIRECT("'数据-取费表'!R"&amp;$K$1))/666.67),0)</f>
        <v>-93</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9704</v>
      </c>
      <c r="D13" s="451"/>
      <c r="E13" s="365"/>
      <c r="F13" s="452"/>
      <c r="G13" s="444"/>
      <c r="H13" s="447"/>
      <c r="I13" s="447"/>
      <c r="J13" s="447"/>
      <c r="K13" s="448"/>
    </row>
    <row r="14" spans="1:41" s="2118" customFormat="1" ht="13.5" customHeight="1">
      <c r="A14" s="1634" t="s">
        <v>1850</v>
      </c>
      <c r="B14" s="449" t="s">
        <v>480</v>
      </c>
      <c r="C14" s="53">
        <f ca="1">ROUND(C13*F14,0)</f>
        <v>291</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1616</v>
      </c>
      <c r="D16" s="451">
        <f ca="1">IF(B1="",'数据-汇总表'!E3,INDIRECT("'数据-取费表'!K"&amp;$K$1)+INDIRECT("'数据-取费表'!S"&amp;$K$1))</f>
        <v>80808</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146</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11757</v>
      </c>
      <c r="D18" s="461"/>
      <c r="E18" s="462"/>
      <c r="F18" s="462"/>
      <c r="G18" s="1327" t="s">
        <v>2435</v>
      </c>
      <c r="H18" s="447"/>
      <c r="I18" s="447"/>
      <c r="J18" s="447"/>
      <c r="K18" s="448"/>
    </row>
    <row r="19" spans="1:14" s="2121" customFormat="1" ht="13.5" customHeight="1">
      <c r="A19" s="1635" t="s">
        <v>1855</v>
      </c>
      <c r="B19" s="459" t="s">
        <v>493</v>
      </c>
      <c r="C19" s="460">
        <f ca="1">ROUND(C18*F19,0)</f>
        <v>118</v>
      </c>
      <c r="D19" s="462"/>
      <c r="E19" s="462"/>
      <c r="F19" s="466">
        <f>'数据-取费表'!B37</f>
        <v>0.01</v>
      </c>
      <c r="G19" s="444" t="s">
        <v>503</v>
      </c>
      <c r="H19" s="447"/>
      <c r="I19" s="447"/>
      <c r="J19" s="447"/>
      <c r="K19" s="448"/>
      <c r="L19" s="2123"/>
      <c r="M19" s="2123"/>
      <c r="N19" s="2123"/>
    </row>
    <row r="20" spans="1:14" s="2121" customFormat="1" ht="13.5" customHeight="1">
      <c r="A20" s="1635" t="s">
        <v>1856</v>
      </c>
      <c r="B20" s="459" t="s">
        <v>504</v>
      </c>
      <c r="C20" s="3032">
        <f>F20</f>
        <v>0.01</v>
      </c>
      <c r="D20" s="469" t="s">
        <v>505</v>
      </c>
      <c r="E20" s="469"/>
      <c r="F20" s="486">
        <f>'数据-取费表'!B38</f>
        <v>0.01</v>
      </c>
      <c r="G20" s="1327" t="s">
        <v>506</v>
      </c>
      <c r="H20" s="447"/>
      <c r="I20" s="447"/>
      <c r="J20" s="447"/>
      <c r="K20" s="448"/>
      <c r="L20" s="2123"/>
      <c r="M20" s="2123"/>
      <c r="N20" s="2123"/>
    </row>
    <row r="21" spans="1:14" s="2123" customFormat="1" ht="13.5" customHeight="1">
      <c r="A21" s="1635" t="s">
        <v>1859</v>
      </c>
      <c r="B21" s="461" t="s">
        <v>494</v>
      </c>
      <c r="C21" s="470">
        <f ca="1">C22</f>
        <v>279</v>
      </c>
      <c r="D21" s="467">
        <f ca="1">C23</f>
        <v>2.0000000000000001E-4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279</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2.0000000000000001E-4</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4" t="s">
        <v>2834</v>
      </c>
      <c r="C24" s="478">
        <f ca="1">C25</f>
        <v>1781</v>
      </c>
      <c r="D24" s="489">
        <f ca="1">C26</f>
        <v>1.5E-3</v>
      </c>
      <c r="E24" s="469" t="s">
        <v>507</v>
      </c>
      <c r="F24" s="479">
        <f ca="1">IF(B1="",'数据-取费表'!Q16,INDIRECT("'数据-取费表'!q"&amp;$K$1))</f>
        <v>0.15</v>
      </c>
      <c r="G24" s="444"/>
      <c r="H24" s="447"/>
      <c r="I24" s="447"/>
      <c r="J24" s="447"/>
      <c r="K24" s="448"/>
    </row>
    <row r="25" spans="1:14" s="2122" customFormat="1" ht="13.5" customHeight="1">
      <c r="A25" s="1634" t="s">
        <v>1849</v>
      </c>
      <c r="B25" s="1328" t="s">
        <v>2439</v>
      </c>
      <c r="C25" s="490">
        <f ca="1">ROUND((C18+C19)*F24,0)</f>
        <v>1781</v>
      </c>
      <c r="D25" s="472"/>
      <c r="E25" s="473"/>
      <c r="F25" s="480"/>
      <c r="G25" s="1326" t="s">
        <v>2436</v>
      </c>
      <c r="H25" s="457"/>
      <c r="I25" s="457"/>
      <c r="J25" s="457"/>
      <c r="K25" s="458"/>
    </row>
    <row r="26" spans="1:14" s="2122" customFormat="1" ht="13.5" customHeight="1">
      <c r="A26" s="1634" t="s">
        <v>1850</v>
      </c>
      <c r="B26" s="1328" t="s">
        <v>509</v>
      </c>
      <c r="C26" s="491">
        <f ca="1">ROUND(F20*F24,4)</f>
        <v>1.5E-3</v>
      </c>
      <c r="D26" s="472"/>
      <c r="E26" s="481"/>
      <c r="F26" s="480"/>
      <c r="G26" s="1326" t="s">
        <v>510</v>
      </c>
      <c r="H26" s="457"/>
      <c r="I26" s="457"/>
      <c r="J26" s="457"/>
      <c r="K26" s="458"/>
    </row>
    <row r="27" spans="1:14" s="2122" customFormat="1" ht="13.5" customHeight="1">
      <c r="A27" s="1638" t="s">
        <v>1868</v>
      </c>
      <c r="B27" s="459" t="s">
        <v>511</v>
      </c>
      <c r="C27" s="3033">
        <f>ROUND(F27/(1+'数据-取费表'!C42),4)</f>
        <v>5.2400000000000002E-2</v>
      </c>
      <c r="D27" s="462" t="s">
        <v>2832</v>
      </c>
      <c r="E27" s="462"/>
      <c r="F27" s="466">
        <f>'数据-取费表'!B41</f>
        <v>5.5000000000000007E-2</v>
      </c>
      <c r="G27" s="1962" t="s">
        <v>2294</v>
      </c>
      <c r="H27" s="447"/>
      <c r="I27" s="447"/>
      <c r="J27" s="447"/>
      <c r="K27" s="448"/>
    </row>
    <row r="28" spans="1:14" s="2123" customFormat="1" ht="13.5" customHeight="1">
      <c r="A28" s="1638" t="s">
        <v>1869</v>
      </c>
      <c r="B28" s="476" t="s">
        <v>512</v>
      </c>
      <c r="C28" s="470">
        <f ca="1">ROUND((C18+C19+C21+C24)/(1-C20-D21-D24-C27),0)</f>
        <v>14889</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1</v>
      </c>
      <c r="D29" s="493"/>
      <c r="E29" s="494"/>
      <c r="F29" s="495"/>
      <c r="G29" s="444"/>
      <c r="H29" s="447"/>
      <c r="I29" s="447"/>
      <c r="J29" s="447"/>
      <c r="K29" s="448"/>
    </row>
    <row r="30" spans="1:14" s="2123" customFormat="1" ht="13.5" customHeight="1">
      <c r="A30" s="443">
        <v>2</v>
      </c>
      <c r="B30" s="476" t="s">
        <v>514</v>
      </c>
      <c r="C30" s="497">
        <f ca="1">ROUND(C28*C29,0)</f>
        <v>14889</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-12065.407979384512</v>
      </c>
      <c r="D32" s="483"/>
      <c r="E32" s="483"/>
      <c r="F32" s="483"/>
      <c r="G32" s="2485" t="s">
        <v>2974</v>
      </c>
      <c r="H32" s="483"/>
      <c r="I32" s="483"/>
      <c r="J32" s="483"/>
      <c r="K32" s="485"/>
    </row>
    <row r="34" ht="12.75" customHeight="1"/>
  </sheetData>
  <sheetProtection password="C66D" sheet="1" objects="1" scenarios="1" formatCells="0" formatColumns="0" formatRows="0"/>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26" sqref="A26:C2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84" t="str">
        <f>项目基本情况!B1</f>
        <v>北京市通州区马驹桥镇金桥科技产业基地出让国有建设用地使用权市场价格预评估</v>
      </c>
      <c r="C37" s="3284"/>
      <c r="D37" s="3284"/>
      <c r="E37" s="3284"/>
      <c r="F37" s="3284"/>
      <c r="G37" s="3284"/>
      <c r="H37" s="3284"/>
      <c r="I37" s="3284"/>
    </row>
    <row r="38" spans="1:9">
      <c r="A38" s="1657"/>
      <c r="B38" s="1657"/>
    </row>
    <row r="39" spans="1:9">
      <c r="A39" s="1655" t="s">
        <v>1902</v>
      </c>
      <c r="B39" s="1655" t="s">
        <v>2049</v>
      </c>
    </row>
    <row r="40" spans="1:9">
      <c r="A40" s="1655"/>
      <c r="B40" s="1655" t="str">
        <f>项目基本情况!B5</f>
        <v>北京捷宸阳光科技发展有限公司</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陈颖、叶凌</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E12" sqref="E1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58" t="s">
        <v>522</v>
      </c>
      <c r="D6" s="3459"/>
      <c r="E6" s="3458" t="s">
        <v>523</v>
      </c>
      <c r="F6" s="3459"/>
      <c r="G6" s="3458" t="s">
        <v>524</v>
      </c>
      <c r="H6" s="3459"/>
      <c r="I6" s="3458" t="s">
        <v>525</v>
      </c>
      <c r="J6" s="3459"/>
      <c r="K6" s="514" t="s">
        <v>526</v>
      </c>
      <c r="L6" s="2135"/>
      <c r="M6" s="2134"/>
      <c r="N6" s="2134"/>
      <c r="O6" s="2136"/>
      <c r="P6" s="3460" t="s">
        <v>527</v>
      </c>
      <c r="Q6" s="3461"/>
      <c r="R6" s="3466" t="s">
        <v>523</v>
      </c>
      <c r="S6" s="3467"/>
      <c r="T6" s="3466" t="s">
        <v>524</v>
      </c>
      <c r="U6" s="3467"/>
      <c r="V6" s="3453" t="s">
        <v>525</v>
      </c>
      <c r="W6" s="3453"/>
      <c r="X6" s="1568"/>
      <c r="Y6" s="3466" t="s">
        <v>527</v>
      </c>
      <c r="Z6" s="3467"/>
      <c r="AA6" s="3455" t="s">
        <v>523</v>
      </c>
      <c r="AB6" s="3456" t="s">
        <v>524</v>
      </c>
      <c r="AC6" s="3455" t="s">
        <v>525</v>
      </c>
    </row>
    <row r="7" spans="1:30" ht="20.25">
      <c r="A7" s="515"/>
      <c r="B7" s="516"/>
      <c r="C7" s="3474" t="s">
        <v>2930</v>
      </c>
      <c r="D7" s="3475"/>
      <c r="E7" s="3474" t="s">
        <v>2931</v>
      </c>
      <c r="F7" s="3475"/>
      <c r="G7" s="3474" t="s">
        <v>2932</v>
      </c>
      <c r="H7" s="3475"/>
      <c r="I7" s="3474" t="s">
        <v>2933</v>
      </c>
      <c r="J7" s="3475"/>
      <c r="K7" s="514"/>
      <c r="L7" s="2135"/>
      <c r="M7" s="2134"/>
      <c r="N7" s="2134"/>
      <c r="O7" s="2136"/>
      <c r="P7" s="3462"/>
      <c r="Q7" s="3463"/>
      <c r="R7" s="3468"/>
      <c r="S7" s="3469"/>
      <c r="T7" s="3468"/>
      <c r="U7" s="3469"/>
      <c r="V7" s="3453"/>
      <c r="W7" s="3453"/>
      <c r="X7" s="1568"/>
      <c r="Y7" s="3468"/>
      <c r="Z7" s="3469"/>
      <c r="AA7" s="3456"/>
      <c r="AB7" s="3456"/>
      <c r="AC7" s="3456"/>
    </row>
    <row r="8" spans="1:30" ht="21" thickBot="1">
      <c r="A8" s="515"/>
      <c r="B8" s="516"/>
      <c r="C8" s="3476" t="s">
        <v>2934</v>
      </c>
      <c r="D8" s="3477"/>
      <c r="E8" s="3476" t="s">
        <v>2934</v>
      </c>
      <c r="F8" s="3477"/>
      <c r="G8" s="3472" t="s">
        <v>2934</v>
      </c>
      <c r="H8" s="3473"/>
      <c r="I8" s="3472" t="s">
        <v>2934</v>
      </c>
      <c r="J8" s="3473"/>
      <c r="K8" s="514" t="s">
        <v>528</v>
      </c>
      <c r="L8" s="2135"/>
      <c r="M8" s="2134"/>
      <c r="N8" s="2134"/>
      <c r="O8" s="2136"/>
      <c r="P8" s="3464"/>
      <c r="Q8" s="3465"/>
      <c r="R8" s="3468"/>
      <c r="S8" s="3469"/>
      <c r="T8" s="3470"/>
      <c r="U8" s="3471"/>
      <c r="V8" s="3453"/>
      <c r="W8" s="3453"/>
      <c r="X8" s="1568"/>
      <c r="Y8" s="3470"/>
      <c r="Z8" s="3471"/>
      <c r="AA8" s="3457"/>
      <c r="AB8" s="3457"/>
      <c r="AC8" s="3457"/>
    </row>
    <row r="9" spans="1:30" s="1220" customFormat="1" ht="21" thickBot="1">
      <c r="A9" s="2914"/>
      <c r="B9" s="2921" t="s">
        <v>529</v>
      </c>
      <c r="C9" s="2913">
        <f>'数据-取费表'!B2</f>
        <v>43290</v>
      </c>
      <c r="D9" s="520">
        <v>100</v>
      </c>
      <c r="E9" s="521"/>
      <c r="F9" s="522">
        <f>SUMIF(72:72,YEAR(E9)&amp;"-"&amp;INT((MONTH(E9)+2)/3),73:73)</f>
        <v>0</v>
      </c>
      <c r="G9" s="523"/>
      <c r="H9" s="520">
        <f>SUMIF(72:72,YEAR(G9)&amp;"-"&amp;INT((MONTH(G9)+2)/3),73:73)</f>
        <v>0</v>
      </c>
      <c r="I9" s="523"/>
      <c r="J9" s="520">
        <f>SUMIF(72:72,YEAR(I9)&amp;"-"&amp;INT((MONTH(I9)+2)/3),73:73)</f>
        <v>0</v>
      </c>
      <c r="K9" s="524"/>
      <c r="L9" s="2137"/>
      <c r="M9" s="2134"/>
      <c r="N9" s="2134"/>
      <c r="O9" s="2138"/>
      <c r="P9" s="3483" t="s">
        <v>530</v>
      </c>
      <c r="Q9" s="3485"/>
      <c r="R9" s="1569" t="s">
        <v>8</v>
      </c>
      <c r="S9" s="1570">
        <f t="shared" ref="S9:S17" si="0">F9</f>
        <v>0</v>
      </c>
      <c r="T9" s="1569" t="s">
        <v>8</v>
      </c>
      <c r="U9" s="1570">
        <f t="shared" ref="U9:U17" si="1">H9</f>
        <v>0</v>
      </c>
      <c r="V9" s="1569" t="s">
        <v>8</v>
      </c>
      <c r="W9" s="1570">
        <f t="shared" ref="W9:W17" si="2">J9</f>
        <v>0</v>
      </c>
      <c r="X9" s="1571"/>
      <c r="Y9" s="3483" t="s">
        <v>530</v>
      </c>
      <c r="Z9" s="3484"/>
      <c r="AA9" s="1572" t="e">
        <f>D9/F9</f>
        <v>#DIV/0!</v>
      </c>
      <c r="AB9" s="1572" t="e">
        <f>D9/H9</f>
        <v>#DIV/0!</v>
      </c>
      <c r="AC9" s="1572" t="e">
        <f>D9/J9</f>
        <v>#DIV/0!</v>
      </c>
    </row>
    <row r="10" spans="1:30" s="1220" customFormat="1" ht="21" thickBot="1">
      <c r="A10" s="2915"/>
      <c r="B10" s="2922"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7"/>
      <c r="M10" s="2134"/>
      <c r="N10" s="2134"/>
      <c r="O10" s="2138"/>
      <c r="P10" s="3483" t="s">
        <v>533</v>
      </c>
      <c r="Q10" s="3484"/>
      <c r="R10" s="1569" t="s">
        <v>8</v>
      </c>
      <c r="S10" s="1570">
        <f t="shared" si="0"/>
        <v>0</v>
      </c>
      <c r="T10" s="1569" t="s">
        <v>8</v>
      </c>
      <c r="U10" s="1570">
        <f t="shared" si="1"/>
        <v>0</v>
      </c>
      <c r="V10" s="1569" t="s">
        <v>8</v>
      </c>
      <c r="W10" s="1570">
        <f t="shared" si="2"/>
        <v>0</v>
      </c>
      <c r="X10" s="1571"/>
      <c r="Y10" s="3483" t="s">
        <v>533</v>
      </c>
      <c r="Z10" s="3484"/>
      <c r="AA10" s="1572" t="e">
        <f t="shared" ref="AA10:AA47" si="3">D10/F10</f>
        <v>#DIV/0!</v>
      </c>
      <c r="AB10" s="1572" t="e">
        <f t="shared" ref="AB10:AB47" si="4">D10/H10</f>
        <v>#DIV/0!</v>
      </c>
      <c r="AC10" s="1572" t="e">
        <f t="shared" ref="AC10:AC47" si="5">D10/J10</f>
        <v>#DIV/0!</v>
      </c>
    </row>
    <row r="11" spans="1:30" s="1220" customFormat="1" ht="20.25">
      <c r="A11" s="2916"/>
      <c r="B11" s="2923" t="s">
        <v>2759</v>
      </c>
      <c r="C11" s="2910"/>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452" t="s">
        <v>535</v>
      </c>
      <c r="Q11" s="1151" t="str">
        <f t="shared" ref="Q11:Q17" si="6">B11</f>
        <v>用途</v>
      </c>
      <c r="R11" s="1569" t="s">
        <v>8</v>
      </c>
      <c r="S11" s="1570">
        <f t="shared" si="0"/>
        <v>100</v>
      </c>
      <c r="T11" s="1569" t="s">
        <v>8</v>
      </c>
      <c r="U11" s="1570">
        <f t="shared" si="1"/>
        <v>100</v>
      </c>
      <c r="V11" s="1569" t="s">
        <v>8</v>
      </c>
      <c r="W11" s="1570">
        <f t="shared" si="2"/>
        <v>100</v>
      </c>
      <c r="X11" s="1571"/>
      <c r="Y11" s="3398" t="s">
        <v>536</v>
      </c>
      <c r="Z11" s="1150" t="str">
        <f t="shared" ref="Z11:Z17" si="7">Q11</f>
        <v>用途</v>
      </c>
      <c r="AA11" s="1572">
        <f t="shared" si="3"/>
        <v>1</v>
      </c>
      <c r="AB11" s="1572">
        <f t="shared" si="4"/>
        <v>1</v>
      </c>
      <c r="AC11" s="1572">
        <f t="shared" si="5"/>
        <v>1</v>
      </c>
    </row>
    <row r="12" spans="1:30" s="1338" customFormat="1" ht="27">
      <c r="A12" s="2917"/>
      <c r="B12" s="2922" t="s">
        <v>2760</v>
      </c>
      <c r="C12" s="910"/>
      <c r="D12" s="255">
        <v>100</v>
      </c>
      <c r="E12" s="529"/>
      <c r="F12" s="255">
        <f>ROUND(100/'数据-取费表'!G16,0)</f>
        <v>110</v>
      </c>
      <c r="G12" s="530"/>
      <c r="H12" s="255">
        <f>ROUND(100/'数据-取费表'!G16,0)</f>
        <v>110</v>
      </c>
      <c r="I12" s="530"/>
      <c r="J12" s="255">
        <f>ROUND(100/'数据-取费表'!G16,0)</f>
        <v>110</v>
      </c>
      <c r="K12" s="531"/>
      <c r="L12" s="2140"/>
      <c r="M12" s="2134"/>
      <c r="N12" s="2134"/>
      <c r="O12" s="2141"/>
      <c r="P12" s="3452"/>
      <c r="Q12" s="1151" t="str">
        <f t="shared" si="6"/>
        <v>土地使用年限（年）</v>
      </c>
      <c r="R12" s="1569" t="s">
        <v>8</v>
      </c>
      <c r="S12" s="1570">
        <f t="shared" si="0"/>
        <v>110</v>
      </c>
      <c r="T12" s="1569" t="s">
        <v>8</v>
      </c>
      <c r="U12" s="1570">
        <f t="shared" si="1"/>
        <v>110</v>
      </c>
      <c r="V12" s="1569" t="s">
        <v>8</v>
      </c>
      <c r="W12" s="1570">
        <f t="shared" si="2"/>
        <v>110</v>
      </c>
      <c r="X12" s="1571"/>
      <c r="Y12" s="3398"/>
      <c r="Z12" s="1150" t="str">
        <f t="shared" si="7"/>
        <v>土地使用年限（年）</v>
      </c>
      <c r="AA12" s="1572">
        <f t="shared" si="3"/>
        <v>0.90909090909090906</v>
      </c>
      <c r="AB12" s="1572">
        <f t="shared" si="4"/>
        <v>0.90909090909090906</v>
      </c>
      <c r="AC12" s="1572">
        <f t="shared" si="5"/>
        <v>0.90909090909090906</v>
      </c>
    </row>
    <row r="13" spans="1:30" ht="20.25">
      <c r="A13" s="2918"/>
      <c r="B13" s="2922"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2"/>
      <c r="M13" s="2134"/>
      <c r="N13" s="2134"/>
      <c r="O13" s="2143"/>
      <c r="P13" s="3452"/>
      <c r="Q13" s="1151" t="str">
        <f t="shared" si="6"/>
        <v>容积率</v>
      </c>
      <c r="R13" s="1569" t="s">
        <v>8</v>
      </c>
      <c r="S13" s="1570" t="e">
        <f t="shared" si="0"/>
        <v>#N/A</v>
      </c>
      <c r="T13" s="1569" t="s">
        <v>8</v>
      </c>
      <c r="U13" s="1570" t="e">
        <f t="shared" si="1"/>
        <v>#N/A</v>
      </c>
      <c r="V13" s="1569" t="s">
        <v>8</v>
      </c>
      <c r="W13" s="1570" t="e">
        <f t="shared" si="2"/>
        <v>#N/A</v>
      </c>
      <c r="X13" s="1571"/>
      <c r="Y13" s="3398"/>
      <c r="Z13" s="1150" t="str">
        <f t="shared" si="7"/>
        <v>容积率</v>
      </c>
      <c r="AA13" s="1572" t="e">
        <f t="shared" si="3"/>
        <v>#N/A</v>
      </c>
      <c r="AB13" s="1572" t="e">
        <f t="shared" si="4"/>
        <v>#N/A</v>
      </c>
      <c r="AC13" s="1572" t="e">
        <f t="shared" si="5"/>
        <v>#N/A</v>
      </c>
    </row>
    <row r="14" spans="1:30" s="1220" customFormat="1" ht="20.25">
      <c r="A14" s="2915"/>
      <c r="B14" s="2924" t="s">
        <v>2762</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52"/>
      <c r="Q14" s="1151" t="str">
        <f t="shared" si="6"/>
        <v>配建</v>
      </c>
      <c r="R14" s="1569" t="s">
        <v>8</v>
      </c>
      <c r="S14" s="1570">
        <f t="shared" si="0"/>
        <v>100</v>
      </c>
      <c r="T14" s="1569" t="s">
        <v>8</v>
      </c>
      <c r="U14" s="1570">
        <f t="shared" si="1"/>
        <v>100</v>
      </c>
      <c r="V14" s="1569" t="s">
        <v>8</v>
      </c>
      <c r="W14" s="1570">
        <f t="shared" si="2"/>
        <v>100</v>
      </c>
      <c r="X14" s="1571"/>
      <c r="Y14" s="3398"/>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52"/>
      <c r="Q15" s="1151">
        <f t="shared" si="6"/>
        <v>111</v>
      </c>
      <c r="R15" s="1569" t="s">
        <v>8</v>
      </c>
      <c r="S15" s="1570">
        <f t="shared" si="0"/>
        <v>100</v>
      </c>
      <c r="T15" s="1569" t="s">
        <v>8</v>
      </c>
      <c r="U15" s="1570">
        <f t="shared" si="1"/>
        <v>100</v>
      </c>
      <c r="V15" s="1569" t="s">
        <v>8</v>
      </c>
      <c r="W15" s="1570">
        <f t="shared" si="2"/>
        <v>100</v>
      </c>
      <c r="X15" s="1571"/>
      <c r="Y15" s="3398"/>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52"/>
      <c r="Q16" s="1151">
        <f t="shared" si="6"/>
        <v>111</v>
      </c>
      <c r="R16" s="1569" t="s">
        <v>8</v>
      </c>
      <c r="S16" s="1570">
        <f t="shared" si="0"/>
        <v>100</v>
      </c>
      <c r="T16" s="1569" t="s">
        <v>8</v>
      </c>
      <c r="U16" s="1570">
        <f t="shared" si="1"/>
        <v>100</v>
      </c>
      <c r="V16" s="1569" t="s">
        <v>8</v>
      </c>
      <c r="W16" s="1570">
        <f t="shared" si="2"/>
        <v>100</v>
      </c>
      <c r="X16" s="1571"/>
      <c r="Y16" s="3398"/>
      <c r="Z16" s="1150">
        <f t="shared" si="7"/>
        <v>111</v>
      </c>
      <c r="AA16" s="1572">
        <f>D16/F16</f>
        <v>1</v>
      </c>
      <c r="AB16" s="1572">
        <f>D16/H16</f>
        <v>1</v>
      </c>
      <c r="AC16" s="1572">
        <f>D16/J16</f>
        <v>1</v>
      </c>
    </row>
    <row r="17" spans="1:29" ht="99.75">
      <c r="A17" s="2912"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486" t="s">
        <v>540</v>
      </c>
      <c r="Q17" s="1573" t="str">
        <f t="shared" si="6"/>
        <v>居住社区成熟度</v>
      </c>
      <c r="R17" s="1574" t="s">
        <v>8</v>
      </c>
      <c r="S17" s="1575">
        <f t="shared" si="0"/>
        <v>100</v>
      </c>
      <c r="T17" s="1574" t="s">
        <v>8</v>
      </c>
      <c r="U17" s="1575">
        <f t="shared" si="1"/>
        <v>100</v>
      </c>
      <c r="V17" s="1574" t="s">
        <v>8</v>
      </c>
      <c r="W17" s="1575">
        <f t="shared" si="2"/>
        <v>100</v>
      </c>
      <c r="X17" s="1568"/>
      <c r="Y17" s="3486"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487"/>
      <c r="Q18" s="1573"/>
      <c r="R18" s="1574"/>
      <c r="S18" s="1575"/>
      <c r="T18" s="1574"/>
      <c r="U18" s="1575"/>
      <c r="V18" s="1574"/>
      <c r="W18" s="1575"/>
      <c r="X18" s="1568"/>
      <c r="Y18" s="3487"/>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487"/>
      <c r="Q19" s="1573" t="str">
        <f>B19</f>
        <v>商业繁华度</v>
      </c>
      <c r="R19" s="1574" t="s">
        <v>8</v>
      </c>
      <c r="S19" s="1575">
        <f>F19</f>
        <v>100</v>
      </c>
      <c r="T19" s="1574" t="s">
        <v>8</v>
      </c>
      <c r="U19" s="1575">
        <f>H19</f>
        <v>100</v>
      </c>
      <c r="V19" s="1574" t="s">
        <v>8</v>
      </c>
      <c r="W19" s="1575">
        <f>J19</f>
        <v>100</v>
      </c>
      <c r="X19" s="1568"/>
      <c r="Y19" s="3487"/>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487"/>
      <c r="Q20" s="1573"/>
      <c r="R20" s="1574"/>
      <c r="S20" s="1575"/>
      <c r="T20" s="1574"/>
      <c r="U20" s="1575"/>
      <c r="V20" s="1574"/>
      <c r="W20" s="1575"/>
      <c r="X20" s="1568"/>
      <c r="Y20" s="3487"/>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87"/>
      <c r="Q21" s="1573" t="str">
        <f>B21</f>
        <v>办公集聚程度</v>
      </c>
      <c r="R21" s="1574" t="s">
        <v>8</v>
      </c>
      <c r="S21" s="1575">
        <f>F21</f>
        <v>100</v>
      </c>
      <c r="T21" s="1574" t="s">
        <v>8</v>
      </c>
      <c r="U21" s="1575">
        <f>H21</f>
        <v>100</v>
      </c>
      <c r="V21" s="1574" t="s">
        <v>8</v>
      </c>
      <c r="W21" s="1575">
        <f>J21</f>
        <v>100</v>
      </c>
      <c r="X21" s="1568"/>
      <c r="Y21" s="3487"/>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87"/>
      <c r="Q22" s="1573"/>
      <c r="R22" s="1574"/>
      <c r="S22" s="1575"/>
      <c r="T22" s="1574"/>
      <c r="U22" s="1575"/>
      <c r="V22" s="1574"/>
      <c r="W22" s="1575"/>
      <c r="X22" s="1568"/>
      <c r="Y22" s="3487"/>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487"/>
      <c r="Q23" s="1573" t="str">
        <f>B23</f>
        <v>交通便捷度</v>
      </c>
      <c r="R23" s="1574" t="s">
        <v>8</v>
      </c>
      <c r="S23" s="1575">
        <f>F23</f>
        <v>100</v>
      </c>
      <c r="T23" s="1574" t="s">
        <v>8</v>
      </c>
      <c r="U23" s="1575">
        <f>H23</f>
        <v>100</v>
      </c>
      <c r="V23" s="1574" t="s">
        <v>8</v>
      </c>
      <c r="W23" s="1575">
        <f>J23</f>
        <v>100</v>
      </c>
      <c r="X23" s="1568"/>
      <c r="Y23" s="3487"/>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487"/>
      <c r="Q24" s="1573"/>
      <c r="R24" s="1574"/>
      <c r="S24" s="1575"/>
      <c r="T24" s="1574"/>
      <c r="U24" s="1575"/>
      <c r="V24" s="1574"/>
      <c r="W24" s="1575"/>
      <c r="X24" s="1568"/>
      <c r="Y24" s="3487"/>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487"/>
      <c r="Q25" s="1573" t="str">
        <f t="shared" ref="Q25:Q39" si="8">B25</f>
        <v>区域土地利用方向</v>
      </c>
      <c r="R25" s="1574" t="s">
        <v>8</v>
      </c>
      <c r="S25" s="1575">
        <f>F25</f>
        <v>100</v>
      </c>
      <c r="T25" s="1574" t="s">
        <v>8</v>
      </c>
      <c r="U25" s="1575">
        <f>H25</f>
        <v>100</v>
      </c>
      <c r="V25" s="1574" t="s">
        <v>8</v>
      </c>
      <c r="W25" s="1575">
        <f>J25</f>
        <v>100</v>
      </c>
      <c r="X25" s="1568"/>
      <c r="Y25" s="3487"/>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487"/>
      <c r="Q26" s="1573"/>
      <c r="R26" s="1574"/>
      <c r="S26" s="1575"/>
      <c r="T26" s="1574"/>
      <c r="U26" s="1575"/>
      <c r="V26" s="1574"/>
      <c r="W26" s="1575"/>
      <c r="X26" s="1568"/>
      <c r="Y26" s="3487"/>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487"/>
      <c r="Q27" s="1573" t="str">
        <f t="shared" si="8"/>
        <v>自然及人文环境状况</v>
      </c>
      <c r="R27" s="1574" t="s">
        <v>8</v>
      </c>
      <c r="S27" s="1575">
        <f>F27</f>
        <v>100</v>
      </c>
      <c r="T27" s="1574" t="s">
        <v>8</v>
      </c>
      <c r="U27" s="1575">
        <f>H27</f>
        <v>100</v>
      </c>
      <c r="V27" s="1574" t="s">
        <v>8</v>
      </c>
      <c r="W27" s="1575">
        <f>J27</f>
        <v>100</v>
      </c>
      <c r="X27" s="1568"/>
      <c r="Y27" s="3487"/>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487"/>
      <c r="Q28" s="1573"/>
      <c r="R28" s="1574"/>
      <c r="S28" s="1575"/>
      <c r="T28" s="1574"/>
      <c r="U28" s="1575"/>
      <c r="V28" s="1574"/>
      <c r="W28" s="1575"/>
      <c r="X28" s="1568"/>
      <c r="Y28" s="3487"/>
      <c r="Z28" s="1576"/>
      <c r="AA28" s="1577">
        <v>1</v>
      </c>
      <c r="AB28" s="1577">
        <v>1</v>
      </c>
      <c r="AC28" s="1577">
        <v>1</v>
      </c>
    </row>
    <row r="29" spans="1:29" s="1220" customFormat="1" ht="42.75">
      <c r="A29" s="577"/>
      <c r="B29" s="2593"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487"/>
      <c r="Q29" s="1151" t="str">
        <f t="shared" si="8"/>
        <v>公共配套设施</v>
      </c>
      <c r="R29" s="1569" t="s">
        <v>8</v>
      </c>
      <c r="S29" s="1570">
        <f>F29</f>
        <v>100</v>
      </c>
      <c r="T29" s="1569" t="s">
        <v>8</v>
      </c>
      <c r="U29" s="1570">
        <f>H29</f>
        <v>100</v>
      </c>
      <c r="V29" s="1569" t="s">
        <v>8</v>
      </c>
      <c r="W29" s="1570">
        <f>J29</f>
        <v>100</v>
      </c>
      <c r="X29" s="1571"/>
      <c r="Y29" s="3487"/>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487"/>
      <c r="Q30" s="1151"/>
      <c r="R30" s="1569"/>
      <c r="S30" s="1570"/>
      <c r="T30" s="1569"/>
      <c r="U30" s="1570"/>
      <c r="V30" s="1569"/>
      <c r="W30" s="1570"/>
      <c r="X30" s="1571"/>
      <c r="Y30" s="3487"/>
      <c r="Z30" s="1150"/>
      <c r="AA30" s="1577">
        <v>1</v>
      </c>
      <c r="AB30" s="1577">
        <v>1</v>
      </c>
      <c r="AC30" s="1577">
        <v>1</v>
      </c>
    </row>
    <row r="31" spans="1:29" s="1220" customFormat="1" ht="28.5">
      <c r="A31" s="577"/>
      <c r="B31" s="2593"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87"/>
      <c r="Q31" s="2580" t="str">
        <f t="shared" ref="Q31" si="9">B31</f>
        <v>基础设施水平</v>
      </c>
      <c r="R31" s="1569" t="s">
        <v>8</v>
      </c>
      <c r="S31" s="1570">
        <f>F31</f>
        <v>100</v>
      </c>
      <c r="T31" s="1569" t="s">
        <v>8</v>
      </c>
      <c r="U31" s="1570">
        <f>H31</f>
        <v>100</v>
      </c>
      <c r="V31" s="1569" t="s">
        <v>8</v>
      </c>
      <c r="W31" s="1570">
        <f>J31</f>
        <v>100</v>
      </c>
      <c r="X31" s="1571"/>
      <c r="Y31" s="3487"/>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487"/>
      <c r="Q32" s="2580"/>
      <c r="R32" s="1569"/>
      <c r="S32" s="1570"/>
      <c r="T32" s="1569"/>
      <c r="U32" s="1570"/>
      <c r="V32" s="1569"/>
      <c r="W32" s="1570"/>
      <c r="X32" s="1571"/>
      <c r="Y32" s="3487"/>
      <c r="Z32" s="2577"/>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8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87"/>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487"/>
      <c r="Q34" s="1573" t="str">
        <f t="shared" si="8"/>
        <v>毗邻道路的类型与等级</v>
      </c>
      <c r="R34" s="1574" t="s">
        <v>8</v>
      </c>
      <c r="S34" s="1575">
        <f t="shared" si="10"/>
        <v>100</v>
      </c>
      <c r="T34" s="1574" t="s">
        <v>8</v>
      </c>
      <c r="U34" s="1575">
        <f t="shared" si="11"/>
        <v>100</v>
      </c>
      <c r="V34" s="1574" t="s">
        <v>8</v>
      </c>
      <c r="W34" s="1575">
        <f t="shared" si="12"/>
        <v>100</v>
      </c>
      <c r="X34" s="1568"/>
      <c r="Y34" s="3487"/>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487"/>
      <c r="Q35" s="1573"/>
      <c r="R35" s="1574"/>
      <c r="S35" s="1575"/>
      <c r="T35" s="1574"/>
      <c r="U35" s="1575"/>
      <c r="V35" s="1574"/>
      <c r="W35" s="1575"/>
      <c r="X35" s="1568"/>
      <c r="Y35" s="3487"/>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87"/>
      <c r="Q36" s="1573" t="str">
        <f t="shared" si="8"/>
        <v>土地级别</v>
      </c>
      <c r="R36" s="1574" t="s">
        <v>8</v>
      </c>
      <c r="S36" s="1575">
        <f t="shared" si="10"/>
        <v>100</v>
      </c>
      <c r="T36" s="1574" t="s">
        <v>8</v>
      </c>
      <c r="U36" s="1575">
        <f t="shared" si="11"/>
        <v>100</v>
      </c>
      <c r="V36" s="1574" t="s">
        <v>8</v>
      </c>
      <c r="W36" s="1575">
        <f t="shared" si="12"/>
        <v>100</v>
      </c>
      <c r="X36" s="1568"/>
      <c r="Y36" s="3487"/>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87"/>
      <c r="Q37" s="1573">
        <f t="shared" si="8"/>
        <v>111</v>
      </c>
      <c r="R37" s="1574" t="s">
        <v>8</v>
      </c>
      <c r="S37" s="1575">
        <f t="shared" si="10"/>
        <v>100</v>
      </c>
      <c r="T37" s="1574" t="s">
        <v>8</v>
      </c>
      <c r="U37" s="1575">
        <f t="shared" si="11"/>
        <v>100</v>
      </c>
      <c r="V37" s="1574" t="s">
        <v>8</v>
      </c>
      <c r="W37" s="1575">
        <f t="shared" si="12"/>
        <v>100</v>
      </c>
      <c r="X37" s="1568"/>
      <c r="Y37" s="3487"/>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88" t="s">
        <v>550</v>
      </c>
      <c r="Q38" s="1573">
        <f t="shared" si="8"/>
        <v>111</v>
      </c>
      <c r="R38" s="1574" t="s">
        <v>8</v>
      </c>
      <c r="S38" s="1575">
        <f t="shared" si="10"/>
        <v>100</v>
      </c>
      <c r="T38" s="1574" t="s">
        <v>8</v>
      </c>
      <c r="U38" s="1575">
        <f t="shared" si="11"/>
        <v>100</v>
      </c>
      <c r="V38" s="1574" t="s">
        <v>8</v>
      </c>
      <c r="W38" s="1575">
        <f t="shared" si="12"/>
        <v>100</v>
      </c>
      <c r="X38" s="1568"/>
      <c r="Y38" s="3489"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89"/>
      <c r="Q39" s="1573">
        <f t="shared" si="8"/>
        <v>111</v>
      </c>
      <c r="R39" s="1578" t="s">
        <v>8</v>
      </c>
      <c r="S39" s="1579">
        <f t="shared" si="10"/>
        <v>100</v>
      </c>
      <c r="T39" s="1578" t="s">
        <v>8</v>
      </c>
      <c r="U39" s="1579">
        <f t="shared" si="11"/>
        <v>100</v>
      </c>
      <c r="V39" s="1578" t="s">
        <v>8</v>
      </c>
      <c r="W39" s="1579">
        <f t="shared" si="12"/>
        <v>100</v>
      </c>
      <c r="X39" s="1580"/>
      <c r="Y39" s="3489"/>
      <c r="Z39" s="1581">
        <f t="shared" si="13"/>
        <v>111</v>
      </c>
      <c r="AA39" s="1577">
        <f t="shared" si="3"/>
        <v>1</v>
      </c>
      <c r="AB39" s="1577">
        <f t="shared" si="4"/>
        <v>1</v>
      </c>
      <c r="AC39" s="1577">
        <f t="shared" si="5"/>
        <v>1</v>
      </c>
    </row>
    <row r="40" spans="1:29" ht="20.25">
      <c r="A40" s="2909" t="s">
        <v>2758</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4"/>
      <c r="M40" s="2134"/>
      <c r="N40" s="2134"/>
      <c r="O40" s="2143"/>
      <c r="P40" s="3489"/>
      <c r="Q40" s="1573" t="str">
        <f>B40</f>
        <v>宗地面积</v>
      </c>
      <c r="R40" s="1574" t="s">
        <v>8</v>
      </c>
      <c r="S40" s="1575" t="e">
        <f t="shared" si="10"/>
        <v>#N/A</v>
      </c>
      <c r="T40" s="1574" t="s">
        <v>8</v>
      </c>
      <c r="U40" s="1575" t="e">
        <f t="shared" si="11"/>
        <v>#N/A</v>
      </c>
      <c r="V40" s="1574" t="s">
        <v>8</v>
      </c>
      <c r="W40" s="1575" t="e">
        <f t="shared" si="12"/>
        <v>#N/A</v>
      </c>
      <c r="X40" s="1568"/>
      <c r="Y40" s="3489"/>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489"/>
      <c r="Q41" s="1573" t="str">
        <f t="shared" ref="Q41:Q47" si="14">B41</f>
        <v>宗地形状</v>
      </c>
      <c r="R41" s="1574" t="s">
        <v>8</v>
      </c>
      <c r="S41" s="1575">
        <f t="shared" si="10"/>
        <v>100</v>
      </c>
      <c r="T41" s="1574" t="s">
        <v>8</v>
      </c>
      <c r="U41" s="1575">
        <f t="shared" si="11"/>
        <v>100</v>
      </c>
      <c r="V41" s="1574" t="s">
        <v>8</v>
      </c>
      <c r="W41" s="1575">
        <f t="shared" si="12"/>
        <v>100</v>
      </c>
      <c r="X41" s="1568"/>
      <c r="Y41" s="3489"/>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89"/>
      <c r="Q42" s="1573" t="str">
        <f t="shared" si="14"/>
        <v>临街宽度及深度</v>
      </c>
      <c r="R42" s="1574" t="s">
        <v>8</v>
      </c>
      <c r="S42" s="1575">
        <f t="shared" si="10"/>
        <v>100</v>
      </c>
      <c r="T42" s="1574" t="s">
        <v>8</v>
      </c>
      <c r="U42" s="1575">
        <f t="shared" si="11"/>
        <v>100</v>
      </c>
      <c r="V42" s="1574" t="s">
        <v>8</v>
      </c>
      <c r="W42" s="1575">
        <f t="shared" si="12"/>
        <v>100</v>
      </c>
      <c r="X42" s="1568"/>
      <c r="Y42" s="3489"/>
      <c r="Z42" s="1576" t="str">
        <f t="shared" si="13"/>
        <v>临街宽度及深度</v>
      </c>
      <c r="AA42" s="1577">
        <f t="shared" si="3"/>
        <v>1</v>
      </c>
      <c r="AB42" s="1577">
        <f t="shared" si="4"/>
        <v>1</v>
      </c>
      <c r="AC42" s="1577">
        <f t="shared" si="5"/>
        <v>1</v>
      </c>
    </row>
    <row r="43" spans="1:29" s="1220" customFormat="1" ht="20.25">
      <c r="A43" s="600"/>
      <c r="B43" s="1897"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489"/>
      <c r="Q43" s="1573" t="str">
        <f t="shared" si="14"/>
        <v>宗地开发程度</v>
      </c>
      <c r="R43" s="1569" t="s">
        <v>8</v>
      </c>
      <c r="S43" s="1570">
        <f t="shared" si="10"/>
        <v>100</v>
      </c>
      <c r="T43" s="1569" t="s">
        <v>8</v>
      </c>
      <c r="U43" s="1570">
        <f t="shared" si="11"/>
        <v>100</v>
      </c>
      <c r="V43" s="1569" t="s">
        <v>8</v>
      </c>
      <c r="W43" s="1570">
        <f t="shared" si="12"/>
        <v>100</v>
      </c>
      <c r="X43" s="1571"/>
      <c r="Y43" s="3489"/>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489" t="s">
        <v>550</v>
      </c>
      <c r="Q44" s="1573" t="str">
        <f t="shared" si="14"/>
        <v>工程地质条件</v>
      </c>
      <c r="R44" s="1574" t="s">
        <v>8</v>
      </c>
      <c r="S44" s="1575">
        <f t="shared" si="10"/>
        <v>100</v>
      </c>
      <c r="T44" s="1574" t="s">
        <v>8</v>
      </c>
      <c r="U44" s="1575">
        <f t="shared" si="11"/>
        <v>100</v>
      </c>
      <c r="V44" s="1574" t="s">
        <v>8</v>
      </c>
      <c r="W44" s="1575">
        <f t="shared" si="12"/>
        <v>100</v>
      </c>
      <c r="X44" s="1568"/>
      <c r="Y44" s="3489"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89"/>
      <c r="Q45" s="1573">
        <f t="shared" si="14"/>
        <v>111</v>
      </c>
      <c r="R45" s="1574" t="s">
        <v>8</v>
      </c>
      <c r="S45" s="1575">
        <f t="shared" si="10"/>
        <v>100</v>
      </c>
      <c r="T45" s="1574" t="s">
        <v>8</v>
      </c>
      <c r="U45" s="1575">
        <f t="shared" si="11"/>
        <v>100</v>
      </c>
      <c r="V45" s="1574" t="s">
        <v>8</v>
      </c>
      <c r="W45" s="1575">
        <f t="shared" si="12"/>
        <v>100</v>
      </c>
      <c r="X45" s="1568"/>
      <c r="Y45" s="3489"/>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89"/>
      <c r="Q46" s="1573">
        <f t="shared" si="14"/>
        <v>111</v>
      </c>
      <c r="R46" s="1574" t="s">
        <v>8</v>
      </c>
      <c r="S46" s="1575">
        <f t="shared" si="10"/>
        <v>100</v>
      </c>
      <c r="T46" s="1574" t="s">
        <v>8</v>
      </c>
      <c r="U46" s="1575">
        <f t="shared" si="11"/>
        <v>100</v>
      </c>
      <c r="V46" s="1574" t="s">
        <v>8</v>
      </c>
      <c r="W46" s="1575">
        <f t="shared" si="12"/>
        <v>100</v>
      </c>
      <c r="X46" s="1568"/>
      <c r="Y46" s="3489"/>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89"/>
      <c r="Q47" s="1573">
        <f t="shared" si="14"/>
        <v>111</v>
      </c>
      <c r="R47" s="1578" t="s">
        <v>8</v>
      </c>
      <c r="S47" s="1579">
        <f t="shared" si="10"/>
        <v>100</v>
      </c>
      <c r="T47" s="1578" t="s">
        <v>8</v>
      </c>
      <c r="U47" s="1579">
        <f t="shared" si="11"/>
        <v>100</v>
      </c>
      <c r="V47" s="1578" t="s">
        <v>8</v>
      </c>
      <c r="W47" s="1579">
        <f t="shared" si="12"/>
        <v>100</v>
      </c>
      <c r="X47" s="1580"/>
      <c r="Y47" s="3489"/>
      <c r="Z47" s="1581">
        <f t="shared" si="13"/>
        <v>111</v>
      </c>
      <c r="AA47" s="1577">
        <f t="shared" si="3"/>
        <v>1</v>
      </c>
      <c r="AB47" s="1577">
        <f t="shared" si="4"/>
        <v>1</v>
      </c>
      <c r="AC47" s="1577">
        <f t="shared" si="5"/>
        <v>1</v>
      </c>
    </row>
    <row r="48" spans="1:29" ht="20.25">
      <c r="A48" s="607" t="s">
        <v>556</v>
      </c>
      <c r="B48" s="608" t="s">
        <v>2935</v>
      </c>
      <c r="C48" s="609" t="s">
        <v>1</v>
      </c>
      <c r="D48" s="610"/>
      <c r="E48" s="611"/>
      <c r="F48" s="612"/>
      <c r="G48" s="613"/>
      <c r="H48" s="614"/>
      <c r="I48" s="611"/>
      <c r="J48" s="614"/>
      <c r="K48" s="1340"/>
      <c r="L48" s="2146"/>
      <c r="M48" s="2134"/>
      <c r="N48" s="2134"/>
      <c r="O48" s="2147"/>
      <c r="P48" s="3452" t="str">
        <f>A48</f>
        <v>成交单价</v>
      </c>
      <c r="Q48" s="3452"/>
      <c r="R48" s="3453">
        <f>E48</f>
        <v>0</v>
      </c>
      <c r="S48" s="3453"/>
      <c r="T48" s="3453">
        <f>G48</f>
        <v>0</v>
      </c>
      <c r="U48" s="3453"/>
      <c r="V48" s="3453">
        <f>I48</f>
        <v>0</v>
      </c>
      <c r="W48" s="3453"/>
      <c r="X48" s="1560"/>
      <c r="Y48" s="1582"/>
      <c r="Z48" s="1560"/>
      <c r="AA48" s="1560"/>
      <c r="AB48" s="1560"/>
      <c r="AC48" s="1560"/>
    </row>
    <row r="49" spans="1:29" ht="21" thickBot="1">
      <c r="A49" s="615" t="s">
        <v>2696</v>
      </c>
      <c r="B49" s="616"/>
      <c r="C49" s="617" t="e">
        <f>R50</f>
        <v>#DIV/0!</v>
      </c>
      <c r="D49" s="618"/>
      <c r="E49" s="617" t="e">
        <f>R49</f>
        <v>#DIV/0!</v>
      </c>
      <c r="F49" s="619"/>
      <c r="G49" s="620" t="e">
        <f>T49</f>
        <v>#DIV/0!</v>
      </c>
      <c r="H49" s="618"/>
      <c r="I49" s="617" t="e">
        <f>V49</f>
        <v>#DIV/0!</v>
      </c>
      <c r="J49" s="618"/>
      <c r="K49" s="1341"/>
      <c r="L49" s="2146"/>
      <c r="M49" s="2134"/>
      <c r="N49" s="2134"/>
      <c r="O49" s="2147"/>
      <c r="P49" s="3452" t="str">
        <f>A49</f>
        <v>比较价格（元/平方米）</v>
      </c>
      <c r="Q49" s="3452"/>
      <c r="R49" s="3454" t="e">
        <f>ROUND(PRODUCT(R48,AA9:AA47),0)</f>
        <v>#DIV/0!</v>
      </c>
      <c r="S49" s="3454"/>
      <c r="T49" s="3454" t="e">
        <f>ROUND(PRODUCT(T48,AB9:AB47),0)</f>
        <v>#DIV/0!</v>
      </c>
      <c r="U49" s="3454"/>
      <c r="V49" s="3454" t="e">
        <f>ROUND(PRODUCT(V48,AC9:AC47),0)</f>
        <v>#DIV/0!</v>
      </c>
      <c r="W49" s="3454"/>
      <c r="X49" s="1560"/>
      <c r="Y49" s="1560"/>
      <c r="Z49" s="1560"/>
      <c r="AA49" s="1560"/>
      <c r="AB49" s="1560"/>
      <c r="AC49" s="1560"/>
    </row>
    <row r="50" spans="1:29" ht="21" thickBot="1">
      <c r="A50" s="621" t="s">
        <v>2936</v>
      </c>
      <c r="B50" s="622"/>
      <c r="C50" s="623" t="e">
        <f>R50</f>
        <v>#DIV/0!</v>
      </c>
      <c r="D50" s="623"/>
      <c r="E50" s="623"/>
      <c r="F50" s="623"/>
      <c r="G50" s="623"/>
      <c r="H50" s="623"/>
      <c r="I50" s="623"/>
      <c r="J50" s="623"/>
      <c r="K50" s="1342"/>
      <c r="L50" s="2146"/>
      <c r="M50" s="2134"/>
      <c r="N50" s="2134"/>
      <c r="O50" s="2147"/>
      <c r="P50" s="3449" t="str">
        <f>A50</f>
        <v>估价对象XX用房的比较价格（楼面单价，元/平方米）</v>
      </c>
      <c r="Q50" s="3450"/>
      <c r="R50" s="3451" t="e">
        <f>ROUND(AVERAGE(R49:V49),0)</f>
        <v>#DIV/0!</v>
      </c>
      <c r="S50" s="3451"/>
      <c r="T50" s="3451"/>
      <c r="U50" s="3451"/>
      <c r="V50" s="3451"/>
      <c r="W50" s="3451"/>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478" t="s">
        <v>2284</v>
      </c>
      <c r="H57" s="3479"/>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t="e">
        <f>C50</f>
        <v>#DIV/0!</v>
      </c>
      <c r="C58" s="635">
        <v>1</v>
      </c>
      <c r="D58" s="2230">
        <v>1</v>
      </c>
      <c r="E58" s="635">
        <f>'数据-汇总表'!E8+'数据-汇总表'!E9</f>
        <v>80808</v>
      </c>
      <c r="F58" s="636" t="e">
        <f t="shared" ref="F58:F67" si="15">ROUND(B58*E58/10000,0)</f>
        <v>#DIV/0!</v>
      </c>
      <c r="G58" s="3480"/>
      <c r="H58" s="3481"/>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t="e">
        <f>ROUND($C$50*C59*D59,0)</f>
        <v>#DIV/0!</v>
      </c>
      <c r="C59" s="378">
        <f t="shared" ref="C59:C67" si="16">IF($C$57="北京市系数",I59,J59)</f>
        <v>0</v>
      </c>
      <c r="D59" s="2231">
        <v>0.25</v>
      </c>
      <c r="E59" s="639">
        <v>0</v>
      </c>
      <c r="F59" s="636" t="e">
        <f t="shared" si="15"/>
        <v>#DIV/0!</v>
      </c>
      <c r="G59" s="3482"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t="e">
        <f t="shared" ref="B60:B67" si="17">ROUND($C$50*C60*D60,0)</f>
        <v>#DIV/0!</v>
      </c>
      <c r="C60" s="378">
        <f t="shared" si="16"/>
        <v>0</v>
      </c>
      <c r="D60" s="2231">
        <v>0.25</v>
      </c>
      <c r="E60" s="639">
        <v>0</v>
      </c>
      <c r="F60" s="636" t="e">
        <f t="shared" si="15"/>
        <v>#DIV/0!</v>
      </c>
      <c r="G60" s="3482"/>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t="e">
        <f t="shared" si="17"/>
        <v>#DIV/0!</v>
      </c>
      <c r="C61" s="378">
        <f t="shared" si="16"/>
        <v>0</v>
      </c>
      <c r="D61" s="2231">
        <v>0.25</v>
      </c>
      <c r="E61" s="639">
        <v>0</v>
      </c>
      <c r="F61" s="636" t="e">
        <f t="shared" si="15"/>
        <v>#DIV/0!</v>
      </c>
      <c r="G61" s="3482"/>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t="e">
        <f t="shared" si="17"/>
        <v>#DIV/0!</v>
      </c>
      <c r="C62" s="378">
        <f t="shared" si="16"/>
        <v>0</v>
      </c>
      <c r="D62" s="2231">
        <v>0.25</v>
      </c>
      <c r="E62" s="639">
        <v>0</v>
      </c>
      <c r="F62" s="636" t="e">
        <f t="shared" si="15"/>
        <v>#DIV/0!</v>
      </c>
      <c r="G62" s="3482"/>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t="e">
        <f t="shared" si="17"/>
        <v>#DIV/0!</v>
      </c>
      <c r="C63" s="378">
        <f t="shared" si="16"/>
        <v>0</v>
      </c>
      <c r="D63" s="2231">
        <v>0.25</v>
      </c>
      <c r="E63" s="641">
        <f>'数据-汇总表'!E11</f>
        <v>0</v>
      </c>
      <c r="F63" s="636" t="e">
        <f t="shared" si="15"/>
        <v>#DIV/0!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t="e">
        <f t="shared" si="17"/>
        <v>#DIV/0!</v>
      </c>
      <c r="C64" s="378">
        <f t="shared" si="16"/>
        <v>0</v>
      </c>
      <c r="D64" s="2231">
        <v>0.25</v>
      </c>
      <c r="E64" s="641">
        <f>'数据-汇总表'!E12</f>
        <v>0</v>
      </c>
      <c r="F64" s="636" t="e">
        <f t="shared" si="15"/>
        <v>#DIV/0!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t="e">
        <f t="shared" si="17"/>
        <v>#DIV/0!</v>
      </c>
      <c r="C65" s="378">
        <f t="shared" si="16"/>
        <v>0</v>
      </c>
      <c r="D65" s="2231">
        <v>0.25</v>
      </c>
      <c r="E65" s="641">
        <f>'数据-汇总表'!E13</f>
        <v>0</v>
      </c>
      <c r="F65" s="636" t="e">
        <f t="shared" si="15"/>
        <v>#DIV/0!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t="e">
        <f t="shared" si="17"/>
        <v>#DIV/0!</v>
      </c>
      <c r="C66" s="378">
        <f t="shared" si="16"/>
        <v>0</v>
      </c>
      <c r="D66" s="2231">
        <v>0.25</v>
      </c>
      <c r="E66" s="641">
        <f>'数据-汇总表'!E14</f>
        <v>0</v>
      </c>
      <c r="F66" s="636" t="e">
        <f t="shared" si="15"/>
        <v>#DIV/0!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t="e">
        <f t="shared" si="17"/>
        <v>#DIV/0!</v>
      </c>
      <c r="C67" s="378">
        <f t="shared" si="16"/>
        <v>0</v>
      </c>
      <c r="D67" s="2231">
        <v>0.25</v>
      </c>
      <c r="E67" s="641">
        <f>'数据-汇总表'!E15</f>
        <v>0</v>
      </c>
      <c r="F67" s="636" t="e">
        <f t="shared" si="15"/>
        <v>#DIV/0!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86802.49</v>
      </c>
      <c r="F68" s="644" t="e">
        <f>IF(B48="楼面地价",SUM(F58:F67),ROUND(C50*E68/10000,0))</f>
        <v>#DIV/0!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2018-7-1</v>
      </c>
      <c r="D70" s="2801">
        <f>EDATE(C70,-3)</f>
        <v>43191</v>
      </c>
      <c r="E70" s="2801">
        <f t="shared" ref="E70:N70" si="18">EDATE(D70,-3)</f>
        <v>43101</v>
      </c>
      <c r="F70" s="2801">
        <f t="shared" si="18"/>
        <v>43009</v>
      </c>
      <c r="G70" s="2801">
        <f t="shared" si="18"/>
        <v>42917</v>
      </c>
      <c r="H70" s="2801">
        <f t="shared" si="18"/>
        <v>42826</v>
      </c>
      <c r="I70" s="2801">
        <f t="shared" si="18"/>
        <v>42736</v>
      </c>
      <c r="J70" s="2801">
        <f t="shared" si="18"/>
        <v>42644</v>
      </c>
      <c r="K70" s="2801">
        <f t="shared" si="18"/>
        <v>42552</v>
      </c>
      <c r="L70" s="2801">
        <f t="shared" si="18"/>
        <v>42461</v>
      </c>
      <c r="M70" s="2801">
        <f t="shared" si="18"/>
        <v>42370</v>
      </c>
      <c r="N70" s="2801">
        <f t="shared" si="18"/>
        <v>42278</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2535</v>
      </c>
      <c r="B72" s="2571"/>
      <c r="C72" s="2796" t="str">
        <f>YEAR(C70)&amp;"-"&amp;ROUNDUP(MONTH(C70)/3,0)</f>
        <v>2018-3</v>
      </c>
      <c r="D72" s="2803" t="str">
        <f>YEAR(D70)&amp;"-"&amp;ROUNDUP(MONTH(D70)/3,0)</f>
        <v>2018-2</v>
      </c>
      <c r="E72" s="2803" t="str">
        <f t="shared" ref="E72:N72" si="19">YEAR(E70)&amp;"-"&amp;ROUNDUP(MONTH(E70)/3,0)</f>
        <v>2018-1</v>
      </c>
      <c r="F72" s="2803" t="str">
        <f t="shared" si="19"/>
        <v>2017-4</v>
      </c>
      <c r="G72" s="2803" t="str">
        <f t="shared" si="19"/>
        <v>2017-3</v>
      </c>
      <c r="H72" s="2803" t="str">
        <f t="shared" si="19"/>
        <v>2017-2</v>
      </c>
      <c r="I72" s="2803" t="str">
        <f t="shared" si="19"/>
        <v>2017-1</v>
      </c>
      <c r="J72" s="2803" t="str">
        <f t="shared" si="19"/>
        <v>2016-4</v>
      </c>
      <c r="K72" s="2803" t="str">
        <f t="shared" si="19"/>
        <v>2016-3</v>
      </c>
      <c r="L72" s="2803" t="str">
        <f t="shared" si="19"/>
        <v>2016-2</v>
      </c>
      <c r="M72" s="2803" t="str">
        <f t="shared" si="19"/>
        <v>2016-1</v>
      </c>
      <c r="N72" s="2803"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2650</v>
      </c>
      <c r="B73" s="479" t="str">
        <f>"北京市平均增长率"&amp;TEXT(SUMIF(基准地价!N21:N25,A73,基准地价!P21:P25),"0.00%")</f>
        <v>北京市平均增长率2.15%</v>
      </c>
      <c r="C73" s="894">
        <v>100</v>
      </c>
      <c r="D73" s="730"/>
      <c r="E73" s="730"/>
      <c r="F73" s="730"/>
      <c r="G73" s="730"/>
      <c r="H73" s="730"/>
      <c r="I73" s="730"/>
      <c r="J73" s="730"/>
      <c r="K73" s="730"/>
      <c r="L73" s="730"/>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2649</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c r="D82" s="541"/>
      <c r="E82" s="541"/>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2553</v>
      </c>
      <c r="C104" s="2600" t="s">
        <v>2554</v>
      </c>
      <c r="D104" s="2600" t="s">
        <v>2555</v>
      </c>
      <c r="E104" s="2600" t="s">
        <v>2556</v>
      </c>
      <c r="F104" s="2600" t="s">
        <v>2557</v>
      </c>
      <c r="G104" s="2600"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2" t="str">
        <f t="shared" si="25"/>
        <v>(含)-</v>
      </c>
      <c r="K118" s="3092" t="str">
        <f t="shared" si="25"/>
        <v>(含)-</v>
      </c>
      <c r="L118" s="3093" t="str">
        <f t="shared" si="25"/>
        <v>(含)-</v>
      </c>
      <c r="M118" s="3094"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8"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9"/>
  <sheetViews>
    <sheetView topLeftCell="A4" workbookViewId="0">
      <selection activeCell="E6" sqref="E6"/>
    </sheetView>
  </sheetViews>
  <sheetFormatPr defaultRowHeight="13.5"/>
  <cols>
    <col min="2" max="2" width="16.375" customWidth="1"/>
    <col min="3" max="3" width="18.25" customWidth="1"/>
    <col min="4" max="4" width="19" customWidth="1"/>
    <col min="6" max="6" width="44" customWidth="1"/>
  </cols>
  <sheetData>
    <row r="1" spans="2:6" ht="14.25" thickBot="1"/>
    <row r="2" spans="2:6" ht="24.75" thickBot="1">
      <c r="B2" s="3248" t="s">
        <v>3347</v>
      </c>
      <c r="C2" s="3248" t="s">
        <v>3348</v>
      </c>
      <c r="D2" s="3249" t="s">
        <v>3349</v>
      </c>
      <c r="E2" s="3248" t="s">
        <v>3350</v>
      </c>
      <c r="F2" s="3248" t="s">
        <v>3351</v>
      </c>
    </row>
    <row r="3" spans="2:6" ht="15" thickTop="1">
      <c r="B3" s="3250">
        <v>1</v>
      </c>
      <c r="C3" s="3251" t="s">
        <v>3352</v>
      </c>
      <c r="D3" s="3252" t="str">
        <f>'数据-基础表'!A1</f>
        <v>数据基础表</v>
      </c>
      <c r="E3" s="3252">
        <f ca="1">结果表!G19</f>
        <v>12064</v>
      </c>
      <c r="F3" s="3253" t="s">
        <v>3353</v>
      </c>
    </row>
    <row r="4" spans="2:6" ht="131.25" customHeight="1">
      <c r="B4" s="3254">
        <v>2</v>
      </c>
      <c r="C4" s="3255" t="s">
        <v>3354</v>
      </c>
      <c r="D4" s="3256">
        <f>'数据-基础表'!B1</f>
        <v>0</v>
      </c>
      <c r="E4" s="3215">
        <f>建筑物价格!P14</f>
        <v>19900.809999999998</v>
      </c>
      <c r="F4" s="3257" t="s">
        <v>3355</v>
      </c>
    </row>
    <row r="5" spans="2:6" ht="48.75" customHeight="1">
      <c r="B5" s="3250">
        <v>3</v>
      </c>
      <c r="C5" s="3251" t="s">
        <v>3356</v>
      </c>
      <c r="D5" s="3207" t="s">
        <v>3357</v>
      </c>
      <c r="E5" s="3206">
        <f>附属物!H15</f>
        <v>71.95</v>
      </c>
      <c r="F5" s="3258" t="s">
        <v>3358</v>
      </c>
    </row>
    <row r="6" spans="2:6" ht="111" customHeight="1">
      <c r="B6" s="3254">
        <v>4</v>
      </c>
      <c r="C6" s="3255" t="s">
        <v>3359</v>
      </c>
      <c r="D6" s="3214" t="s">
        <v>3360</v>
      </c>
      <c r="E6" s="3213">
        <v>0</v>
      </c>
      <c r="F6" s="3257" t="s">
        <v>3361</v>
      </c>
    </row>
    <row r="7" spans="2:6" ht="150" customHeight="1">
      <c r="B7" s="3250">
        <v>5</v>
      </c>
      <c r="C7" s="3251" t="s">
        <v>3362</v>
      </c>
      <c r="D7" s="3207" t="s">
        <v>3360</v>
      </c>
      <c r="E7" s="3206">
        <f>停产停业损失及搬迁!H11</f>
        <v>2639.2799999999997</v>
      </c>
      <c r="F7" s="3258" t="s">
        <v>3363</v>
      </c>
    </row>
    <row r="8" spans="2:6" ht="120" customHeight="1" thickBot="1">
      <c r="B8" s="3259">
        <v>6</v>
      </c>
      <c r="C8" s="3260" t="s">
        <v>3364</v>
      </c>
      <c r="D8" s="3261">
        <f>'数据-基础表'!B1</f>
        <v>0</v>
      </c>
      <c r="E8" s="3262">
        <f>停产停业损失及搬迁!D29</f>
        <v>404.04</v>
      </c>
      <c r="F8" s="3263" t="s">
        <v>3365</v>
      </c>
    </row>
    <row r="9" spans="2:6" ht="15.75" thickTop="1" thickBot="1">
      <c r="B9" s="3264" t="s">
        <v>3366</v>
      </c>
      <c r="C9" s="3265" t="s">
        <v>3367</v>
      </c>
      <c r="D9" s="3266" t="str">
        <f>D3</f>
        <v>数据基础表</v>
      </c>
      <c r="E9" s="3267">
        <f ca="1">SUM(E3:E8)</f>
        <v>35080.080000000002</v>
      </c>
      <c r="F9" s="3268" t="s">
        <v>3368</v>
      </c>
    </row>
  </sheetData>
  <phoneticPr fontId="235"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76" sqref="I76"/>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f>F63</f>
        <v>12960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f>ROUND(B2*10000/'数据-汇总表'!E3,0)</f>
        <v>1604</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f>IF(B43="单位面积地价",C45,ROUND(B2*10000/'数据-汇总表'!D3,0))</f>
        <v>1493</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f>ROUND(B2/('数据-汇总表'!D3/666.67),0)</f>
        <v>100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458" t="s">
        <v>522</v>
      </c>
      <c r="D6" s="3459"/>
      <c r="E6" s="3493" t="s">
        <v>523</v>
      </c>
      <c r="F6" s="3494"/>
      <c r="G6" s="3458" t="s">
        <v>524</v>
      </c>
      <c r="H6" s="3459"/>
      <c r="I6" s="3458" t="s">
        <v>525</v>
      </c>
      <c r="J6" s="3459"/>
      <c r="K6" s="514" t="s">
        <v>526</v>
      </c>
      <c r="L6" s="2135"/>
      <c r="M6" s="2136"/>
      <c r="N6" s="2136"/>
      <c r="O6" s="2136"/>
      <c r="P6" s="3460" t="s">
        <v>527</v>
      </c>
      <c r="Q6" s="3461"/>
      <c r="R6" s="3466" t="s">
        <v>523</v>
      </c>
      <c r="S6" s="3467"/>
      <c r="T6" s="3466" t="s">
        <v>524</v>
      </c>
      <c r="U6" s="3467"/>
      <c r="V6" s="3453" t="s">
        <v>525</v>
      </c>
      <c r="W6" s="3453"/>
      <c r="X6" s="1568"/>
      <c r="Y6" s="3466" t="s">
        <v>527</v>
      </c>
      <c r="Z6" s="3467"/>
      <c r="AA6" s="3455" t="s">
        <v>523</v>
      </c>
      <c r="AB6" s="3456" t="s">
        <v>524</v>
      </c>
      <c r="AC6" s="3455" t="s">
        <v>525</v>
      </c>
    </row>
    <row r="7" spans="1:29" ht="15">
      <c r="A7" s="515"/>
      <c r="B7" s="516"/>
      <c r="C7" s="3490" t="str">
        <f>项目基本情况!F10</f>
        <v>通州区马驹桥镇金桥科技产业基地</v>
      </c>
      <c r="D7" s="3475"/>
      <c r="E7" s="3495" t="str">
        <f>案例!A30</f>
        <v>通州物流基地YZ00-0606-0015地块W1物流用地</v>
      </c>
      <c r="F7" s="3496"/>
      <c r="G7" s="3474" t="str">
        <f>案例!A31</f>
        <v>通州物流基地YZ00-0606-0019地块W1物流用地</v>
      </c>
      <c r="H7" s="3475"/>
      <c r="I7" s="3474" t="str">
        <f>案例!A7</f>
        <v>大兴区黄村镇孙村组团D-07B1地块</v>
      </c>
      <c r="J7" s="3475"/>
      <c r="K7" s="514"/>
      <c r="L7" s="2135"/>
      <c r="M7" s="2136"/>
      <c r="N7" s="2136"/>
      <c r="O7" s="2136"/>
      <c r="P7" s="3462"/>
      <c r="Q7" s="3463"/>
      <c r="R7" s="3468"/>
      <c r="S7" s="3469"/>
      <c r="T7" s="3468"/>
      <c r="U7" s="3469"/>
      <c r="V7" s="3453"/>
      <c r="W7" s="3453"/>
      <c r="X7" s="1568"/>
      <c r="Y7" s="3468"/>
      <c r="Z7" s="3469"/>
      <c r="AA7" s="3456"/>
      <c r="AB7" s="3456"/>
      <c r="AC7" s="3456"/>
    </row>
    <row r="8" spans="1:29" ht="15.75" thickBot="1">
      <c r="A8" s="517"/>
      <c r="B8" s="518"/>
      <c r="C8" s="3472" t="s">
        <v>2934</v>
      </c>
      <c r="D8" s="3473"/>
      <c r="E8" s="3491" t="s">
        <v>2934</v>
      </c>
      <c r="F8" s="3492"/>
      <c r="G8" s="3472" t="s">
        <v>2934</v>
      </c>
      <c r="H8" s="3473"/>
      <c r="I8" s="3472" t="s">
        <v>2934</v>
      </c>
      <c r="J8" s="3473"/>
      <c r="K8" s="514" t="s">
        <v>528</v>
      </c>
      <c r="L8" s="2135"/>
      <c r="M8" s="2136"/>
      <c r="N8" s="2136"/>
      <c r="O8" s="2136"/>
      <c r="P8" s="3464"/>
      <c r="Q8" s="3465"/>
      <c r="R8" s="3468"/>
      <c r="S8" s="3469"/>
      <c r="T8" s="3470"/>
      <c r="U8" s="3471"/>
      <c r="V8" s="3453"/>
      <c r="W8" s="3453"/>
      <c r="X8" s="1568"/>
      <c r="Y8" s="3470"/>
      <c r="Z8" s="3471"/>
      <c r="AA8" s="3457"/>
      <c r="AB8" s="3457"/>
      <c r="AC8" s="3457"/>
    </row>
    <row r="9" spans="1:29" s="1220" customFormat="1" ht="15.75" thickBot="1">
      <c r="A9" s="2914"/>
      <c r="B9" s="2921" t="s">
        <v>529</v>
      </c>
      <c r="C9" s="519">
        <f>'数据-取费表'!B2</f>
        <v>43290</v>
      </c>
      <c r="D9" s="520">
        <v>100</v>
      </c>
      <c r="E9" s="521" t="str">
        <f>案例!AA30</f>
        <v>2015-11-03</v>
      </c>
      <c r="F9" s="522">
        <f>SUMIF(67:67,YEAR(E9)&amp;"-"&amp;INT((MONTH(E9)+2)/3),68:68)</f>
        <v>95.5</v>
      </c>
      <c r="G9" s="523" t="str">
        <f>案例!AA31</f>
        <v>2015-11-03</v>
      </c>
      <c r="H9" s="520">
        <f>SUMIF(67:67,YEAR(G9)&amp;"-"&amp;INT((MONTH(G9)+2)/3),68:68)</f>
        <v>95.5</v>
      </c>
      <c r="I9" s="523" t="str">
        <f>案例!AA7</f>
        <v>2017-05-22</v>
      </c>
      <c r="J9" s="520">
        <f>SUMIF(67:67,YEAR(I9)&amp;"-"&amp;INT((MONTH(I9)+2)/3),68:68)</f>
        <v>98.5</v>
      </c>
      <c r="K9" s="524"/>
      <c r="L9" s="2137"/>
      <c r="M9" s="2138"/>
      <c r="N9" s="2138"/>
      <c r="O9" s="2138"/>
      <c r="P9" s="3483" t="s">
        <v>530</v>
      </c>
      <c r="Q9" s="3485"/>
      <c r="R9" s="1569" t="s">
        <v>8</v>
      </c>
      <c r="S9" s="1570">
        <f t="shared" ref="S9:S17" si="0">F9</f>
        <v>95.5</v>
      </c>
      <c r="T9" s="1569" t="s">
        <v>8</v>
      </c>
      <c r="U9" s="1570">
        <f t="shared" ref="U9:U17" si="1">H9</f>
        <v>95.5</v>
      </c>
      <c r="V9" s="1569" t="s">
        <v>8</v>
      </c>
      <c r="W9" s="1570">
        <f t="shared" ref="W9:W17" si="2">J9</f>
        <v>98.5</v>
      </c>
      <c r="X9" s="1571"/>
      <c r="Y9" s="3483" t="s">
        <v>530</v>
      </c>
      <c r="Z9" s="3484"/>
      <c r="AA9" s="1572">
        <f>D9/F9</f>
        <v>1.0471204188481675</v>
      </c>
      <c r="AB9" s="1572">
        <f>D9/H9</f>
        <v>1.0471204188481675</v>
      </c>
      <c r="AC9" s="1572">
        <f>D9/J9</f>
        <v>1.015228426395939</v>
      </c>
    </row>
    <row r="10" spans="1:29" s="1220" customFormat="1" ht="15.75" thickBot="1">
      <c r="A10" s="2915"/>
      <c r="B10" s="2922" t="s">
        <v>531</v>
      </c>
      <c r="C10" s="525" t="s">
        <v>532</v>
      </c>
      <c r="D10" s="520">
        <v>100</v>
      </c>
      <c r="E10" s="525" t="s">
        <v>3269</v>
      </c>
      <c r="F10" s="522">
        <f>SUMIF(70:70,E10,71:71)-SUMIF(70:70,C10,71:71)+100</f>
        <v>100</v>
      </c>
      <c r="G10" s="525" t="s">
        <v>3269</v>
      </c>
      <c r="H10" s="520">
        <f>SUMIF(70:70,G10,71:71)-SUMIF(70:70,C10,71:71)+100</f>
        <v>100</v>
      </c>
      <c r="I10" s="525" t="s">
        <v>3269</v>
      </c>
      <c r="J10" s="520">
        <f>SUMIF(70:70,I10,71:71)-SUMIF(70:70,C10,71:71)+100</f>
        <v>100</v>
      </c>
      <c r="K10" s="524"/>
      <c r="L10" s="2137"/>
      <c r="M10" s="2138"/>
      <c r="N10" s="2138"/>
      <c r="O10" s="2138"/>
      <c r="P10" s="3483" t="s">
        <v>533</v>
      </c>
      <c r="Q10" s="3484"/>
      <c r="R10" s="1569" t="s">
        <v>8</v>
      </c>
      <c r="S10" s="1570">
        <f t="shared" si="0"/>
        <v>100</v>
      </c>
      <c r="T10" s="1569" t="s">
        <v>8</v>
      </c>
      <c r="U10" s="1570">
        <f t="shared" si="1"/>
        <v>100</v>
      </c>
      <c r="V10" s="1569" t="s">
        <v>8</v>
      </c>
      <c r="W10" s="1570">
        <f t="shared" si="2"/>
        <v>100</v>
      </c>
      <c r="X10" s="1571"/>
      <c r="Y10" s="3483" t="s">
        <v>533</v>
      </c>
      <c r="Z10" s="3484"/>
      <c r="AA10" s="1572">
        <f t="shared" ref="AA10:AA42" si="3">D10/F10</f>
        <v>1</v>
      </c>
      <c r="AB10" s="1572">
        <f t="shared" ref="AB10:AB42" si="4">D10/H10</f>
        <v>1</v>
      </c>
      <c r="AC10" s="1572">
        <f t="shared" ref="AC10:AC42" si="5">D10/J10</f>
        <v>1</v>
      </c>
    </row>
    <row r="11" spans="1:29" s="1220" customFormat="1" ht="15">
      <c r="A11" s="2916"/>
      <c r="B11" s="2923" t="s">
        <v>2759</v>
      </c>
      <c r="C11" s="526" t="s">
        <v>982</v>
      </c>
      <c r="D11" s="254">
        <v>100</v>
      </c>
      <c r="E11" s="526" t="s">
        <v>3267</v>
      </c>
      <c r="F11" s="254">
        <f>SUMIF(72:72,E11,73:73)-SUMIF(72:72,C11,73:73)+100</f>
        <v>100</v>
      </c>
      <c r="G11" s="526" t="s">
        <v>3267</v>
      </c>
      <c r="H11" s="254">
        <f>SUMIF(72:72,G11,73:73)-SUMIF(72:72,C11,73:73)+100</f>
        <v>100</v>
      </c>
      <c r="I11" s="526" t="s">
        <v>982</v>
      </c>
      <c r="J11" s="254">
        <f>SUMIF(72:72,I11,73:73)-SUMIF(72:72,C11,73:73)+100</f>
        <v>100</v>
      </c>
      <c r="K11" s="524"/>
      <c r="L11" s="2137"/>
      <c r="M11" s="2138"/>
      <c r="N11" s="2138"/>
      <c r="O11" s="2139"/>
      <c r="P11" s="3452" t="s">
        <v>535</v>
      </c>
      <c r="Q11" s="1151" t="str">
        <f t="shared" ref="Q11:Q17" si="6">B11</f>
        <v>用途</v>
      </c>
      <c r="R11" s="1569" t="s">
        <v>8</v>
      </c>
      <c r="S11" s="1570">
        <f t="shared" si="0"/>
        <v>100</v>
      </c>
      <c r="T11" s="1569" t="s">
        <v>8</v>
      </c>
      <c r="U11" s="1570">
        <f t="shared" si="1"/>
        <v>100</v>
      </c>
      <c r="V11" s="1569" t="s">
        <v>8</v>
      </c>
      <c r="W11" s="1570">
        <f t="shared" si="2"/>
        <v>100</v>
      </c>
      <c r="X11" s="1571"/>
      <c r="Y11" s="3398" t="s">
        <v>536</v>
      </c>
      <c r="Z11" s="1150" t="str">
        <f t="shared" ref="Z11:Z17" si="7">Q11</f>
        <v>用途</v>
      </c>
      <c r="AA11" s="1572">
        <f t="shared" si="3"/>
        <v>1</v>
      </c>
      <c r="AB11" s="1572">
        <f t="shared" si="4"/>
        <v>1</v>
      </c>
      <c r="AC11" s="1572">
        <f t="shared" si="5"/>
        <v>1</v>
      </c>
    </row>
    <row r="12" spans="1:29" s="1338" customFormat="1" ht="27">
      <c r="A12" s="2917"/>
      <c r="B12" s="2922" t="s">
        <v>2760</v>
      </c>
      <c r="C12" s="528">
        <f>'数据-取费表'!F6</f>
        <v>40.159999999999997</v>
      </c>
      <c r="D12" s="255">
        <v>100</v>
      </c>
      <c r="E12" s="528">
        <v>50</v>
      </c>
      <c r="F12" s="255">
        <f>ROUND(100/'数据-取费表'!G16,0)</f>
        <v>110</v>
      </c>
      <c r="G12" s="528">
        <v>50</v>
      </c>
      <c r="H12" s="255">
        <f>ROUND(100/'数据-取费表'!G16,0)</f>
        <v>110</v>
      </c>
      <c r="I12" s="528">
        <v>50</v>
      </c>
      <c r="J12" s="255">
        <f>ROUND(100/'数据-取费表'!G16,0)</f>
        <v>110</v>
      </c>
      <c r="K12" s="531"/>
      <c r="L12" s="2140"/>
      <c r="M12" s="2180"/>
      <c r="N12" s="2180"/>
      <c r="O12" s="2141"/>
      <c r="P12" s="3452"/>
      <c r="Q12" s="1151" t="str">
        <f t="shared" si="6"/>
        <v>土地使用年限（年）</v>
      </c>
      <c r="R12" s="1569" t="s">
        <v>8</v>
      </c>
      <c r="S12" s="1570">
        <f t="shared" si="0"/>
        <v>110</v>
      </c>
      <c r="T12" s="1569" t="s">
        <v>8</v>
      </c>
      <c r="U12" s="1570">
        <f t="shared" si="1"/>
        <v>110</v>
      </c>
      <c r="V12" s="1569" t="s">
        <v>8</v>
      </c>
      <c r="W12" s="1570">
        <f t="shared" si="2"/>
        <v>110</v>
      </c>
      <c r="X12" s="1571"/>
      <c r="Y12" s="3398"/>
      <c r="Z12" s="1150" t="str">
        <f t="shared" si="7"/>
        <v>土地使用年限（年）</v>
      </c>
      <c r="AA12" s="1572">
        <f t="shared" si="3"/>
        <v>0.90909090909090906</v>
      </c>
      <c r="AB12" s="1572">
        <f t="shared" si="4"/>
        <v>0.90909090909090906</v>
      </c>
      <c r="AC12" s="1572">
        <f t="shared" si="5"/>
        <v>0.90909090909090906</v>
      </c>
    </row>
    <row r="13" spans="1:29" ht="15">
      <c r="A13" s="2918"/>
      <c r="B13" s="2922" t="s">
        <v>2761</v>
      </c>
      <c r="C13" s="533">
        <v>1</v>
      </c>
      <c r="D13" s="255">
        <v>100</v>
      </c>
      <c r="E13" s="533">
        <f>案例!L30</f>
        <v>1.5</v>
      </c>
      <c r="F13" s="255">
        <f>LOOKUP(E13,77:77,78:78)-LOOKUP(C13,77:77,78:78)+100</f>
        <v>100</v>
      </c>
      <c r="G13" s="534">
        <f>案例!L31</f>
        <v>1.5</v>
      </c>
      <c r="H13" s="255">
        <f>LOOKUP(G13,77:77,78:78)-LOOKUP(C13,77:77,78:78)+100</f>
        <v>100</v>
      </c>
      <c r="I13" s="533">
        <v>1.4</v>
      </c>
      <c r="J13" s="255">
        <f>LOOKUP(I13,77:77,78:78)-LOOKUP(C13,77:77,78:78)+100</f>
        <v>100</v>
      </c>
      <c r="K13" s="535"/>
      <c r="L13" s="2142"/>
      <c r="M13" s="2136"/>
      <c r="N13" s="2136"/>
      <c r="O13" s="2143"/>
      <c r="P13" s="3452"/>
      <c r="Q13" s="1151" t="str">
        <f t="shared" si="6"/>
        <v>容积率</v>
      </c>
      <c r="R13" s="1569" t="s">
        <v>8</v>
      </c>
      <c r="S13" s="1570">
        <f t="shared" si="0"/>
        <v>100</v>
      </c>
      <c r="T13" s="1569" t="s">
        <v>8</v>
      </c>
      <c r="U13" s="1570">
        <f t="shared" si="1"/>
        <v>100</v>
      </c>
      <c r="V13" s="1569" t="s">
        <v>8</v>
      </c>
      <c r="W13" s="1570">
        <f t="shared" si="2"/>
        <v>100</v>
      </c>
      <c r="X13" s="1571"/>
      <c r="Y13" s="3398"/>
      <c r="Z13" s="1150" t="str">
        <f t="shared" si="7"/>
        <v>容积率</v>
      </c>
      <c r="AA13" s="1572">
        <f t="shared" si="3"/>
        <v>1</v>
      </c>
      <c r="AB13" s="1572">
        <f t="shared" si="4"/>
        <v>1</v>
      </c>
      <c r="AC13" s="1572">
        <f t="shared" si="5"/>
        <v>1</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52"/>
      <c r="Q14" s="1151">
        <f t="shared" si="6"/>
        <v>111</v>
      </c>
      <c r="R14" s="1569" t="s">
        <v>8</v>
      </c>
      <c r="S14" s="1570">
        <f t="shared" si="0"/>
        <v>100</v>
      </c>
      <c r="T14" s="1569" t="s">
        <v>8</v>
      </c>
      <c r="U14" s="1570">
        <f t="shared" si="1"/>
        <v>100</v>
      </c>
      <c r="V14" s="1569" t="s">
        <v>8</v>
      </c>
      <c r="W14" s="1570">
        <f t="shared" si="2"/>
        <v>100</v>
      </c>
      <c r="X14" s="1571"/>
      <c r="Y14" s="3398"/>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52"/>
      <c r="Q15" s="1151">
        <f t="shared" si="6"/>
        <v>111</v>
      </c>
      <c r="R15" s="1569" t="s">
        <v>8</v>
      </c>
      <c r="S15" s="1570">
        <f t="shared" si="0"/>
        <v>100</v>
      </c>
      <c r="T15" s="1569" t="s">
        <v>8</v>
      </c>
      <c r="U15" s="1570">
        <f t="shared" si="1"/>
        <v>100</v>
      </c>
      <c r="V15" s="1569" t="s">
        <v>8</v>
      </c>
      <c r="W15" s="1570">
        <f t="shared" si="2"/>
        <v>100</v>
      </c>
      <c r="X15" s="1571"/>
      <c r="Y15" s="3398"/>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52"/>
      <c r="Q16" s="1151">
        <f t="shared" si="6"/>
        <v>111</v>
      </c>
      <c r="R16" s="1569" t="s">
        <v>8</v>
      </c>
      <c r="S16" s="1570">
        <f t="shared" si="0"/>
        <v>100</v>
      </c>
      <c r="T16" s="1569" t="s">
        <v>8</v>
      </c>
      <c r="U16" s="1570">
        <f t="shared" si="1"/>
        <v>100</v>
      </c>
      <c r="V16" s="1569" t="s">
        <v>8</v>
      </c>
      <c r="W16" s="1570">
        <f t="shared" si="2"/>
        <v>100</v>
      </c>
      <c r="X16" s="1571"/>
      <c r="Y16" s="3398"/>
      <c r="Z16" s="1150">
        <f t="shared" si="7"/>
        <v>111</v>
      </c>
      <c r="AA16" s="1572">
        <f t="shared" si="3"/>
        <v>1</v>
      </c>
      <c r="AB16" s="1572">
        <f t="shared" si="4"/>
        <v>1</v>
      </c>
      <c r="AC16" s="1572">
        <f t="shared" si="5"/>
        <v>1</v>
      </c>
    </row>
    <row r="17" spans="1:29" ht="81.75" customHeight="1">
      <c r="A17" s="2912" t="s">
        <v>2757</v>
      </c>
      <c r="B17" s="166" t="s">
        <v>598</v>
      </c>
      <c r="C17" s="921" t="str">
        <f>估价对象房地状况!G15</f>
        <v>估价对象位于北京市通州区马驹桥镇金桥产业基地，园区建设成熟，产业集聚程度较好</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86" t="s">
        <v>540</v>
      </c>
      <c r="Q17" s="1573" t="str">
        <f t="shared" si="6"/>
        <v>产业集聚程度</v>
      </c>
      <c r="R17" s="1574" t="s">
        <v>8</v>
      </c>
      <c r="S17" s="1575">
        <f t="shared" si="0"/>
        <v>100</v>
      </c>
      <c r="T17" s="1574" t="s">
        <v>8</v>
      </c>
      <c r="U17" s="1575">
        <f t="shared" si="1"/>
        <v>100</v>
      </c>
      <c r="V17" s="1574" t="s">
        <v>8</v>
      </c>
      <c r="W17" s="1575">
        <f t="shared" si="2"/>
        <v>100</v>
      </c>
      <c r="X17" s="1568"/>
      <c r="Y17" s="3486" t="s">
        <v>540</v>
      </c>
      <c r="Z17" s="1576" t="str">
        <f t="shared" si="7"/>
        <v>产业集聚程度</v>
      </c>
      <c r="AA17" s="1577">
        <f t="shared" si="3"/>
        <v>1</v>
      </c>
      <c r="AB17" s="1577">
        <f t="shared" si="4"/>
        <v>1</v>
      </c>
      <c r="AC17" s="1577">
        <f t="shared" si="5"/>
        <v>1</v>
      </c>
    </row>
    <row r="18" spans="1:29" ht="15">
      <c r="A18" s="532"/>
      <c r="B18" s="869"/>
      <c r="C18" s="576" t="s">
        <v>3027</v>
      </c>
      <c r="D18" s="555"/>
      <c r="E18" s="554" t="s">
        <v>3027</v>
      </c>
      <c r="F18" s="555"/>
      <c r="G18" s="554" t="s">
        <v>3027</v>
      </c>
      <c r="H18" s="559"/>
      <c r="I18" s="554" t="s">
        <v>3027</v>
      </c>
      <c r="J18" s="555"/>
      <c r="K18" s="531"/>
      <c r="L18" s="2144"/>
      <c r="M18" s="2136"/>
      <c r="N18" s="2136"/>
      <c r="O18" s="2143"/>
      <c r="P18" s="3487"/>
      <c r="Q18" s="1573"/>
      <c r="R18" s="1574"/>
      <c r="S18" s="1575"/>
      <c r="T18" s="1574"/>
      <c r="U18" s="1575"/>
      <c r="V18" s="1574"/>
      <c r="W18" s="1575"/>
      <c r="X18" s="1568"/>
      <c r="Y18" s="3487"/>
      <c r="Z18" s="1576"/>
      <c r="AA18" s="1577">
        <v>1</v>
      </c>
      <c r="AB18" s="1577">
        <v>1</v>
      </c>
      <c r="AC18" s="1577">
        <v>1</v>
      </c>
    </row>
    <row r="19" spans="1:29" ht="71.25" customHeight="1">
      <c r="A19" s="532"/>
      <c r="B19" s="871" t="s">
        <v>543</v>
      </c>
      <c r="C19" s="872" t="str">
        <f>估价对象房地状况!G16</f>
        <v>估价对象紧邻六环高速路、公共交通通达情况较好、综合评价交通便捷度较好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87"/>
      <c r="Q19" s="1573" t="str">
        <f>B19</f>
        <v>交通便捷度</v>
      </c>
      <c r="R19" s="1574" t="s">
        <v>8</v>
      </c>
      <c r="S19" s="1575">
        <f>F19</f>
        <v>100</v>
      </c>
      <c r="T19" s="1574" t="s">
        <v>8</v>
      </c>
      <c r="U19" s="1575">
        <f>H19</f>
        <v>100</v>
      </c>
      <c r="V19" s="1574" t="s">
        <v>8</v>
      </c>
      <c r="W19" s="1575">
        <f>J19</f>
        <v>100</v>
      </c>
      <c r="X19" s="1568"/>
      <c r="Y19" s="3487"/>
      <c r="Z19" s="1576" t="str">
        <f>Q19</f>
        <v>交通便捷度</v>
      </c>
      <c r="AA19" s="1577">
        <f t="shared" si="3"/>
        <v>1</v>
      </c>
      <c r="AB19" s="1577">
        <f t="shared" si="4"/>
        <v>1</v>
      </c>
      <c r="AC19" s="1577">
        <f t="shared" si="5"/>
        <v>1</v>
      </c>
    </row>
    <row r="20" spans="1:29" ht="15">
      <c r="A20" s="532"/>
      <c r="B20" s="922"/>
      <c r="C20" s="576" t="s">
        <v>3027</v>
      </c>
      <c r="D20" s="555"/>
      <c r="E20" s="556" t="s">
        <v>3027</v>
      </c>
      <c r="F20" s="555"/>
      <c r="G20" s="556" t="s">
        <v>3027</v>
      </c>
      <c r="H20" s="555"/>
      <c r="I20" s="558" t="s">
        <v>3027</v>
      </c>
      <c r="J20" s="555"/>
      <c r="K20" s="531"/>
      <c r="L20" s="2144"/>
      <c r="M20" s="2136"/>
      <c r="N20" s="2136"/>
      <c r="O20" s="2143"/>
      <c r="P20" s="3487"/>
      <c r="Q20" s="1573"/>
      <c r="R20" s="1574"/>
      <c r="S20" s="1575"/>
      <c r="T20" s="1574"/>
      <c r="U20" s="1575"/>
      <c r="V20" s="1574"/>
      <c r="W20" s="1575"/>
      <c r="X20" s="1568"/>
      <c r="Y20" s="3487"/>
      <c r="Z20" s="1576"/>
      <c r="AA20" s="1577">
        <v>1</v>
      </c>
      <c r="AB20" s="1577">
        <v>1</v>
      </c>
      <c r="AC20" s="1577">
        <v>1</v>
      </c>
    </row>
    <row r="21" spans="1:29" ht="45" customHeight="1">
      <c r="A21" s="515"/>
      <c r="B21" s="871" t="s">
        <v>544</v>
      </c>
      <c r="C21" s="872" t="str">
        <f>估价对象房地状况!G17</f>
        <v>零星有其他用地，基本不影响本宗地</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87"/>
      <c r="Q21" s="1573" t="str">
        <f t="shared" ref="Q21:Q35" si="8">B21</f>
        <v>区域土地利用方向</v>
      </c>
      <c r="R21" s="1574" t="s">
        <v>8</v>
      </c>
      <c r="S21" s="1575">
        <f>F21</f>
        <v>100</v>
      </c>
      <c r="T21" s="1574" t="s">
        <v>8</v>
      </c>
      <c r="U21" s="1575">
        <f>H21</f>
        <v>100</v>
      </c>
      <c r="V21" s="1574" t="s">
        <v>8</v>
      </c>
      <c r="W21" s="1575">
        <f>J21</f>
        <v>100</v>
      </c>
      <c r="X21" s="1568"/>
      <c r="Y21" s="3487"/>
      <c r="Z21" s="1576" t="str">
        <f>Q21</f>
        <v>区域土地利用方向</v>
      </c>
      <c r="AA21" s="1577">
        <f t="shared" si="3"/>
        <v>1</v>
      </c>
      <c r="AB21" s="1577">
        <f t="shared" si="4"/>
        <v>1</v>
      </c>
      <c r="AC21" s="1577">
        <f t="shared" si="5"/>
        <v>1</v>
      </c>
    </row>
    <row r="22" spans="1:29" ht="15">
      <c r="A22" s="515"/>
      <c r="B22" s="595"/>
      <c r="C22" s="576" t="s">
        <v>3027</v>
      </c>
      <c r="D22" s="555"/>
      <c r="E22" s="556" t="s">
        <v>3027</v>
      </c>
      <c r="F22" s="557"/>
      <c r="G22" s="558" t="s">
        <v>3027</v>
      </c>
      <c r="H22" s="557"/>
      <c r="I22" s="558" t="s">
        <v>3027</v>
      </c>
      <c r="J22" s="557"/>
      <c r="K22" s="1348"/>
      <c r="L22" s="2144"/>
      <c r="M22" s="2136"/>
      <c r="N22" s="2136"/>
      <c r="O22" s="2143"/>
      <c r="P22" s="3487"/>
      <c r="Q22" s="1573"/>
      <c r="R22" s="1574"/>
      <c r="S22" s="1575"/>
      <c r="T22" s="1574"/>
      <c r="U22" s="1575"/>
      <c r="V22" s="1574"/>
      <c r="W22" s="1575"/>
      <c r="X22" s="1568"/>
      <c r="Y22" s="3487"/>
      <c r="Z22" s="1576"/>
      <c r="AA22" s="1577"/>
      <c r="AB22" s="1577"/>
      <c r="AC22" s="1577"/>
    </row>
    <row r="23" spans="1:29" ht="71.25">
      <c r="A23" s="515"/>
      <c r="B23" s="922" t="s">
        <v>599</v>
      </c>
      <c r="C23" s="872" t="str">
        <f>估价对象房地状况!G18</f>
        <v>该园区内无污染型企业，绿化条件一般，卫生条件一般，整体环境状况一般</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87"/>
      <c r="Q23" s="1573" t="str">
        <f t="shared" si="8"/>
        <v>环境状况</v>
      </c>
      <c r="R23" s="1574" t="s">
        <v>8</v>
      </c>
      <c r="S23" s="1575">
        <f>F23</f>
        <v>100</v>
      </c>
      <c r="T23" s="1574" t="s">
        <v>8</v>
      </c>
      <c r="U23" s="1575">
        <f>H23</f>
        <v>100</v>
      </c>
      <c r="V23" s="1574" t="s">
        <v>8</v>
      </c>
      <c r="W23" s="1575">
        <f>J23</f>
        <v>100</v>
      </c>
      <c r="X23" s="1568"/>
      <c r="Y23" s="3487"/>
      <c r="Z23" s="1576" t="str">
        <f>Q23</f>
        <v>环境状况</v>
      </c>
      <c r="AA23" s="1577">
        <f t="shared" si="3"/>
        <v>1</v>
      </c>
      <c r="AB23" s="1577">
        <f t="shared" si="4"/>
        <v>1</v>
      </c>
      <c r="AC23" s="1577">
        <f t="shared" si="5"/>
        <v>1</v>
      </c>
    </row>
    <row r="24" spans="1:29" ht="15">
      <c r="A24" s="515"/>
      <c r="B24" s="595"/>
      <c r="C24" s="576" t="s">
        <v>3028</v>
      </c>
      <c r="D24" s="555"/>
      <c r="E24" s="554" t="s">
        <v>3028</v>
      </c>
      <c r="F24" s="555"/>
      <c r="G24" s="554" t="s">
        <v>3028</v>
      </c>
      <c r="H24" s="555"/>
      <c r="I24" s="576" t="s">
        <v>3028</v>
      </c>
      <c r="J24" s="555"/>
      <c r="K24" s="531"/>
      <c r="L24" s="2144"/>
      <c r="M24" s="2136"/>
      <c r="N24" s="2136"/>
      <c r="O24" s="2143"/>
      <c r="P24" s="3487"/>
      <c r="Q24" s="1573"/>
      <c r="R24" s="1574"/>
      <c r="S24" s="1575"/>
      <c r="T24" s="1574"/>
      <c r="U24" s="1575"/>
      <c r="V24" s="1574"/>
      <c r="W24" s="1575"/>
      <c r="X24" s="1568"/>
      <c r="Y24" s="3487"/>
      <c r="Z24" s="1576"/>
      <c r="AA24" s="1577">
        <v>1</v>
      </c>
      <c r="AB24" s="1577">
        <v>1</v>
      </c>
      <c r="AC24" s="1577">
        <v>1</v>
      </c>
    </row>
    <row r="25" spans="1:29" s="1220" customFormat="1" ht="99.75">
      <c r="A25" s="577"/>
      <c r="B25" s="2595" t="s">
        <v>2551</v>
      </c>
      <c r="C25" s="872" t="str">
        <f>估价对象房地状况!G19</f>
        <v>估价对象所在区域公共配套设施齐备情况一般；基础设施水平一般；综合评价公用设施及基础设施水平一般</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87"/>
      <c r="Q25" s="1151" t="str">
        <f t="shared" si="8"/>
        <v>公共配套设施</v>
      </c>
      <c r="R25" s="1569" t="s">
        <v>8</v>
      </c>
      <c r="S25" s="1570">
        <f>F25</f>
        <v>100</v>
      </c>
      <c r="T25" s="1569" t="s">
        <v>8</v>
      </c>
      <c r="U25" s="1570">
        <f>H25</f>
        <v>100</v>
      </c>
      <c r="V25" s="1569" t="s">
        <v>8</v>
      </c>
      <c r="W25" s="1570">
        <f>J25</f>
        <v>100</v>
      </c>
      <c r="X25" s="1571"/>
      <c r="Y25" s="3487"/>
      <c r="Z25" s="1150" t="str">
        <f>Q25</f>
        <v>公共配套设施</v>
      </c>
      <c r="AA25" s="1577">
        <f>D25/F25</f>
        <v>1</v>
      </c>
      <c r="AB25" s="1577">
        <f>D25/H25</f>
        <v>1</v>
      </c>
      <c r="AC25" s="1577">
        <f>D25/J25</f>
        <v>1</v>
      </c>
    </row>
    <row r="26" spans="1:29" s="1220" customFormat="1" ht="15">
      <c r="A26" s="577"/>
      <c r="B26" s="595"/>
      <c r="C26" s="2594" t="s">
        <v>3028</v>
      </c>
      <c r="D26" s="555"/>
      <c r="E26" s="554" t="s">
        <v>3028</v>
      </c>
      <c r="F26" s="555"/>
      <c r="G26" s="554" t="s">
        <v>3028</v>
      </c>
      <c r="H26" s="555"/>
      <c r="I26" s="576" t="s">
        <v>3028</v>
      </c>
      <c r="J26" s="555"/>
      <c r="K26" s="531"/>
      <c r="L26" s="2137"/>
      <c r="M26" s="2138"/>
      <c r="N26" s="2138"/>
      <c r="O26" s="2139"/>
      <c r="P26" s="3487"/>
      <c r="Q26" s="1151"/>
      <c r="R26" s="1569"/>
      <c r="S26" s="1570"/>
      <c r="T26" s="1569"/>
      <c r="U26" s="1570"/>
      <c r="V26" s="1569"/>
      <c r="W26" s="1570"/>
      <c r="X26" s="1571"/>
      <c r="Y26" s="3487"/>
      <c r="Z26" s="1150"/>
      <c r="AA26" s="1572">
        <v>1</v>
      </c>
      <c r="AB26" s="1572">
        <v>1</v>
      </c>
      <c r="AC26" s="1572">
        <v>1</v>
      </c>
    </row>
    <row r="27" spans="1:29" s="1220" customFormat="1" ht="15">
      <c r="A27" s="577"/>
      <c r="B27" s="2595" t="s">
        <v>2552</v>
      </c>
      <c r="C27" s="872" t="str">
        <f>估价对象房地状况!G20</f>
        <v>五通</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87"/>
      <c r="Q27" s="2580" t="str">
        <f t="shared" ref="Q27" si="9">B27</f>
        <v>基础设施水平</v>
      </c>
      <c r="R27" s="1569" t="s">
        <v>8</v>
      </c>
      <c r="S27" s="1570">
        <f>F27</f>
        <v>100</v>
      </c>
      <c r="T27" s="1569" t="s">
        <v>8</v>
      </c>
      <c r="U27" s="1570">
        <f>H27</f>
        <v>100</v>
      </c>
      <c r="V27" s="1569" t="s">
        <v>8</v>
      </c>
      <c r="W27" s="1570">
        <f>J27</f>
        <v>100</v>
      </c>
      <c r="X27" s="1571"/>
      <c r="Y27" s="3487"/>
      <c r="Z27" s="2577" t="str">
        <f>Q27</f>
        <v>基础设施水平</v>
      </c>
      <c r="AA27" s="1577">
        <f>D27/F27</f>
        <v>1</v>
      </c>
      <c r="AB27" s="1577">
        <f>D27/H27</f>
        <v>1</v>
      </c>
      <c r="AC27" s="1577">
        <f>D27/J27</f>
        <v>1</v>
      </c>
    </row>
    <row r="28" spans="1:29" s="1220" customFormat="1" ht="15">
      <c r="A28" s="577"/>
      <c r="B28" s="595"/>
      <c r="C28" s="2594" t="s">
        <v>3280</v>
      </c>
      <c r="D28" s="555"/>
      <c r="E28" s="579" t="s">
        <v>3280</v>
      </c>
      <c r="F28" s="555"/>
      <c r="G28" s="579" t="s">
        <v>3280</v>
      </c>
      <c r="H28" s="555"/>
      <c r="I28" s="579" t="s">
        <v>3280</v>
      </c>
      <c r="J28" s="555"/>
      <c r="K28" s="531"/>
      <c r="L28" s="2137"/>
      <c r="M28" s="2138"/>
      <c r="N28" s="2138"/>
      <c r="O28" s="2139"/>
      <c r="P28" s="3487"/>
      <c r="Q28" s="2580"/>
      <c r="R28" s="1569"/>
      <c r="S28" s="1570"/>
      <c r="T28" s="1569"/>
      <c r="U28" s="1570"/>
      <c r="V28" s="1569"/>
      <c r="W28" s="1570"/>
      <c r="X28" s="1571"/>
      <c r="Y28" s="3487"/>
      <c r="Z28" s="2577"/>
      <c r="AA28" s="1572">
        <v>1</v>
      </c>
      <c r="AB28" s="1572">
        <v>1</v>
      </c>
      <c r="AC28" s="1572">
        <v>1</v>
      </c>
    </row>
    <row r="29" spans="1:29" ht="15">
      <c r="A29" s="532"/>
      <c r="B29" s="595" t="s">
        <v>547</v>
      </c>
      <c r="C29" s="583" t="s">
        <v>3036</v>
      </c>
      <c r="D29" s="540">
        <v>100</v>
      </c>
      <c r="E29" s="580" t="s">
        <v>3036</v>
      </c>
      <c r="F29" s="540">
        <f>SUMIF(97:97,E29,98:98)-SUMIF(97:97,C29,98:98)+100</f>
        <v>100</v>
      </c>
      <c r="G29" s="580" t="s">
        <v>3036</v>
      </c>
      <c r="H29" s="540">
        <f>SUMIF(97:97,G29,98:98)-SUMIF(97:97,C29,98:98)+100</f>
        <v>100</v>
      </c>
      <c r="I29" s="580" t="s">
        <v>3036</v>
      </c>
      <c r="J29" s="540">
        <f>SUMIF(97:97,I29,98:98)-SUMIF(97:97,C29,98:98)+100</f>
        <v>100</v>
      </c>
      <c r="K29" s="535"/>
      <c r="L29" s="2144"/>
      <c r="M29" s="2136"/>
      <c r="N29" s="2136"/>
      <c r="O29" s="2143"/>
      <c r="P29" s="348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87"/>
      <c r="Z29" s="1576" t="str">
        <f t="shared" ref="Z29:Z42" si="13">Q29</f>
        <v>临街状况</v>
      </c>
      <c r="AA29" s="1577">
        <f t="shared" si="3"/>
        <v>1</v>
      </c>
      <c r="AB29" s="1577">
        <f t="shared" si="4"/>
        <v>1</v>
      </c>
      <c r="AC29" s="1577">
        <f t="shared" si="5"/>
        <v>1</v>
      </c>
    </row>
    <row r="30" spans="1:29" ht="28.5">
      <c r="A30" s="532"/>
      <c r="B30" s="922" t="s">
        <v>548</v>
      </c>
      <c r="C30" s="2597" t="str">
        <f>估价对象房地状况!G22</f>
        <v>城市高速路——六环路</v>
      </c>
      <c r="D30" s="559">
        <v>100</v>
      </c>
      <c r="E30" s="562"/>
      <c r="F30" s="559">
        <f>SUMIF(99:99,E31,100:100)-SUMIF(99:99,C31,100:100)+100</f>
        <v>96</v>
      </c>
      <c r="G30" s="562"/>
      <c r="H30" s="559">
        <f>SUMIF(99:99,G31,100:100)-SUMIF(99:99,C31,100:100)+100</f>
        <v>96</v>
      </c>
      <c r="I30" s="564"/>
      <c r="J30" s="559">
        <f>SUMIF(99:99,I31,100:100)-SUMIF(99:99,C31,100:100)+100</f>
        <v>96</v>
      </c>
      <c r="K30" s="535">
        <v>2</v>
      </c>
      <c r="L30" s="2144"/>
      <c r="M30" s="2136"/>
      <c r="N30" s="2136"/>
      <c r="O30" s="2143"/>
      <c r="P30" s="3487"/>
      <c r="Q30" s="1573" t="str">
        <f t="shared" si="8"/>
        <v>毗邻道路的类型与等级</v>
      </c>
      <c r="R30" s="1574" t="s">
        <v>8</v>
      </c>
      <c r="S30" s="1575">
        <f t="shared" si="10"/>
        <v>96</v>
      </c>
      <c r="T30" s="1574" t="s">
        <v>8</v>
      </c>
      <c r="U30" s="1575">
        <f t="shared" si="11"/>
        <v>96</v>
      </c>
      <c r="V30" s="1574" t="s">
        <v>8</v>
      </c>
      <c r="W30" s="1575">
        <f t="shared" si="12"/>
        <v>96</v>
      </c>
      <c r="X30" s="1568"/>
      <c r="Y30" s="3487"/>
      <c r="Z30" s="1576" t="str">
        <f t="shared" si="13"/>
        <v>毗邻道路的类型与等级</v>
      </c>
      <c r="AA30" s="1577">
        <f t="shared" si="3"/>
        <v>1.0416666666666667</v>
      </c>
      <c r="AB30" s="1577">
        <f t="shared" si="4"/>
        <v>1.0416666666666667</v>
      </c>
      <c r="AC30" s="1577">
        <f t="shared" si="5"/>
        <v>1.0416666666666667</v>
      </c>
    </row>
    <row r="31" spans="1:29" ht="15">
      <c r="A31" s="532"/>
      <c r="B31" s="595"/>
      <c r="C31" s="576" t="s">
        <v>3271</v>
      </c>
      <c r="D31" s="555"/>
      <c r="E31" s="576" t="s">
        <v>3274</v>
      </c>
      <c r="F31" s="555"/>
      <c r="G31" s="576" t="s">
        <v>3274</v>
      </c>
      <c r="H31" s="555"/>
      <c r="I31" s="576" t="s">
        <v>3274</v>
      </c>
      <c r="J31" s="555"/>
      <c r="K31" s="581"/>
      <c r="L31" s="2144"/>
      <c r="M31" s="2136"/>
      <c r="N31" s="2136"/>
      <c r="O31" s="2143"/>
      <c r="P31" s="3487"/>
      <c r="Q31" s="1573"/>
      <c r="R31" s="1574"/>
      <c r="S31" s="1575"/>
      <c r="T31" s="1574"/>
      <c r="U31" s="1575"/>
      <c r="V31" s="1574"/>
      <c r="W31" s="1575"/>
      <c r="X31" s="1568"/>
      <c r="Y31" s="3487"/>
      <c r="Z31" s="1576"/>
      <c r="AA31" s="1577">
        <v>1</v>
      </c>
      <c r="AB31" s="1577">
        <v>1</v>
      </c>
      <c r="AC31" s="1577">
        <v>1</v>
      </c>
    </row>
    <row r="32" spans="1:29" ht="15">
      <c r="A32" s="532"/>
      <c r="B32" s="527" t="s">
        <v>549</v>
      </c>
      <c r="C32" s="2598" t="str">
        <f>估价对象房地状况!G23</f>
        <v>8级</v>
      </c>
      <c r="D32" s="540">
        <v>100</v>
      </c>
      <c r="E32" s="580" t="s">
        <v>3285</v>
      </c>
      <c r="F32" s="540">
        <f>SUMIF(101:101,E32,102:102)-SUMIF(101:101,C32,102:102)+100</f>
        <v>100</v>
      </c>
      <c r="G32" s="580" t="s">
        <v>3285</v>
      </c>
      <c r="H32" s="540">
        <f>SUMIF(101:101,G32,102:102)-SUMIF(101:101,C32,102:102)+100</f>
        <v>100</v>
      </c>
      <c r="I32" s="580" t="s">
        <v>3285</v>
      </c>
      <c r="J32" s="540">
        <f>SUMIF(101:101,I32,102:102)-SUMIF(101:101,C32,102:102)+100</f>
        <v>100</v>
      </c>
      <c r="K32" s="584"/>
      <c r="L32" s="2144"/>
      <c r="M32" s="2136"/>
      <c r="N32" s="2136"/>
      <c r="O32" s="2143"/>
      <c r="P32" s="3487"/>
      <c r="Q32" s="1573" t="str">
        <f t="shared" si="8"/>
        <v>土地级别</v>
      </c>
      <c r="R32" s="1574" t="s">
        <v>8</v>
      </c>
      <c r="S32" s="1575">
        <f t="shared" si="10"/>
        <v>100</v>
      </c>
      <c r="T32" s="1574" t="s">
        <v>8</v>
      </c>
      <c r="U32" s="1575">
        <f t="shared" si="11"/>
        <v>100</v>
      </c>
      <c r="V32" s="1574" t="s">
        <v>8</v>
      </c>
      <c r="W32" s="1575">
        <f t="shared" si="12"/>
        <v>100</v>
      </c>
      <c r="X32" s="1568"/>
      <c r="Y32" s="348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87"/>
      <c r="Q33" s="1573">
        <f t="shared" si="8"/>
        <v>111</v>
      </c>
      <c r="R33" s="1574" t="s">
        <v>8</v>
      </c>
      <c r="S33" s="1575">
        <f t="shared" si="10"/>
        <v>100</v>
      </c>
      <c r="T33" s="1574" t="s">
        <v>8</v>
      </c>
      <c r="U33" s="1575">
        <f t="shared" si="11"/>
        <v>100</v>
      </c>
      <c r="V33" s="1574" t="s">
        <v>8</v>
      </c>
      <c r="W33" s="1575">
        <f t="shared" si="12"/>
        <v>100</v>
      </c>
      <c r="X33" s="1568"/>
      <c r="Y33" s="348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88" t="s">
        <v>550</v>
      </c>
      <c r="Q34" s="1573">
        <f t="shared" si="8"/>
        <v>111</v>
      </c>
      <c r="R34" s="1574" t="s">
        <v>8</v>
      </c>
      <c r="S34" s="1575">
        <f t="shared" si="10"/>
        <v>100</v>
      </c>
      <c r="T34" s="1574" t="s">
        <v>8</v>
      </c>
      <c r="U34" s="1575">
        <f t="shared" si="11"/>
        <v>100</v>
      </c>
      <c r="V34" s="1574" t="s">
        <v>8</v>
      </c>
      <c r="W34" s="1575">
        <f t="shared" si="12"/>
        <v>100</v>
      </c>
      <c r="X34" s="1568"/>
      <c r="Y34" s="3489"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89"/>
      <c r="Q35" s="1573">
        <f t="shared" si="8"/>
        <v>111</v>
      </c>
      <c r="R35" s="1578" t="s">
        <v>8</v>
      </c>
      <c r="S35" s="1579">
        <f t="shared" si="10"/>
        <v>100</v>
      </c>
      <c r="T35" s="1578" t="s">
        <v>8</v>
      </c>
      <c r="U35" s="1579">
        <f t="shared" si="11"/>
        <v>100</v>
      </c>
      <c r="V35" s="1578" t="s">
        <v>8</v>
      </c>
      <c r="W35" s="1579">
        <f t="shared" si="12"/>
        <v>100</v>
      </c>
      <c r="X35" s="1580"/>
      <c r="Y35" s="3489"/>
      <c r="Z35" s="1581">
        <f t="shared" si="13"/>
        <v>111</v>
      </c>
      <c r="AA35" s="1577">
        <f t="shared" si="3"/>
        <v>1</v>
      </c>
      <c r="AB35" s="1577">
        <f t="shared" si="4"/>
        <v>1</v>
      </c>
      <c r="AC35" s="1577">
        <f t="shared" si="5"/>
        <v>1</v>
      </c>
    </row>
    <row r="36" spans="1:29" ht="15">
      <c r="A36" s="2909" t="s">
        <v>2758</v>
      </c>
      <c r="B36" s="595" t="s">
        <v>552</v>
      </c>
      <c r="C36" s="596">
        <f>'数据-基础表'!A3</f>
        <v>86802.494000000006</v>
      </c>
      <c r="D36" s="597">
        <v>100</v>
      </c>
      <c r="E36" s="596">
        <f>案例!J30</f>
        <v>107244</v>
      </c>
      <c r="F36" s="597">
        <f>LOOKUP(E36,110:110,111:111)-LOOKUP(C36,110:110,111:111)+100</f>
        <v>102</v>
      </c>
      <c r="G36" s="596">
        <f>案例!J31</f>
        <v>126492.9</v>
      </c>
      <c r="H36" s="597">
        <f>LOOKUP(G36,110:110,111:111)-LOOKUP(C36,110:110,111:111)+100</f>
        <v>102</v>
      </c>
      <c r="I36" s="598">
        <f>案例!J7</f>
        <v>19655.95</v>
      </c>
      <c r="J36" s="597">
        <f>LOOKUP(I36,110:110,111:111)-LOOKUP(C36,110:110,111:111)+100</f>
        <v>98</v>
      </c>
      <c r="K36" s="581"/>
      <c r="L36" s="2144"/>
      <c r="M36" s="2136"/>
      <c r="N36" s="2136"/>
      <c r="O36" s="2143"/>
      <c r="P36" s="3489"/>
      <c r="Q36" s="1573" t="str">
        <f>B36</f>
        <v>宗地面积</v>
      </c>
      <c r="R36" s="1574" t="s">
        <v>8</v>
      </c>
      <c r="S36" s="1575">
        <f t="shared" si="10"/>
        <v>102</v>
      </c>
      <c r="T36" s="1574" t="s">
        <v>8</v>
      </c>
      <c r="U36" s="1575">
        <f t="shared" si="11"/>
        <v>102</v>
      </c>
      <c r="V36" s="1574" t="s">
        <v>8</v>
      </c>
      <c r="W36" s="1575">
        <f t="shared" si="12"/>
        <v>98</v>
      </c>
      <c r="X36" s="1568"/>
      <c r="Y36" s="3489"/>
      <c r="Z36" s="1576" t="str">
        <f t="shared" si="13"/>
        <v>宗地面积</v>
      </c>
      <c r="AA36" s="1577">
        <f t="shared" si="3"/>
        <v>0.98039215686274506</v>
      </c>
      <c r="AB36" s="1577">
        <f t="shared" si="4"/>
        <v>0.98039215686274506</v>
      </c>
      <c r="AC36" s="1577">
        <f t="shared" si="5"/>
        <v>1.0204081632653061</v>
      </c>
    </row>
    <row r="37" spans="1:29" ht="15">
      <c r="A37" s="594"/>
      <c r="B37" s="527" t="s">
        <v>553</v>
      </c>
      <c r="C37" s="599" t="s">
        <v>3276</v>
      </c>
      <c r="D37" s="540">
        <v>100</v>
      </c>
      <c r="E37" s="599" t="s">
        <v>3276</v>
      </c>
      <c r="F37" s="540">
        <f>SUMIF(112:112,E37,113:113)-SUMIF(112:112,C37,113:113)+100</f>
        <v>100</v>
      </c>
      <c r="G37" s="599" t="s">
        <v>3276</v>
      </c>
      <c r="H37" s="540">
        <f>SUMIF(112:112,G37,113:113)-SUMIF(112:112,C37,113:113)+100</f>
        <v>100</v>
      </c>
      <c r="I37" s="599" t="s">
        <v>3276</v>
      </c>
      <c r="J37" s="540">
        <f>SUMIF(112:112,I37,113:113)-SUMIF(112:112,C37,113:113)+100</f>
        <v>100</v>
      </c>
      <c r="K37" s="584"/>
      <c r="L37" s="2144"/>
      <c r="M37" s="2136"/>
      <c r="N37" s="2136"/>
      <c r="O37" s="2143"/>
      <c r="P37" s="3489"/>
      <c r="Q37" s="1573" t="str">
        <f t="shared" ref="Q37:Q42" si="14">B37</f>
        <v>宗地形状</v>
      </c>
      <c r="R37" s="1574" t="s">
        <v>8</v>
      </c>
      <c r="S37" s="1575">
        <f t="shared" si="10"/>
        <v>100</v>
      </c>
      <c r="T37" s="1574" t="s">
        <v>8</v>
      </c>
      <c r="U37" s="1575">
        <f t="shared" si="11"/>
        <v>100</v>
      </c>
      <c r="V37" s="1574" t="s">
        <v>8</v>
      </c>
      <c r="W37" s="1575">
        <f t="shared" si="12"/>
        <v>100</v>
      </c>
      <c r="X37" s="1568"/>
      <c r="Y37" s="3489"/>
      <c r="Z37" s="1576" t="str">
        <f t="shared" si="13"/>
        <v>宗地形状</v>
      </c>
      <c r="AA37" s="1577">
        <f t="shared" si="3"/>
        <v>1</v>
      </c>
      <c r="AB37" s="1577">
        <f t="shared" si="4"/>
        <v>1</v>
      </c>
      <c r="AC37" s="1577">
        <f t="shared" si="5"/>
        <v>1</v>
      </c>
    </row>
    <row r="38" spans="1:29" s="1220" customFormat="1" ht="15">
      <c r="A38" s="600"/>
      <c r="B38" s="1897" t="s">
        <v>2427</v>
      </c>
      <c r="C38" s="601" t="s">
        <v>3270</v>
      </c>
      <c r="D38" s="255">
        <v>100</v>
      </c>
      <c r="E38" s="601" t="s">
        <v>3280</v>
      </c>
      <c r="F38" s="540">
        <f>SUMIF(114:114,E38,115:115)-SUMIF(114:114,C38,115:115)+100</f>
        <v>98</v>
      </c>
      <c r="G38" s="601" t="s">
        <v>3280</v>
      </c>
      <c r="H38" s="540">
        <f>SUMIF(114:114,G38,115:115)-SUMIF(114:114,C38,115:115)+100</f>
        <v>98</v>
      </c>
      <c r="I38" s="601" t="s">
        <v>3280</v>
      </c>
      <c r="J38" s="540">
        <f>SUMIF(114:114,I38,115:115)-SUMIF(114:114,C38,115:115)+100</f>
        <v>98</v>
      </c>
      <c r="K38" s="584">
        <v>2</v>
      </c>
      <c r="L38" s="2137"/>
      <c r="M38" s="2138"/>
      <c r="N38" s="2138"/>
      <c r="O38" s="2139"/>
      <c r="P38" s="3489"/>
      <c r="Q38" s="1573" t="str">
        <f t="shared" si="14"/>
        <v>宗地开发程度</v>
      </c>
      <c r="R38" s="1569" t="s">
        <v>8</v>
      </c>
      <c r="S38" s="1570">
        <f t="shared" si="10"/>
        <v>98</v>
      </c>
      <c r="T38" s="1569" t="s">
        <v>8</v>
      </c>
      <c r="U38" s="1570">
        <f t="shared" si="11"/>
        <v>98</v>
      </c>
      <c r="V38" s="1569" t="s">
        <v>8</v>
      </c>
      <c r="W38" s="1570">
        <f t="shared" si="12"/>
        <v>98</v>
      </c>
      <c r="X38" s="1571"/>
      <c r="Y38" s="3489"/>
      <c r="Z38" s="1150" t="str">
        <f t="shared" si="13"/>
        <v>宗地开发程度</v>
      </c>
      <c r="AA38" s="1572">
        <f t="shared" si="3"/>
        <v>1.0204081632653061</v>
      </c>
      <c r="AB38" s="1572">
        <f t="shared" si="4"/>
        <v>1.0204081632653061</v>
      </c>
      <c r="AC38" s="1572">
        <f t="shared" si="5"/>
        <v>1.0204081632653061</v>
      </c>
    </row>
    <row r="39" spans="1:29" ht="15">
      <c r="A39" s="594"/>
      <c r="B39" s="527" t="s">
        <v>555</v>
      </c>
      <c r="C39" s="599" t="s">
        <v>3005</v>
      </c>
      <c r="D39" s="540">
        <v>100</v>
      </c>
      <c r="E39" s="599" t="s">
        <v>3005</v>
      </c>
      <c r="F39" s="540">
        <f>SUMIF(116:116,E39,117:117)-SUMIF(116:116,C39,117:117)+100</f>
        <v>100</v>
      </c>
      <c r="G39" s="599" t="s">
        <v>3005</v>
      </c>
      <c r="H39" s="540">
        <f>SUMIF(116:116,G39,117:117)-SUMIF(116:116,C39,117:117)+100</f>
        <v>100</v>
      </c>
      <c r="I39" s="599" t="s">
        <v>3005</v>
      </c>
      <c r="J39" s="540">
        <f>SUMIF(116:116,I39,117:117)-SUMIF(116:116,C39,117:117)+100</f>
        <v>100</v>
      </c>
      <c r="K39" s="584"/>
      <c r="L39" s="2144"/>
      <c r="M39" s="2136"/>
      <c r="N39" s="2136"/>
      <c r="O39" s="2143"/>
      <c r="P39" s="3489" t="s">
        <v>601</v>
      </c>
      <c r="Q39" s="1573" t="str">
        <f t="shared" si="14"/>
        <v>工程地质条件</v>
      </c>
      <c r="R39" s="1574" t="s">
        <v>8</v>
      </c>
      <c r="S39" s="1575">
        <f t="shared" si="10"/>
        <v>100</v>
      </c>
      <c r="T39" s="1574" t="s">
        <v>8</v>
      </c>
      <c r="U39" s="1575">
        <f t="shared" si="11"/>
        <v>100</v>
      </c>
      <c r="V39" s="1574" t="s">
        <v>8</v>
      </c>
      <c r="W39" s="1575">
        <f t="shared" si="12"/>
        <v>100</v>
      </c>
      <c r="X39" s="1568"/>
      <c r="Y39" s="3489"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89"/>
      <c r="Q40" s="1573">
        <f t="shared" si="14"/>
        <v>111</v>
      </c>
      <c r="R40" s="1574" t="s">
        <v>8</v>
      </c>
      <c r="S40" s="1575">
        <f t="shared" si="10"/>
        <v>100</v>
      </c>
      <c r="T40" s="1574" t="s">
        <v>8</v>
      </c>
      <c r="U40" s="1575">
        <f t="shared" si="11"/>
        <v>100</v>
      </c>
      <c r="V40" s="1574" t="s">
        <v>8</v>
      </c>
      <c r="W40" s="1575">
        <f t="shared" si="12"/>
        <v>100</v>
      </c>
      <c r="X40" s="1568"/>
      <c r="Y40" s="348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89"/>
      <c r="Q41" s="1573">
        <f t="shared" si="14"/>
        <v>111</v>
      </c>
      <c r="R41" s="1574" t="s">
        <v>8</v>
      </c>
      <c r="S41" s="1575">
        <f t="shared" si="10"/>
        <v>100</v>
      </c>
      <c r="T41" s="1574" t="s">
        <v>8</v>
      </c>
      <c r="U41" s="1575">
        <f t="shared" si="11"/>
        <v>100</v>
      </c>
      <c r="V41" s="1574" t="s">
        <v>8</v>
      </c>
      <c r="W41" s="1575">
        <f t="shared" si="12"/>
        <v>100</v>
      </c>
      <c r="X41" s="1568"/>
      <c r="Y41" s="348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89"/>
      <c r="Q42" s="1573">
        <f t="shared" si="14"/>
        <v>111</v>
      </c>
      <c r="R42" s="1578" t="s">
        <v>8</v>
      </c>
      <c r="S42" s="1579">
        <f t="shared" si="10"/>
        <v>100</v>
      </c>
      <c r="T42" s="1578" t="s">
        <v>8</v>
      </c>
      <c r="U42" s="1579">
        <f t="shared" si="11"/>
        <v>100</v>
      </c>
      <c r="V42" s="1578" t="s">
        <v>8</v>
      </c>
      <c r="W42" s="1579">
        <f t="shared" si="12"/>
        <v>100</v>
      </c>
      <c r="X42" s="1580"/>
      <c r="Y42" s="3489"/>
      <c r="Z42" s="1581">
        <f t="shared" si="13"/>
        <v>111</v>
      </c>
      <c r="AA42" s="1577">
        <f t="shared" si="3"/>
        <v>1</v>
      </c>
      <c r="AB42" s="1577">
        <f t="shared" si="4"/>
        <v>1</v>
      </c>
      <c r="AC42" s="1577">
        <f t="shared" si="5"/>
        <v>1</v>
      </c>
    </row>
    <row r="43" spans="1:29" ht="15">
      <c r="A43" s="607" t="s">
        <v>556</v>
      </c>
      <c r="B43" s="608" t="s">
        <v>3287</v>
      </c>
      <c r="C43" s="609" t="s">
        <v>1</v>
      </c>
      <c r="D43" s="610"/>
      <c r="E43" s="611">
        <f>ROUND(案例!AG30*10000/E36,0)</f>
        <v>1582</v>
      </c>
      <c r="F43" s="612"/>
      <c r="G43" s="613">
        <f>ROUND(案例!AG31*10000/G36,0)</f>
        <v>1582</v>
      </c>
      <c r="H43" s="614"/>
      <c r="I43" s="611">
        <f>ROUND(案例!AG7*10000/I36,0)</f>
        <v>1340</v>
      </c>
      <c r="J43" s="614"/>
      <c r="K43" s="1340"/>
      <c r="L43" s="2146"/>
      <c r="M43" s="2136"/>
      <c r="N43" s="2136"/>
      <c r="O43" s="2147"/>
      <c r="P43" s="3452" t="str">
        <f>A43</f>
        <v>成交单价</v>
      </c>
      <c r="Q43" s="3452"/>
      <c r="R43" s="3453">
        <f>E43</f>
        <v>1582</v>
      </c>
      <c r="S43" s="3453"/>
      <c r="T43" s="3453">
        <f>G43</f>
        <v>1582</v>
      </c>
      <c r="U43" s="3453"/>
      <c r="V43" s="3453">
        <f>I43</f>
        <v>1340</v>
      </c>
      <c r="W43" s="3453"/>
      <c r="X43" s="1560"/>
      <c r="Y43" s="1582"/>
      <c r="Z43" s="1560"/>
      <c r="AA43" s="1560"/>
      <c r="AB43" s="1560"/>
      <c r="AC43" s="1560"/>
    </row>
    <row r="44" spans="1:29" ht="15.75" thickBot="1">
      <c r="A44" s="615" t="s">
        <v>2696</v>
      </c>
      <c r="B44" s="616"/>
      <c r="C44" s="617">
        <f>R45</f>
        <v>1493</v>
      </c>
      <c r="D44" s="618"/>
      <c r="E44" s="617">
        <f>R44</f>
        <v>1569</v>
      </c>
      <c r="F44" s="619"/>
      <c r="G44" s="620">
        <f>T44</f>
        <v>1569</v>
      </c>
      <c r="H44" s="618"/>
      <c r="I44" s="617">
        <f>V44</f>
        <v>1341</v>
      </c>
      <c r="J44" s="618"/>
      <c r="K44" s="1341"/>
      <c r="L44" s="2146"/>
      <c r="M44" s="2136"/>
      <c r="N44" s="2136"/>
      <c r="O44" s="2147"/>
      <c r="P44" s="3452" t="str">
        <f>A44</f>
        <v>比较价格（元/平方米）</v>
      </c>
      <c r="Q44" s="3452"/>
      <c r="R44" s="3454">
        <f>ROUND(PRODUCT(R43,AA9:AA42),0)</f>
        <v>1569</v>
      </c>
      <c r="S44" s="3454"/>
      <c r="T44" s="3454">
        <f>ROUND(PRODUCT(T43,AB9:AB42),0)</f>
        <v>1569</v>
      </c>
      <c r="U44" s="3454"/>
      <c r="V44" s="3454">
        <f>ROUND(PRODUCT(V43,AC9:AC42),0)</f>
        <v>1341</v>
      </c>
      <c r="W44" s="3454"/>
      <c r="X44" s="1560"/>
      <c r="Y44" s="1560"/>
      <c r="Z44" s="1560"/>
      <c r="AA44" s="1560"/>
      <c r="AB44" s="1560"/>
      <c r="AC44" s="1560"/>
    </row>
    <row r="45" spans="1:29" ht="15.75" thickBot="1">
      <c r="A45" s="621" t="s">
        <v>3344</v>
      </c>
      <c r="B45" s="622"/>
      <c r="C45" s="623">
        <f>R45</f>
        <v>1493</v>
      </c>
      <c r="D45" s="623"/>
      <c r="E45" s="623"/>
      <c r="F45" s="623"/>
      <c r="G45" s="623"/>
      <c r="H45" s="623"/>
      <c r="I45" s="623"/>
      <c r="J45" s="623"/>
      <c r="K45" s="1342"/>
      <c r="L45" s="2146"/>
      <c r="M45" s="2136"/>
      <c r="N45" s="2136"/>
      <c r="O45" s="2147"/>
      <c r="P45" s="3449" t="str">
        <f>A45</f>
        <v>估价对象工业用房的比较价格（楼面单价，元/平方米）</v>
      </c>
      <c r="Q45" s="3450"/>
      <c r="R45" s="3451">
        <f>ROUND(AVERAGE(R44:V44),0)</f>
        <v>1493</v>
      </c>
      <c r="S45" s="3451"/>
      <c r="T45" s="3451"/>
      <c r="U45" s="3451"/>
      <c r="V45" s="3451"/>
      <c r="W45" s="3451"/>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f>IF(E43&lt;E44,E44/E43-1,E43/E44-1)</f>
        <v>8.2855321861057263E-3</v>
      </c>
      <c r="F48" s="627" t="str">
        <f>IF(OR(E48&gt;=0.3,E48&lt;=-0.3),"超过30%","")</f>
        <v/>
      </c>
      <c r="G48" s="626">
        <f>IF(G43&lt;G44,G44/G43-1,G43/G44-1)</f>
        <v>8.2855321861057263E-3</v>
      </c>
      <c r="H48" s="627" t="str">
        <f>IF(OR(G48&gt;=0.3,G48&lt;=-0.3),"超过30%","")</f>
        <v/>
      </c>
      <c r="I48" s="626">
        <f>IF(I43&lt;I44,I44/I43-1,I43/I44-1)</f>
        <v>7.4626865671634235E-4</v>
      </c>
      <c r="J48" s="627" t="str">
        <f>IF(OR(I48&gt;=0.3,I48&lt;=-0.3),"超过30%","")</f>
        <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f>IF(E44&lt;G44,G44/E44-1,E44/G44-1)</f>
        <v>0</v>
      </c>
      <c r="F49" s="627" t="str">
        <f>IF(OR(E49&gt;=0.2,E49&lt;=-0.2),"超过20%","")</f>
        <v/>
      </c>
      <c r="G49" s="626">
        <f>IF(G44&lt;I44,I44/G44-1,G44/I44-1)</f>
        <v>0.17002237136465315</v>
      </c>
      <c r="H49" s="627" t="str">
        <f>IF(OR(G49&gt;=0.2,G49&lt;=-0.2),"超过20%","")</f>
        <v/>
      </c>
      <c r="I49" s="626">
        <f>IF(I44&lt;E44,E44/I44-1,I44/E44-1)</f>
        <v>0.17002237136465315</v>
      </c>
      <c r="J49" s="627" t="str">
        <f>IF(OR(I49&gt;=0.2,I49&lt;=-0.2),"超过20%","")</f>
        <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f>IF(E43&lt;G43,G43/E43-1,E43/G43-1)</f>
        <v>0</v>
      </c>
      <c r="F50" s="627" t="str">
        <f>IF(OR(E50&gt;=0.3,E50&lt;=-0.3),"超过30%","")</f>
        <v/>
      </c>
      <c r="G50" s="626">
        <f>IF(G43&lt;I43,I43/G43-1,G43/I43-1)</f>
        <v>0.18059701492537306</v>
      </c>
      <c r="H50" s="627" t="str">
        <f>IF(OR(G50&gt;=0.3,G50&lt;=-0.3),"超过30%","")</f>
        <v/>
      </c>
      <c r="I50" s="626">
        <f>IF(I43&lt;E43,E43/I43-1,I43/E43-1)</f>
        <v>0.18059701492537306</v>
      </c>
      <c r="J50" s="627" t="str">
        <f>IF(OR(I50&gt;=0.3,I50&lt;=-0.3),"超过30%","")</f>
        <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97" t="s">
        <v>2287</v>
      </c>
      <c r="H52" s="3498"/>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f>C45</f>
        <v>1493</v>
      </c>
      <c r="C53" s="635">
        <v>1</v>
      </c>
      <c r="D53" s="2230">
        <v>1</v>
      </c>
      <c r="E53" s="635">
        <f>'数据-汇总表'!E8+'数据-汇总表'!E9</f>
        <v>80808</v>
      </c>
      <c r="F53" s="1952">
        <f t="shared" ref="F53:F62" si="15">ROUND(B53*E53/10000,0)</f>
        <v>12065</v>
      </c>
      <c r="G53" s="3499"/>
      <c r="H53" s="3500"/>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f>ROUND($C$45*C54*D54,0)</f>
        <v>0</v>
      </c>
      <c r="C54" s="378">
        <f t="shared" ref="C54:C62" si="16">IF($C$52="北京市系数",I54,J54)</f>
        <v>0</v>
      </c>
      <c r="D54" s="2231">
        <v>0.25</v>
      </c>
      <c r="E54" s="639"/>
      <c r="F54" s="1952">
        <f t="shared" si="15"/>
        <v>0</v>
      </c>
      <c r="G54" s="3501"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f t="shared" ref="B55:B62" si="17">ROUND($C$45*C55*D55,0)</f>
        <v>0</v>
      </c>
      <c r="C55" s="378">
        <f t="shared" si="16"/>
        <v>0</v>
      </c>
      <c r="D55" s="2231">
        <v>0.25</v>
      </c>
      <c r="E55" s="639"/>
      <c r="F55" s="1952">
        <f t="shared" si="15"/>
        <v>0</v>
      </c>
      <c r="G55" s="3501"/>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f t="shared" si="17"/>
        <v>0</v>
      </c>
      <c r="C56" s="378">
        <f t="shared" si="16"/>
        <v>0</v>
      </c>
      <c r="D56" s="2231">
        <v>0.25</v>
      </c>
      <c r="E56" s="639"/>
      <c r="F56" s="1952">
        <f t="shared" si="15"/>
        <v>0</v>
      </c>
      <c r="G56" s="3501"/>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f t="shared" si="17"/>
        <v>0</v>
      </c>
      <c r="C57" s="378">
        <f t="shared" si="16"/>
        <v>0</v>
      </c>
      <c r="D57" s="2231">
        <v>0.25</v>
      </c>
      <c r="E57" s="639"/>
      <c r="F57" s="1952">
        <f t="shared" si="15"/>
        <v>0</v>
      </c>
      <c r="G57" s="3501"/>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f t="shared" si="17"/>
        <v>0</v>
      </c>
      <c r="C58" s="378">
        <f t="shared" si="16"/>
        <v>0</v>
      </c>
      <c r="D58" s="2231">
        <v>0.25</v>
      </c>
      <c r="E58" s="641">
        <f>'数据-汇总表'!E11</f>
        <v>0</v>
      </c>
      <c r="F58" s="1952">
        <f t="shared" si="15"/>
        <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f t="shared" si="17"/>
        <v>0</v>
      </c>
      <c r="C59" s="378">
        <f t="shared" si="16"/>
        <v>0</v>
      </c>
      <c r="D59" s="2231">
        <v>0.25</v>
      </c>
      <c r="E59" s="641">
        <f>'数据-汇总表'!E12</f>
        <v>0</v>
      </c>
      <c r="F59" s="1952">
        <f t="shared" si="15"/>
        <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f t="shared" si="17"/>
        <v>0</v>
      </c>
      <c r="C60" s="378">
        <f t="shared" si="16"/>
        <v>0</v>
      </c>
      <c r="D60" s="2231">
        <v>0.25</v>
      </c>
      <c r="E60" s="641">
        <f>'数据-汇总表'!E13</f>
        <v>0</v>
      </c>
      <c r="F60" s="1952">
        <f t="shared" si="15"/>
        <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f t="shared" si="17"/>
        <v>0</v>
      </c>
      <c r="C61" s="378">
        <f t="shared" si="16"/>
        <v>0</v>
      </c>
      <c r="D61" s="2231">
        <v>0.25</v>
      </c>
      <c r="E61" s="641">
        <f>'数据-汇总表'!E14</f>
        <v>0</v>
      </c>
      <c r="F61" s="1952">
        <f t="shared" si="15"/>
        <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f t="shared" si="17"/>
        <v>0</v>
      </c>
      <c r="C62" s="378">
        <f t="shared" si="16"/>
        <v>0</v>
      </c>
      <c r="D62" s="2231">
        <v>0.25</v>
      </c>
      <c r="E62" s="641">
        <f>'数据-汇总表'!E15</f>
        <v>0</v>
      </c>
      <c r="F62" s="1952">
        <f t="shared" si="15"/>
        <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86802.49</v>
      </c>
      <c r="F63" s="644">
        <f>IF(B43="楼面地价",SUM(F53:F62),ROUND(C45*E63/10000,0))</f>
        <v>12960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2018-7-1</v>
      </c>
      <c r="D65" s="2801">
        <f>EDATE(C65,-3)</f>
        <v>43191</v>
      </c>
      <c r="E65" s="2801">
        <f t="shared" ref="E65:N65" si="18">EDATE(D65,-3)</f>
        <v>43101</v>
      </c>
      <c r="F65" s="2801">
        <f t="shared" si="18"/>
        <v>43009</v>
      </c>
      <c r="G65" s="2801">
        <f t="shared" si="18"/>
        <v>42917</v>
      </c>
      <c r="H65" s="2801">
        <f t="shared" si="18"/>
        <v>42826</v>
      </c>
      <c r="I65" s="2801">
        <f t="shared" si="18"/>
        <v>42736</v>
      </c>
      <c r="J65" s="2801">
        <f t="shared" si="18"/>
        <v>42644</v>
      </c>
      <c r="K65" s="2801">
        <f t="shared" si="18"/>
        <v>42552</v>
      </c>
      <c r="L65" s="2801">
        <f t="shared" si="18"/>
        <v>42461</v>
      </c>
      <c r="M65" s="2801">
        <f t="shared" si="18"/>
        <v>42370</v>
      </c>
      <c r="N65" s="2801">
        <f t="shared" si="18"/>
        <v>42278</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2536</v>
      </c>
      <c r="B67" s="646"/>
      <c r="C67" s="2796" t="str">
        <f>YEAR(C65)&amp;"-"&amp;ROUNDUP(MONTH(C65)/3,0)</f>
        <v>2018-3</v>
      </c>
      <c r="D67" s="2803" t="str">
        <f t="shared" ref="D67:N67" si="19">YEAR(D65)&amp;"-"&amp;ROUNDUP(MONTH(D65)/3,0)</f>
        <v>2018-2</v>
      </c>
      <c r="E67" s="2803" t="str">
        <f t="shared" si="19"/>
        <v>2018-1</v>
      </c>
      <c r="F67" s="2803" t="str">
        <f t="shared" si="19"/>
        <v>2017-4</v>
      </c>
      <c r="G67" s="2803" t="str">
        <f t="shared" si="19"/>
        <v>2017-3</v>
      </c>
      <c r="H67" s="2803" t="str">
        <f t="shared" si="19"/>
        <v>2017-2</v>
      </c>
      <c r="I67" s="2803" t="str">
        <f t="shared" si="19"/>
        <v>2017-1</v>
      </c>
      <c r="J67" s="2803" t="str">
        <f t="shared" si="19"/>
        <v>2016-4</v>
      </c>
      <c r="K67" s="2803" t="str">
        <f t="shared" si="19"/>
        <v>2016-3</v>
      </c>
      <c r="L67" s="2803" t="str">
        <f t="shared" si="19"/>
        <v>2016-2</v>
      </c>
      <c r="M67" s="2803" t="str">
        <f t="shared" si="19"/>
        <v>2016-1</v>
      </c>
      <c r="N67" s="2803"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2652</v>
      </c>
      <c r="B68" s="479" t="str">
        <f>"北京市平均增长率"&amp;TEXT(基准地价!P24,"0.00%")</f>
        <v>北京市平均增长率1.28%</v>
      </c>
      <c r="C68" s="894">
        <v>100</v>
      </c>
      <c r="D68" s="730">
        <v>100</v>
      </c>
      <c r="E68" s="730">
        <v>100</v>
      </c>
      <c r="F68" s="3245">
        <v>98.5</v>
      </c>
      <c r="G68" s="3245">
        <f>F68</f>
        <v>98.5</v>
      </c>
      <c r="H68" s="3245">
        <f>F68</f>
        <v>98.5</v>
      </c>
      <c r="I68" s="3245">
        <f>F68</f>
        <v>98.5</v>
      </c>
      <c r="J68" s="3245">
        <v>97</v>
      </c>
      <c r="K68" s="3245">
        <f>J68</f>
        <v>97</v>
      </c>
      <c r="L68" s="3245">
        <f>J68</f>
        <v>97</v>
      </c>
      <c r="M68" s="3246">
        <f>J68</f>
        <v>97</v>
      </c>
      <c r="N68" s="3247">
        <v>95.5</v>
      </c>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3192" t="s">
        <v>3266</v>
      </c>
      <c r="D72" s="3192" t="s">
        <v>3268</v>
      </c>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1（含）-2</v>
      </c>
      <c r="D76" s="682" t="str">
        <f t="shared" ref="D76:L76" si="20">D77&amp;"（含）"&amp;"-"&amp;E77</f>
        <v>2（含）-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v>1</v>
      </c>
      <c r="D77" s="541">
        <v>2</v>
      </c>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2553</v>
      </c>
      <c r="C95" s="2600" t="s">
        <v>2554</v>
      </c>
      <c r="D95" s="2600" t="s">
        <v>2555</v>
      </c>
      <c r="E95" s="2600" t="s">
        <v>2556</v>
      </c>
      <c r="F95" s="2600" t="s">
        <v>2557</v>
      </c>
      <c r="G95" s="2600"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3194" t="s">
        <v>3272</v>
      </c>
      <c r="D99" s="3194" t="s">
        <v>3273</v>
      </c>
      <c r="E99" s="3194" t="s">
        <v>3275</v>
      </c>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98</v>
      </c>
      <c r="E100" s="679">
        <f t="shared" si="23"/>
        <v>96</v>
      </c>
      <c r="F100" s="679">
        <f t="shared" si="23"/>
        <v>94</v>
      </c>
      <c r="G100" s="679">
        <f t="shared" si="23"/>
        <v>92</v>
      </c>
      <c r="H100" s="679">
        <f t="shared" si="23"/>
        <v>90</v>
      </c>
      <c r="I100" s="679">
        <f t="shared" si="23"/>
        <v>88</v>
      </c>
      <c r="J100" s="679">
        <f t="shared" si="23"/>
        <v>86</v>
      </c>
      <c r="K100" s="679">
        <f t="shared" si="23"/>
        <v>84</v>
      </c>
      <c r="L100" s="679">
        <f t="shared" si="23"/>
        <v>82</v>
      </c>
      <c r="M100" s="679">
        <f t="shared" si="23"/>
        <v>80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t="s">
        <v>3284</v>
      </c>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ht="28.5">
      <c r="A109" s="664" t="s">
        <v>551</v>
      </c>
      <c r="B109" s="665" t="s">
        <v>593</v>
      </c>
      <c r="C109" s="704" t="str">
        <f t="shared" ref="C109:L109" si="25">C110&amp;"(含)"&amp;"-"&amp;D110</f>
        <v>0(含)-50000</v>
      </c>
      <c r="D109" s="704" t="str">
        <f t="shared" si="25"/>
        <v>50000(含)-100000</v>
      </c>
      <c r="E109" s="704" t="str">
        <f t="shared" si="25"/>
        <v>100000(含)-150000</v>
      </c>
      <c r="F109" s="704" t="str">
        <f t="shared" si="25"/>
        <v>150000(含)-200000</v>
      </c>
      <c r="G109" s="704" t="str">
        <f t="shared" si="25"/>
        <v>200000(含)-</v>
      </c>
      <c r="H109" s="704" t="str">
        <f t="shared" si="25"/>
        <v>(含)-</v>
      </c>
      <c r="I109" s="704" t="str">
        <f t="shared" si="25"/>
        <v>(含)-</v>
      </c>
      <c r="J109" s="704" t="str">
        <f t="shared" si="25"/>
        <v>(含)-</v>
      </c>
      <c r="K109" s="3092" t="str">
        <f t="shared" si="25"/>
        <v>(含)-</v>
      </c>
      <c r="L109" s="3093" t="str">
        <f t="shared" si="25"/>
        <v>(含)-</v>
      </c>
      <c r="M109" s="3094"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v>0</v>
      </c>
      <c r="D110" s="730">
        <v>50000</v>
      </c>
      <c r="E110" s="730">
        <v>100000</v>
      </c>
      <c r="F110" s="730">
        <v>150000</v>
      </c>
      <c r="G110" s="730">
        <v>200000</v>
      </c>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v>92</v>
      </c>
      <c r="D111" s="726">
        <v>94</v>
      </c>
      <c r="E111" s="726">
        <v>96</v>
      </c>
      <c r="F111" s="726">
        <v>98</v>
      </c>
      <c r="G111" s="726">
        <v>100</v>
      </c>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3195" t="s">
        <v>3277</v>
      </c>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t="s">
        <v>3278</v>
      </c>
      <c r="D114" s="1376" t="s">
        <v>3279</v>
      </c>
      <c r="E114" s="1376" t="s">
        <v>3281</v>
      </c>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3194" t="s">
        <v>3282</v>
      </c>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0"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84" sqref="F84"/>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80808</v>
      </c>
      <c r="E1" s="1407" t="s">
        <v>2430</v>
      </c>
      <c r="F1" s="2454">
        <f>项目基本情况!C22</f>
        <v>86802.49</v>
      </c>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8" t="s">
        <v>2764</v>
      </c>
      <c r="S1" s="2938" t="s">
        <v>2765</v>
      </c>
      <c r="T1" s="2938" t="s">
        <v>2786</v>
      </c>
      <c r="U1" s="2938" t="s">
        <v>2787</v>
      </c>
      <c r="V1" s="2938" t="s">
        <v>2788</v>
      </c>
      <c r="W1" s="2191"/>
      <c r="X1" s="2191"/>
      <c r="Y1" s="2191"/>
      <c r="Z1" s="2191"/>
      <c r="AA1" s="2191"/>
      <c r="AB1" s="2191"/>
      <c r="AC1" s="2192"/>
    </row>
    <row r="2" spans="1:39" ht="15.75">
      <c r="A2" s="1407" t="s">
        <v>920</v>
      </c>
      <c r="B2" s="1038">
        <f ca="1">C26</f>
        <v>9972</v>
      </c>
      <c r="C2" s="1408" t="s">
        <v>921</v>
      </c>
      <c r="D2" s="1409" t="s">
        <v>922</v>
      </c>
      <c r="E2" s="1410" t="s">
        <v>982</v>
      </c>
      <c r="F2" s="1409" t="s">
        <v>924</v>
      </c>
      <c r="G2" s="1653" t="str">
        <f>IF(E2="商业",项目基本情况!B43,IF(E2="办公",项目基本情况!C43,IF(E2="住宅",项目基本情况!D43,项目基本情况!E43)))</f>
        <v>八级</v>
      </c>
      <c r="H2" s="1409" t="s">
        <v>926</v>
      </c>
      <c r="I2" s="1654" t="str">
        <f>IF(E2="商业",项目基本情况!B44,IF(E2="办公",项目基本情况!C44,IF(E2="住宅",项目基本情况!D44,项目基本情况!E44)))</f>
        <v>Ⅷ-通州环保园</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1.9419999999999999</v>
      </c>
      <c r="T2" s="2939">
        <f ca="1">ROUND($C$5*$C$18*$C$19*$C$20*S2*$C$24,0)</f>
        <v>2396</v>
      </c>
      <c r="U2" s="2928"/>
      <c r="V2" s="2939">
        <f ca="1">ROUND(T2*U2/10000,0)</f>
        <v>0</v>
      </c>
      <c r="W2" s="2191"/>
      <c r="X2" s="2191"/>
      <c r="Y2" s="2191"/>
      <c r="Z2" s="2191"/>
      <c r="AA2" s="2191"/>
      <c r="AB2" s="2191"/>
      <c r="AC2" s="2192"/>
    </row>
    <row r="3" spans="1:39" ht="15.75">
      <c r="A3" s="1412" t="s">
        <v>1688</v>
      </c>
      <c r="B3" s="1038">
        <f ca="1">ROUND(B2*10000/D1,0)</f>
        <v>1234</v>
      </c>
      <c r="C3" s="1408" t="s">
        <v>927</v>
      </c>
      <c r="D3" s="1409" t="s">
        <v>928</v>
      </c>
      <c r="E3" s="1413" t="s">
        <v>3022</v>
      </c>
      <c r="F3" s="1414" t="s">
        <v>3026</v>
      </c>
      <c r="G3" s="1039">
        <f>IF(F3="宗地容积率",'数据-汇总表'!I4,IF(F3="估价对象容积率",'数据-汇总表'!I6,'数据-汇总表'!I7))</f>
        <v>1</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1.2799</v>
      </c>
      <c r="T3" s="2939">
        <f t="shared" ref="T3:T16" ca="1" si="0">ROUND($C$5*$C$18*$C$19*$C$20*S3*$C$24,0)</f>
        <v>1579</v>
      </c>
      <c r="U3" s="2928"/>
      <c r="V3" s="2939">
        <f t="shared" ref="V3:V16" ca="1" si="1">ROUND(T3*U3/10000,0)</f>
        <v>0</v>
      </c>
      <c r="W3" s="2191"/>
      <c r="X3" s="2191"/>
      <c r="Y3" s="2191"/>
      <c r="Z3" s="2191"/>
      <c r="AA3" s="2191"/>
      <c r="AB3" s="2191"/>
      <c r="AC3" s="2192"/>
    </row>
    <row r="4" spans="1:39" ht="28.5">
      <c r="A4" s="1893" t="s">
        <v>2283</v>
      </c>
      <c r="B4" s="2455">
        <f ca="1">ROUND(B2*10000/F1,0)</f>
        <v>1149</v>
      </c>
      <c r="C4" s="1896" t="s">
        <v>2257</v>
      </c>
      <c r="D4" s="1896">
        <f ca="1">ROUND(B2/(F1/666.67),0)</f>
        <v>77</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1.0072000000000001</v>
      </c>
      <c r="T4" s="2939">
        <f t="shared" ca="1" si="0"/>
        <v>1243</v>
      </c>
      <c r="U4" s="2928"/>
      <c r="V4" s="2939">
        <f t="shared" ca="1" si="1"/>
        <v>0</v>
      </c>
      <c r="W4" s="2191"/>
      <c r="X4" s="2191"/>
      <c r="Y4" s="2191"/>
      <c r="Z4" s="2191"/>
      <c r="AA4" s="2191"/>
      <c r="AB4" s="2191"/>
      <c r="AC4" s="2192"/>
    </row>
    <row r="5" spans="1:39" s="1422" customFormat="1" ht="15.75" thickBot="1">
      <c r="A5" s="1639" t="s">
        <v>1824</v>
      </c>
      <c r="B5" s="1416" t="s">
        <v>931</v>
      </c>
      <c r="C5" s="1041">
        <f>ROUND(IF(E2="商业",IF(F16="增加",C6*C7+C16,C6*C7-C16),IF(E2="住宅",IF(F16="增加",C6*C12+C16,C6*C12-C16),IF(F16="增加",C6+C16,C6-C16))),0)</f>
        <v>1020</v>
      </c>
      <c r="D5" s="3120">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0.75249999999999995</v>
      </c>
      <c r="T5" s="2939">
        <f t="shared" ca="1" si="0"/>
        <v>929</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990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0.56589999999999996</v>
      </c>
      <c r="T6" s="2939">
        <f t="shared" ca="1" si="0"/>
        <v>698</v>
      </c>
      <c r="U6" s="2928"/>
      <c r="V6" s="2939">
        <f t="shared" ca="1" si="1"/>
        <v>0</v>
      </c>
      <c r="W6" s="2191"/>
      <c r="X6" s="2191"/>
      <c r="Y6" s="2191"/>
      <c r="Z6" s="2191"/>
      <c r="AA6" s="2191"/>
      <c r="AB6" s="2191"/>
      <c r="AC6" s="2193"/>
      <c r="AD6" s="1420"/>
      <c r="AE6" s="1420"/>
      <c r="AF6" s="1420"/>
      <c r="AG6" s="1420"/>
      <c r="AH6" s="1420"/>
      <c r="AI6" s="1420"/>
      <c r="AJ6" s="1421"/>
    </row>
    <row r="7" spans="1:39" ht="24">
      <c r="A7" s="3511"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0.45250000000000001</v>
      </c>
      <c r="T7" s="2939">
        <f t="shared" ca="1" si="0"/>
        <v>558</v>
      </c>
      <c r="U7" s="2928"/>
      <c r="V7" s="2939">
        <f t="shared" ca="1" si="1"/>
        <v>0</v>
      </c>
      <c r="W7" s="2937" t="s">
        <v>2767</v>
      </c>
      <c r="X7" s="2929" t="str">
        <f>G2</f>
        <v>八级</v>
      </c>
      <c r="Y7" s="2929" t="s">
        <v>2768</v>
      </c>
      <c r="Z7" s="2930">
        <f>G3</f>
        <v>1</v>
      </c>
      <c r="AA7" s="2194"/>
      <c r="AB7" s="2194"/>
      <c r="AC7" s="2195"/>
      <c r="AD7" s="2931"/>
      <c r="AE7" s="2931"/>
      <c r="AF7" s="2931"/>
      <c r="AG7" s="2931"/>
      <c r="AH7" s="2931"/>
      <c r="AI7" s="2931"/>
      <c r="AJ7" s="2932"/>
    </row>
    <row r="8" spans="1:39" ht="15">
      <c r="A8" s="3512"/>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990</v>
      </c>
      <c r="N8" s="1889">
        <f>SUMPRODUCT((因素修正幅度!B206:B244=I2)*(因素修正幅度!C3:F3=E2)*(因素修正幅度!C206:F244))</f>
        <v>0.05</v>
      </c>
      <c r="O8" s="2191"/>
      <c r="P8" s="2191"/>
      <c r="Q8" s="2191"/>
      <c r="R8" s="2939">
        <v>7</v>
      </c>
      <c r="S8" s="2928"/>
      <c r="T8" s="2939">
        <f t="shared" ca="1" si="0"/>
        <v>0</v>
      </c>
      <c r="U8" s="2928"/>
      <c r="V8" s="2939">
        <f t="shared" ca="1" si="1"/>
        <v>0</v>
      </c>
      <c r="W8" s="3503" t="s">
        <v>2785</v>
      </c>
      <c r="X8" s="3504"/>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512"/>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9">
        <v>8</v>
      </c>
      <c r="S9" s="2928"/>
      <c r="T9" s="2939">
        <f t="shared" ca="1" si="0"/>
        <v>0</v>
      </c>
      <c r="U9" s="2928"/>
      <c r="V9" s="2939">
        <f t="shared" ca="1" si="1"/>
        <v>0</v>
      </c>
      <c r="W9" s="3502" t="s">
        <v>2781</v>
      </c>
      <c r="X9" s="2933" t="s">
        <v>2782</v>
      </c>
      <c r="Y9" s="3098"/>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512"/>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502"/>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512"/>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502" t="s">
        <v>2783</v>
      </c>
      <c r="X11" s="1048" t="s">
        <v>2768</v>
      </c>
      <c r="Y11" s="1654">
        <f>$G$3</f>
        <v>1</v>
      </c>
      <c r="Z11" s="1654">
        <f t="shared" ref="Z11:AJ11" si="3">$G$3</f>
        <v>1</v>
      </c>
      <c r="AA11" s="1654">
        <f t="shared" si="3"/>
        <v>1</v>
      </c>
      <c r="AB11" s="1654">
        <f t="shared" si="3"/>
        <v>1</v>
      </c>
      <c r="AC11" s="1654">
        <f t="shared" si="3"/>
        <v>1</v>
      </c>
      <c r="AD11" s="1654">
        <f t="shared" si="3"/>
        <v>1</v>
      </c>
      <c r="AE11" s="1654">
        <f t="shared" si="3"/>
        <v>1</v>
      </c>
      <c r="AF11" s="1654">
        <f t="shared" si="3"/>
        <v>1</v>
      </c>
      <c r="AG11" s="1654">
        <f t="shared" si="3"/>
        <v>1</v>
      </c>
      <c r="AH11" s="1654">
        <f t="shared" si="3"/>
        <v>1</v>
      </c>
      <c r="AI11" s="1654">
        <f t="shared" si="3"/>
        <v>1</v>
      </c>
      <c r="AJ11" s="1654">
        <f t="shared" si="3"/>
        <v>1</v>
      </c>
    </row>
    <row r="12" spans="1:39" ht="25.5" thickBot="1">
      <c r="A12" s="3511"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502"/>
      <c r="X12" s="2936" t="s">
        <v>2784</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513"/>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9">
        <v>12</v>
      </c>
      <c r="S13" s="2928"/>
      <c r="T13" s="2939">
        <f t="shared" ca="1" si="0"/>
        <v>0</v>
      </c>
      <c r="U13" s="2928"/>
      <c r="V13" s="2939">
        <f t="shared" ca="1" si="1"/>
        <v>0</v>
      </c>
      <c r="W13" s="3502"/>
      <c r="X13" s="2936"/>
      <c r="Y13" s="2935">
        <f>(-0.163*(Y12^2)-0.59*Y12+7617)*(10^(-4))/Y11</f>
        <v>0.76170000000000004</v>
      </c>
      <c r="Z13" s="2935">
        <f t="shared" ref="Z13:AJ13" si="5">(-0.163*(Z12^2)-0.59*Z12+7617)*(10^(-4))/Z11</f>
        <v>0.76170000000000004</v>
      </c>
      <c r="AA13" s="2935">
        <f t="shared" si="5"/>
        <v>0.76170000000000004</v>
      </c>
      <c r="AB13" s="2935">
        <f t="shared" si="5"/>
        <v>0.76170000000000004</v>
      </c>
      <c r="AC13" s="2935">
        <f t="shared" si="5"/>
        <v>0.76170000000000004</v>
      </c>
      <c r="AD13" s="2935">
        <f t="shared" si="5"/>
        <v>0.76170000000000004</v>
      </c>
      <c r="AE13" s="2935">
        <f t="shared" si="5"/>
        <v>0.76170000000000004</v>
      </c>
      <c r="AF13" s="2935">
        <f t="shared" si="5"/>
        <v>0.76170000000000004</v>
      </c>
      <c r="AG13" s="2935">
        <f t="shared" si="5"/>
        <v>0.76170000000000004</v>
      </c>
      <c r="AH13" s="2935">
        <f t="shared" si="5"/>
        <v>0.76170000000000004</v>
      </c>
      <c r="AI13" s="2935">
        <f t="shared" si="5"/>
        <v>0.76170000000000004</v>
      </c>
      <c r="AJ13" s="2935">
        <f t="shared" si="5"/>
        <v>0.76170000000000004</v>
      </c>
    </row>
    <row r="14" spans="1:39" ht="12.75" customHeight="1" thickBot="1">
      <c r="A14" s="3513"/>
      <c r="B14" s="1452"/>
      <c r="C14" s="1453"/>
      <c r="D14" s="1454"/>
      <c r="E14" s="1454"/>
      <c r="F14" s="1455"/>
      <c r="G14" s="1456" t="s">
        <v>949</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514"/>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9">
        <v>14</v>
      </c>
      <c r="S15" s="2928"/>
      <c r="T15" s="2939">
        <f t="shared" ca="1" si="0"/>
        <v>0</v>
      </c>
      <c r="U15" s="2928"/>
      <c r="V15" s="2939">
        <f t="shared" ca="1" si="1"/>
        <v>0</v>
      </c>
      <c r="W15" s="2191"/>
      <c r="X15" s="2191"/>
      <c r="Y15" s="2191"/>
      <c r="Z15" s="2191"/>
      <c r="AA15" s="2191"/>
      <c r="AB15" s="2191"/>
      <c r="AC15" s="2192"/>
    </row>
    <row r="16" spans="1:39" ht="24">
      <c r="A16" s="3511" t="s">
        <v>1839</v>
      </c>
      <c r="B16" s="1428" t="s">
        <v>950</v>
      </c>
      <c r="C16" s="1054">
        <f>ROUND(SUM(G17:J17)/C17,0)</f>
        <v>30</v>
      </c>
      <c r="D16" s="1461" t="s">
        <v>951</v>
      </c>
      <c r="E16" s="1462" t="s">
        <v>3023</v>
      </c>
      <c r="F16" s="1463" t="s">
        <v>3024</v>
      </c>
      <c r="G16" s="1464" t="s">
        <v>3004</v>
      </c>
      <c r="H16" s="1464"/>
      <c r="I16" s="1464"/>
      <c r="J16" s="1464"/>
      <c r="K16" s="1402"/>
      <c r="L16" s="1465" t="s">
        <v>988</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512"/>
      <c r="B17" s="1466" t="s">
        <v>953</v>
      </c>
      <c r="C17" s="1055">
        <f>SUMPRODUCT((修正!A2:A5=E2)*(修正!B1:M1=G2)*(修正!B2:M5))</f>
        <v>1</v>
      </c>
      <c r="D17" s="1468" t="s">
        <v>954</v>
      </c>
      <c r="E17" s="1469" t="str">
        <f>IF(OR(G2="八级",G2="九级",G2="十级",G2="十一级",G2="十二级"),"五通一平","七通一平")</f>
        <v>五通一平</v>
      </c>
      <c r="F17" s="1467" t="s">
        <v>955</v>
      </c>
      <c r="G17" s="1055">
        <f>SUMPRODUCT((七通一平=G16)*(修正!B1:M1=G2)*(修正!B6:M14))</f>
        <v>30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f>ROUND(IF(H19="按公示增长率计算",SUMPRODUCT((地价!A3:A23=YEAR(G19)&amp;"-"&amp;ROUNDUP(MONTH(G19)/3,0))*(地价!X2:AB2=E2)*(地价!X3:AB23)),IF(H19="地价指数",M20/M19,(1+I19)^O19)),4)</f>
        <v>1.2557</v>
      </c>
      <c r="D19" s="1475" t="s">
        <v>958</v>
      </c>
      <c r="E19" s="1058">
        <v>41640</v>
      </c>
      <c r="F19" s="1475" t="s">
        <v>959</v>
      </c>
      <c r="G19" s="1059">
        <f>'数据-取费表'!B2</f>
        <v>43290</v>
      </c>
      <c r="H19" s="1476" t="s">
        <v>3345</v>
      </c>
      <c r="I19" s="2786" t="str">
        <f>IF(H19="季度增幅（自定义）",SUMIF(N21:N24,E2,O21:O24),"")</f>
        <v/>
      </c>
      <c r="J19" s="1472"/>
      <c r="K19" s="1482"/>
      <c r="L19" s="3042" t="s">
        <v>2843</v>
      </c>
      <c r="M19" s="3043">
        <f>ROUND(SUMIF(地价!B2:F2,E2,地价!B23:F23),0)</f>
        <v>230</v>
      </c>
      <c r="N19" s="2788" t="s">
        <v>1677</v>
      </c>
      <c r="O19" s="2787">
        <f>ROUNDDOWN(DATEDIF(E19,G19,"M")/3,0)</f>
        <v>18</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f ca="1">ROUND(POWER(1+G20,J20-I20)*(POWER(1+G20,I20)-1)/(POWER(1+G20,J20)-1),4)</f>
        <v>0.93779999999999997</v>
      </c>
      <c r="D20" s="2783" t="s">
        <v>973</v>
      </c>
      <c r="E20" s="3095">
        <f ca="1">存贷款利率!I4/100</f>
        <v>4.3499999999999997E-2</v>
      </c>
      <c r="F20" s="2783" t="s">
        <v>974</v>
      </c>
      <c r="G20" s="2784">
        <f ca="1">SUMIF(M15:P15,E2,M17:P17)</f>
        <v>4.8000000000000001E-2</v>
      </c>
      <c r="H20" s="2783" t="s">
        <v>975</v>
      </c>
      <c r="I20" s="2773">
        <f>SUMIF('数据-取费表'!C6:C15,E2,'数据-取费表'!F6:F15)/COUNTIF('数据-取费表'!C6:C15,E2)</f>
        <v>40.159999999999997</v>
      </c>
      <c r="J20" s="2785">
        <f>IF(E2="住宅",70,IF(E2="商业",40,50))</f>
        <v>50</v>
      </c>
      <c r="K20" s="1482"/>
      <c r="L20" s="3044" t="s">
        <v>2844</v>
      </c>
      <c r="M20" s="3045">
        <f>ROUND(SUMPRODUCT((地价!A4:A23=YEAR(G19)&amp;"-"&amp;ROUNDUP(MONTH(G19)/3,0))*(地价!B2:F2=E2)*(地价!B4:F23)),0)</f>
        <v>289</v>
      </c>
      <c r="N20" s="2791" t="s">
        <v>2648</v>
      </c>
      <c r="O20" s="2789" t="s">
        <v>2647</v>
      </c>
      <c r="P20" s="2790" t="s">
        <v>2653</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1838</v>
      </c>
      <c r="B21" s="1481" t="s">
        <v>3025</v>
      </c>
      <c r="C21" s="1158">
        <f>IF(B21="容积率修正",IF(G3&lt;=10,D22,J22),C23)</f>
        <v>1</v>
      </c>
      <c r="D21" s="1482"/>
      <c r="E21" s="1482"/>
      <c r="F21" s="1482"/>
      <c r="G21" s="1482"/>
      <c r="H21" s="1482"/>
      <c r="I21" s="1482"/>
      <c r="J21" s="1483"/>
      <c r="K21" s="1482"/>
      <c r="L21" s="1482"/>
      <c r="M21" s="1482"/>
      <c r="N21" s="1479" t="s">
        <v>976</v>
      </c>
      <c r="O21" s="1543"/>
      <c r="P21" s="2771">
        <f>SUMPRODUCT((地价!A3:A23=YEAR(G19)&amp;"-"&amp;ROUNDUP(MONTH(G19)/3,0))*(地价!AD2:AH2=N21)*(地价!AD3:AH23))</f>
        <v>1.49E-2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1</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60" t="s">
        <v>978</v>
      </c>
      <c r="J22" s="1060" t="str">
        <f>IF(G3&gt;10,D113,"——")</f>
        <v>——</v>
      </c>
      <c r="K22" s="1482"/>
      <c r="L22" s="1482"/>
      <c r="M22" s="1482"/>
      <c r="N22" s="1479" t="s">
        <v>979</v>
      </c>
      <c r="O22" s="1543"/>
      <c r="P22" s="2771">
        <f>SUMPRODUCT((地价!A3:A23=YEAR(G19)&amp;"-"&amp;ROUNDUP(MONTH(G19)/3,0))*(地价!AD2:AH2=N22)*(地价!AD3:AH23))</f>
        <v>1.49E-2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923</v>
      </c>
      <c r="O23" s="1543"/>
      <c r="P23" s="2771">
        <f>SUMPRODUCT((地价!A3:A23=YEAR(G19)&amp;"-"&amp;ROUNDUP(MONTH(G19)/3,0))*(地价!AD2:AH2=N23)*(地价!AD3:AH23))</f>
        <v>2.3699999999999999E-2</v>
      </c>
      <c r="R23" s="2927"/>
      <c r="S23" s="2927"/>
      <c r="T23" s="2927"/>
      <c r="U23" s="2927"/>
      <c r="V23" s="2927"/>
      <c r="W23" s="2197"/>
      <c r="X23" s="2197"/>
      <c r="Y23" s="2197"/>
      <c r="Z23" s="2197"/>
      <c r="AA23" s="2197"/>
      <c r="AB23" s="2197"/>
      <c r="AC23" s="2197"/>
      <c r="AN23" s="1405"/>
    </row>
    <row r="24" spans="1:40" s="1422" customFormat="1" ht="15.75" thickBot="1">
      <c r="A24" s="1642" t="s">
        <v>1873</v>
      </c>
      <c r="B24" s="1416" t="s">
        <v>981</v>
      </c>
      <c r="C24" s="1062">
        <f>SUMIF(A44:A87,E2,B44:B87)</f>
        <v>1.0273000000000001</v>
      </c>
      <c r="D24" s="1536"/>
      <c r="E24" s="1537"/>
      <c r="F24" s="1537"/>
      <c r="G24" s="1537"/>
      <c r="H24" s="1537"/>
      <c r="I24" s="1537"/>
      <c r="J24" s="1537"/>
      <c r="K24" s="1482"/>
      <c r="L24" s="1482"/>
      <c r="M24" s="1482"/>
      <c r="N24" s="1485" t="s">
        <v>982</v>
      </c>
      <c r="O24" s="1544"/>
      <c r="P24" s="1542">
        <f>SUMPRODUCT((地价!A3:A23=YEAR(G19)&amp;"-"&amp;ROUNDUP(MONTH(G19)/3,0))*(地价!AD2:AH2=N24)*(地价!AD3:AH23))</f>
        <v>1.2800000000000001E-2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2651</v>
      </c>
      <c r="O25" s="2197"/>
      <c r="P25" s="1542">
        <f>SUMPRODUCT((地价!A3:A23=YEAR(G19)&amp;"-"&amp;ROUNDUP(MONTH(G19)/3,0))*(地价!AD2:AH2=N25)*(地价!AD3:AH23))</f>
        <v>2.1499999999999998E-2</v>
      </c>
      <c r="R25" s="2927"/>
      <c r="S25" s="2927"/>
      <c r="T25" s="2927"/>
      <c r="U25" s="2927"/>
      <c r="V25" s="2927"/>
      <c r="W25" s="2197"/>
      <c r="X25" s="2197"/>
      <c r="Y25" s="2197"/>
      <c r="Z25" s="2197"/>
      <c r="AA25" s="2197"/>
      <c r="AB25" s="2197"/>
      <c r="AC25" s="2197"/>
    </row>
    <row r="26" spans="1:40" ht="14.25">
      <c r="A26" s="1490"/>
      <c r="B26" s="1484" t="s">
        <v>987</v>
      </c>
      <c r="C26" s="1063">
        <f ca="1">E29+SUM(E33:E39)</f>
        <v>9972</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989</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994</v>
      </c>
      <c r="C29" s="1063">
        <f ca="1">ROUND(C5*C18*C19*C20*C21*C24,0)</f>
        <v>1234</v>
      </c>
      <c r="D29" s="1505">
        <f>'数据-基础表'!B3</f>
        <v>80808</v>
      </c>
      <c r="E29" s="1851">
        <f ca="1">ROUND(C29*D29/10000,0)</f>
        <v>9972</v>
      </c>
      <c r="F29" s="1506" t="s">
        <v>1702</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995</v>
      </c>
      <c r="C30" s="1051">
        <f ca="1">ROUND(IF(E2="工业",C29*M39,C29*M38),0)</f>
        <v>185</v>
      </c>
      <c r="D30" s="1511"/>
      <c r="E30" s="1851">
        <f ca="1">ROUND(C30*D30/10000,0)</f>
        <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17" t="s">
        <v>2962</v>
      </c>
      <c r="B33" s="1525" t="s">
        <v>1000</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18"/>
      <c r="B34" s="1446" t="s">
        <v>1001</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18"/>
      <c r="B35" s="1446" t="s">
        <v>1002</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19"/>
      <c r="B36" s="1446" t="s">
        <v>1003</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f ca="1">ROUND(C5*C19*C20*C24*F37,0)</f>
        <v>247</v>
      </c>
      <c r="D37" s="1538"/>
      <c r="E37" s="1048">
        <f t="shared" ca="1" si="7"/>
        <v>0</v>
      </c>
      <c r="F37" s="1063">
        <f>SUMIF(修正!A45:A56,G2,修正!F45:F56)</f>
        <v>0.2</v>
      </c>
      <c r="G37" s="1048">
        <f ca="1">ROUND(IF(E2="工业",C37*$M$39,C37*$M$38),0)</f>
        <v>37</v>
      </c>
      <c r="H37" s="1048">
        <f t="shared" si="8"/>
        <v>0</v>
      </c>
      <c r="I37" s="1048">
        <f t="shared" ca="1" si="9"/>
        <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f ca="1">ROUND(C5*C19*C20*C24*F38,0)</f>
        <v>247</v>
      </c>
      <c r="D38" s="1538"/>
      <c r="E38" s="1048">
        <f t="shared" ca="1" si="7"/>
        <v>0</v>
      </c>
      <c r="F38" s="1063">
        <f>SUMIF(修正!A45:A56,G2,修正!G45:G56)</f>
        <v>0.2</v>
      </c>
      <c r="G38" s="1048">
        <f ca="1">ROUND(IF(E2="工业",C38*$M$39,C38*$M$38),0)</f>
        <v>37</v>
      </c>
      <c r="H38" s="1048">
        <f t="shared" si="8"/>
        <v>0</v>
      </c>
      <c r="I38" s="1048">
        <f t="shared" ca="1" si="9"/>
        <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f ca="1">ROUND(C5*C19*C20*C24*F39,0)</f>
        <v>185</v>
      </c>
      <c r="D39" s="1539"/>
      <c r="E39" s="1051">
        <f t="shared" ca="1" si="7"/>
        <v>0</v>
      </c>
      <c r="F39" s="1065">
        <f>SUMIF(修正!A45:A56,G2,修正!H45:H56)</f>
        <v>0.15</v>
      </c>
      <c r="G39" s="1051">
        <f ca="1">ROUND(IF(E2="工业",C39*$M$39,C39*$M$38),0)</f>
        <v>28</v>
      </c>
      <c r="H39" s="1051">
        <f t="shared" si="8"/>
        <v>0</v>
      </c>
      <c r="I39" s="1051">
        <f t="shared" ca="1" si="9"/>
        <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2253</v>
      </c>
      <c r="G46" s="2433" t="s">
        <v>1015</v>
      </c>
      <c r="H46" s="2416" t="s">
        <v>2421</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7" t="s">
        <v>2938</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6" t="s">
        <v>2937</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2254</v>
      </c>
      <c r="G57" s="2433" t="s">
        <v>1015</v>
      </c>
      <c r="H57" s="2416" t="s">
        <v>2421</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7" t="s">
        <v>2939</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6" t="s">
        <v>2937</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2255</v>
      </c>
      <c r="G68" s="2433" t="s">
        <v>1015</v>
      </c>
      <c r="H68" s="2416" t="s">
        <v>2421</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6" t="s">
        <v>2937</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1.0273000000000001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2256</v>
      </c>
      <c r="G79" s="2433" t="s">
        <v>1015</v>
      </c>
      <c r="H79" s="2416" t="s">
        <v>2421</v>
      </c>
      <c r="I79" s="2433" t="s">
        <v>1013</v>
      </c>
      <c r="J79" s="2436" t="s">
        <v>1016</v>
      </c>
      <c r="K79" s="2436" t="s">
        <v>1017</v>
      </c>
      <c r="L79" s="2436" t="s">
        <v>1018</v>
      </c>
      <c r="M79" s="2436" t="s">
        <v>1019</v>
      </c>
      <c r="N79" s="2436" t="s">
        <v>1020</v>
      </c>
      <c r="AC79" s="1406"/>
      <c r="AD79" s="1405"/>
      <c r="AJ79" s="1404"/>
      <c r="AN79" s="1405"/>
    </row>
    <row r="80" spans="1:40" ht="48">
      <c r="A80" s="1067" t="s">
        <v>1038</v>
      </c>
      <c r="B80" s="2410" t="str">
        <f>估价对象房地状况!G15</f>
        <v>估价对象位于北京市通州区马驹桥镇金桥产业基地，园区建设成熟，产业集聚程度较好</v>
      </c>
      <c r="C80" s="1050" t="s">
        <v>3346</v>
      </c>
      <c r="D80" s="2419">
        <f t="shared" ref="D80:D87" si="25">SUMIF($J$79:$N$79,C80,J80:N80)</f>
        <v>1.2999999999999999E-2</v>
      </c>
      <c r="E80" s="2438">
        <f>ROUND(SUM(D80:D87),4)</f>
        <v>2.7300000000000001E-2</v>
      </c>
      <c r="F80" s="2439">
        <f>IF(E2="工业",SUMIF(L1:L12,G2,N1:N12),"——")</f>
        <v>0.05</v>
      </c>
      <c r="G80" s="2417">
        <v>6.4999999999999997E-3</v>
      </c>
      <c r="H80" s="2463">
        <f t="shared" ref="H80:H87" si="26">IFERROR(ROUNDDOWN($F$80*I80/2,4),"——")</f>
        <v>6.4999999999999997E-3</v>
      </c>
      <c r="I80" s="2437">
        <v>0.26</v>
      </c>
      <c r="J80" s="2440">
        <f t="shared" ref="J80:J87" si="27">K80+$G80</f>
        <v>1.2999999999999999E-2</v>
      </c>
      <c r="K80" s="2440">
        <f t="shared" ref="K80:K87" si="28">$L80+$G80</f>
        <v>6.4999999999999997E-3</v>
      </c>
      <c r="L80" s="2440">
        <v>0</v>
      </c>
      <c r="M80" s="2440">
        <f t="shared" ref="M80:N87" si="29">L80-$G80</f>
        <v>-6.4999999999999997E-3</v>
      </c>
      <c r="N80" s="2440">
        <f t="shared" si="29"/>
        <v>-1.2999999999999999E-2</v>
      </c>
      <c r="AC80" s="1406"/>
      <c r="AD80" s="1405"/>
      <c r="AJ80" s="1404"/>
      <c r="AN80" s="1405"/>
    </row>
    <row r="81" spans="1:40" ht="48">
      <c r="A81" s="1067" t="s">
        <v>1034</v>
      </c>
      <c r="B81" s="2410" t="str">
        <f>估价对象房地状况!G16</f>
        <v>估价对象紧邻六环高速路、公共交通通达情况较好、综合评价交通便捷度较好</v>
      </c>
      <c r="C81" s="1050" t="s">
        <v>3027</v>
      </c>
      <c r="D81" s="2419">
        <f t="shared" si="25"/>
        <v>8.2000000000000007E-3</v>
      </c>
      <c r="E81" s="2447"/>
      <c r="F81" s="2448"/>
      <c r="G81" s="2417">
        <v>8.2000000000000007E-3</v>
      </c>
      <c r="H81" s="2463">
        <f t="shared" si="26"/>
        <v>8.2000000000000007E-3</v>
      </c>
      <c r="I81" s="2437">
        <v>0.33</v>
      </c>
      <c r="J81" s="2440">
        <f t="shared" si="27"/>
        <v>1.6400000000000001E-2</v>
      </c>
      <c r="K81" s="2440">
        <f t="shared" si="28"/>
        <v>8.2000000000000007E-3</v>
      </c>
      <c r="L81" s="2440">
        <v>0</v>
      </c>
      <c r="M81" s="2440">
        <f t="shared" si="29"/>
        <v>-8.2000000000000007E-3</v>
      </c>
      <c r="N81" s="2440">
        <f t="shared" si="29"/>
        <v>-1.6400000000000001E-2</v>
      </c>
      <c r="AC81" s="1406"/>
      <c r="AD81" s="1405"/>
      <c r="AJ81" s="1404"/>
      <c r="AN81" s="1405"/>
    </row>
    <row r="82" spans="1:40" ht="24">
      <c r="A82" s="1067" t="s">
        <v>1023</v>
      </c>
      <c r="B82" s="2410" t="str">
        <f>估价对象房地状况!G17</f>
        <v>零星有其他用地，基本不影响本宗地</v>
      </c>
      <c r="C82" s="1050" t="s">
        <v>3027</v>
      </c>
      <c r="D82" s="2419">
        <f t="shared" si="25"/>
        <v>1.1999999999999999E-3</v>
      </c>
      <c r="E82" s="2447"/>
      <c r="F82" s="2448"/>
      <c r="G82" s="2417">
        <v>1.1999999999999999E-3</v>
      </c>
      <c r="H82" s="2463">
        <f t="shared" si="26"/>
        <v>1.1999999999999999E-3</v>
      </c>
      <c r="I82" s="2437">
        <v>0.05</v>
      </c>
      <c r="J82" s="2440">
        <f t="shared" si="27"/>
        <v>2.3999999999999998E-3</v>
      </c>
      <c r="K82" s="2440">
        <f t="shared" si="28"/>
        <v>1.1999999999999999E-3</v>
      </c>
      <c r="L82" s="2440">
        <v>0</v>
      </c>
      <c r="M82" s="2440">
        <f t="shared" si="29"/>
        <v>-1.1999999999999999E-3</v>
      </c>
      <c r="N82" s="2440">
        <f t="shared" si="29"/>
        <v>-2.3999999999999998E-3</v>
      </c>
      <c r="AC82" s="1406"/>
      <c r="AD82" s="1405"/>
      <c r="AJ82" s="1404"/>
      <c r="AN82" s="1405"/>
    </row>
    <row r="83" spans="1:40" ht="14.25">
      <c r="A83" s="1067" t="s">
        <v>1035</v>
      </c>
      <c r="B83" s="2410" t="str">
        <f>估价对象房地状况!G22</f>
        <v>城市高速路——六环路</v>
      </c>
      <c r="C83" s="1050" t="s">
        <v>3028</v>
      </c>
      <c r="D83" s="2419">
        <f t="shared" si="25"/>
        <v>0</v>
      </c>
      <c r="E83" s="2447"/>
      <c r="F83" s="2448"/>
      <c r="G83" s="2417">
        <v>1E-3</v>
      </c>
      <c r="H83" s="2463">
        <f t="shared" si="26"/>
        <v>1E-3</v>
      </c>
      <c r="I83" s="2437">
        <v>0.04</v>
      </c>
      <c r="J83" s="2440">
        <f t="shared" si="27"/>
        <v>2E-3</v>
      </c>
      <c r="K83" s="2440">
        <f t="shared" si="28"/>
        <v>1E-3</v>
      </c>
      <c r="L83" s="2440">
        <v>0</v>
      </c>
      <c r="M83" s="2440">
        <f t="shared" si="29"/>
        <v>-1E-3</v>
      </c>
      <c r="N83" s="2440">
        <f t="shared" si="29"/>
        <v>-2E-3</v>
      </c>
      <c r="AC83" s="1406"/>
      <c r="AD83" s="1405"/>
      <c r="AJ83" s="1404"/>
      <c r="AN83" s="1405"/>
    </row>
    <row r="84" spans="1:40" ht="60">
      <c r="A84" s="1067" t="s">
        <v>1027</v>
      </c>
      <c r="B84" s="2411" t="str">
        <f>估价对象房地状况!G19</f>
        <v>估价对象所在区域公共配套设施齐备情况一般；基础设施水平一般；综合评价公用设施及基础设施水平一般</v>
      </c>
      <c r="C84" s="1050" t="s">
        <v>3028</v>
      </c>
      <c r="D84" s="2419">
        <f t="shared" si="25"/>
        <v>0</v>
      </c>
      <c r="E84" s="2447"/>
      <c r="F84" s="2448"/>
      <c r="G84" s="2417">
        <v>1.5E-3</v>
      </c>
      <c r="H84" s="2463">
        <f t="shared" si="26"/>
        <v>1.5E-3</v>
      </c>
      <c r="I84" s="2437">
        <v>0.06</v>
      </c>
      <c r="J84" s="2440">
        <f t="shared" si="27"/>
        <v>3.0000000000000001E-3</v>
      </c>
      <c r="K84" s="2440">
        <f t="shared" si="28"/>
        <v>1.5E-3</v>
      </c>
      <c r="L84" s="2440">
        <v>0</v>
      </c>
      <c r="M84" s="2440">
        <f t="shared" si="29"/>
        <v>-1.5E-3</v>
      </c>
      <c r="N84" s="2440">
        <f t="shared" si="29"/>
        <v>-3.0000000000000001E-3</v>
      </c>
      <c r="AC84" s="1406"/>
      <c r="AD84" s="1405"/>
      <c r="AJ84" s="1404"/>
      <c r="AN84" s="1405"/>
    </row>
    <row r="85" spans="1:40" ht="24">
      <c r="A85" s="1067" t="s">
        <v>1028</v>
      </c>
      <c r="B85" s="2411" t="str">
        <f>估价对象房地状况!G20</f>
        <v>五通</v>
      </c>
      <c r="C85" s="1050" t="s">
        <v>3027</v>
      </c>
      <c r="D85" s="2419">
        <f t="shared" si="25"/>
        <v>3.7000000000000002E-3</v>
      </c>
      <c r="E85" s="2447"/>
      <c r="F85" s="2448"/>
      <c r="G85" s="2417">
        <v>3.7000000000000002E-3</v>
      </c>
      <c r="H85" s="2463">
        <f t="shared" si="26"/>
        <v>3.7000000000000002E-3</v>
      </c>
      <c r="I85" s="2437">
        <v>0.15</v>
      </c>
      <c r="J85" s="2440">
        <f t="shared" si="27"/>
        <v>7.4000000000000003E-3</v>
      </c>
      <c r="K85" s="2440">
        <f t="shared" si="28"/>
        <v>3.7000000000000002E-3</v>
      </c>
      <c r="L85" s="2440">
        <v>0</v>
      </c>
      <c r="M85" s="2440">
        <f t="shared" si="29"/>
        <v>-3.7000000000000002E-3</v>
      </c>
      <c r="N85" s="2440">
        <f t="shared" si="29"/>
        <v>-7.4000000000000003E-3</v>
      </c>
      <c r="AC85" s="1406"/>
      <c r="AD85" s="1405"/>
      <c r="AJ85" s="1404"/>
      <c r="AN85" s="1405"/>
    </row>
    <row r="86" spans="1:40" ht="24">
      <c r="A86" s="1067" t="s">
        <v>1026</v>
      </c>
      <c r="B86" s="3096" t="s">
        <v>2937</v>
      </c>
      <c r="C86" s="1050" t="s">
        <v>3027</v>
      </c>
      <c r="D86" s="2419">
        <f t="shared" si="25"/>
        <v>1.1999999999999999E-3</v>
      </c>
      <c r="E86" s="2447"/>
      <c r="F86" s="2448"/>
      <c r="G86" s="2417">
        <v>1.1999999999999999E-3</v>
      </c>
      <c r="H86" s="2463">
        <f t="shared" si="26"/>
        <v>1.1999999999999999E-3</v>
      </c>
      <c r="I86" s="2437">
        <v>0.05</v>
      </c>
      <c r="J86" s="2440">
        <f t="shared" si="27"/>
        <v>2.3999999999999998E-3</v>
      </c>
      <c r="K86" s="2440">
        <f t="shared" si="28"/>
        <v>1.1999999999999999E-3</v>
      </c>
      <c r="L86" s="2440">
        <v>0</v>
      </c>
      <c r="M86" s="2440">
        <f t="shared" si="29"/>
        <v>-1.1999999999999999E-3</v>
      </c>
      <c r="N86" s="2440">
        <f t="shared" si="29"/>
        <v>-2.3999999999999998E-3</v>
      </c>
      <c r="AC86" s="1406"/>
      <c r="AD86" s="1405"/>
      <c r="AJ86" s="1404"/>
      <c r="AN86" s="1405"/>
    </row>
    <row r="87" spans="1:40" ht="36.75" thickBot="1">
      <c r="A87" s="2443" t="s">
        <v>1039</v>
      </c>
      <c r="B87" s="2412" t="str">
        <f>估价对象房地状况!G18</f>
        <v>该园区内无污染型企业，绿化条件一般，卫生条件一般，整体环境状况一般</v>
      </c>
      <c r="C87" s="1050" t="s">
        <v>3028</v>
      </c>
      <c r="D87" s="2419">
        <f t="shared" si="25"/>
        <v>0</v>
      </c>
      <c r="E87" s="2449"/>
      <c r="F87" s="2448"/>
      <c r="G87" s="2417">
        <v>1.5E-3</v>
      </c>
      <c r="H87" s="2463">
        <f t="shared" si="26"/>
        <v>1.5E-3</v>
      </c>
      <c r="I87" s="2444">
        <v>0.06</v>
      </c>
      <c r="J87" s="2440">
        <f t="shared" si="27"/>
        <v>3.0000000000000001E-3</v>
      </c>
      <c r="K87" s="2440">
        <f t="shared" si="28"/>
        <v>1.5E-3</v>
      </c>
      <c r="L87" s="2440">
        <v>0</v>
      </c>
      <c r="M87" s="2440">
        <f t="shared" si="29"/>
        <v>-1.5E-3</v>
      </c>
      <c r="N87" s="2440">
        <f t="shared" si="29"/>
        <v>-3.0000000000000001E-3</v>
      </c>
      <c r="AC87" s="1406"/>
      <c r="AD87" s="1405"/>
      <c r="AJ87" s="1404"/>
      <c r="AN87" s="1405"/>
    </row>
    <row r="90" spans="1:40">
      <c r="A90" s="3515" t="s">
        <v>1634</v>
      </c>
      <c r="B90" s="3515"/>
      <c r="C90" s="3515"/>
      <c r="D90" s="3515"/>
      <c r="E90" s="3515"/>
      <c r="F90" s="3515"/>
      <c r="G90" s="3515"/>
      <c r="H90" s="3515"/>
      <c r="I90" s="3515"/>
      <c r="J90" s="3515"/>
      <c r="K90" s="2452"/>
      <c r="L90" s="2452"/>
      <c r="M90" s="2452"/>
      <c r="N90" s="2452"/>
    </row>
    <row r="91" spans="1:40">
      <c r="A91" s="3516" t="s">
        <v>1444</v>
      </c>
      <c r="B91" s="3516" t="s">
        <v>1635</v>
      </c>
      <c r="C91" s="1140" t="s">
        <v>1636</v>
      </c>
      <c r="D91" s="1141"/>
      <c r="E91" s="1141"/>
      <c r="F91" s="1141"/>
      <c r="G91" s="1141"/>
      <c r="H91" s="1141"/>
      <c r="I91" s="1141"/>
      <c r="J91" s="1142"/>
      <c r="K91" s="1134"/>
      <c r="L91" s="1134"/>
      <c r="M91" s="1134"/>
      <c r="N91" s="1134"/>
    </row>
    <row r="92" spans="1:40">
      <c r="A92" s="3516"/>
      <c r="B92" s="3516"/>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505"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0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0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0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0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0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0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0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05"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506"/>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506"/>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506"/>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506"/>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506"/>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506"/>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506"/>
      <c r="B108" s="350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07"/>
      <c r="B109" s="3509"/>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510" t="s">
        <v>1640</v>
      </c>
      <c r="B110" s="3510"/>
      <c r="C110" s="3510"/>
      <c r="D110" s="3510"/>
      <c r="E110" s="3510"/>
      <c r="F110" s="3510"/>
      <c r="G110" s="3510"/>
      <c r="H110" s="3510"/>
      <c r="I110" s="3510"/>
      <c r="J110" s="3510"/>
      <c r="K110" s="2450"/>
      <c r="L110" s="2450"/>
      <c r="M110" s="2450"/>
      <c r="N110" s="2450"/>
    </row>
    <row r="112" spans="1:14" ht="12.75" thickBot="1"/>
    <row r="113" spans="1:13" ht="25.5" thickBot="1">
      <c r="A113" s="1016" t="s">
        <v>896</v>
      </c>
      <c r="B113" s="2453">
        <f>G3</f>
        <v>1</v>
      </c>
      <c r="C113" s="1017" t="s">
        <v>897</v>
      </c>
      <c r="D113" s="1018">
        <f>SUMPRODUCT((A115:A118=F113)*(B114:M114=H113)*B115:M118)</f>
        <v>0.55310000000000004</v>
      </c>
      <c r="E113" s="1019" t="s">
        <v>898</v>
      </c>
      <c r="F113" s="1020" t="str">
        <f>E2</f>
        <v>工业</v>
      </c>
      <c r="G113" s="1019" t="s">
        <v>899</v>
      </c>
      <c r="H113" s="1020" t="str">
        <f>G2</f>
        <v>八级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5"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516" t="s">
        <v>1008</v>
      </c>
      <c r="B18" s="1154" t="s">
        <v>1447</v>
      </c>
      <c r="C18" s="1131" t="s">
        <v>1448</v>
      </c>
      <c r="D18" s="1132"/>
      <c r="E18" s="1154">
        <v>1</v>
      </c>
      <c r="F18" s="1133" t="s">
        <v>1449</v>
      </c>
      <c r="G18" s="1134"/>
      <c r="H18" s="1105"/>
      <c r="I18" s="1105"/>
    </row>
    <row r="19" spans="1:9" s="1600" customFormat="1" ht="19.5" customHeight="1">
      <c r="A19" s="3516"/>
      <c r="B19" s="3516" t="s">
        <v>1450</v>
      </c>
      <c r="C19" s="1131" t="s">
        <v>1451</v>
      </c>
      <c r="D19" s="1132"/>
      <c r="E19" s="1154">
        <v>0.9</v>
      </c>
      <c r="F19" s="1133" t="s">
        <v>1452</v>
      </c>
      <c r="G19" s="1134"/>
      <c r="H19" s="1105"/>
      <c r="I19" s="1105"/>
    </row>
    <row r="20" spans="1:9" s="1600" customFormat="1" ht="19.5" customHeight="1">
      <c r="A20" s="3516"/>
      <c r="B20" s="3516"/>
      <c r="C20" s="1131" t="s">
        <v>1453</v>
      </c>
      <c r="D20" s="1132"/>
      <c r="E20" s="1154">
        <v>1.1000000000000001</v>
      </c>
      <c r="F20" s="1133" t="s">
        <v>1454</v>
      </c>
      <c r="G20" s="1134"/>
      <c r="H20" s="1105"/>
      <c r="I20" s="1105"/>
    </row>
    <row r="21" spans="1:9" s="1600" customFormat="1" ht="19.5" customHeight="1">
      <c r="A21" s="3516"/>
      <c r="B21" s="3516"/>
      <c r="C21" s="1131" t="s">
        <v>1455</v>
      </c>
      <c r="D21" s="1132"/>
      <c r="E21" s="1154">
        <v>0.8</v>
      </c>
      <c r="F21" s="1133" t="s">
        <v>1456</v>
      </c>
      <c r="G21" s="1134"/>
      <c r="H21" s="1105"/>
      <c r="I21" s="1105"/>
    </row>
    <row r="22" spans="1:9" s="1600" customFormat="1" ht="19.5" customHeight="1">
      <c r="A22" s="3516"/>
      <c r="B22" s="3516"/>
      <c r="C22" s="1131" t="s">
        <v>1457</v>
      </c>
      <c r="D22" s="1132"/>
      <c r="E22" s="1154">
        <v>0.5</v>
      </c>
      <c r="F22" s="1133"/>
      <c r="G22" s="1134"/>
      <c r="H22" s="1105"/>
      <c r="I22" s="1105"/>
    </row>
    <row r="23" spans="1:9" s="1600" customFormat="1" ht="19.5" customHeight="1">
      <c r="A23" s="3516" t="s">
        <v>1030</v>
      </c>
      <c r="B23" s="1154" t="s">
        <v>1447</v>
      </c>
      <c r="C23" s="1131" t="s">
        <v>1458</v>
      </c>
      <c r="D23" s="1132"/>
      <c r="E23" s="1154">
        <v>1</v>
      </c>
      <c r="F23" s="1133" t="s">
        <v>1459</v>
      </c>
      <c r="G23" s="1134"/>
      <c r="H23" s="1105"/>
      <c r="I23" s="1105"/>
    </row>
    <row r="24" spans="1:9" s="1600" customFormat="1" ht="19.5" customHeight="1">
      <c r="A24" s="3516"/>
      <c r="B24" s="3516" t="s">
        <v>1450</v>
      </c>
      <c r="C24" s="1131" t="s">
        <v>1460</v>
      </c>
      <c r="D24" s="1132"/>
      <c r="E24" s="1154">
        <v>0.5</v>
      </c>
      <c r="F24" s="1133"/>
      <c r="G24" s="1134"/>
      <c r="H24" s="1105"/>
      <c r="I24" s="1105"/>
    </row>
    <row r="25" spans="1:9" s="1600" customFormat="1" ht="19.5" customHeight="1">
      <c r="A25" s="3516"/>
      <c r="B25" s="3516"/>
      <c r="C25" s="1131" t="s">
        <v>1461</v>
      </c>
      <c r="D25" s="1132"/>
      <c r="E25" s="1154">
        <v>1.1000000000000001</v>
      </c>
      <c r="F25" s="1133"/>
      <c r="G25" s="1134"/>
      <c r="H25" s="1105"/>
      <c r="I25" s="1105"/>
    </row>
    <row r="26" spans="1:9" s="1600" customFormat="1" ht="19.5" customHeight="1">
      <c r="A26" s="3516"/>
      <c r="B26" s="3516"/>
      <c r="C26" s="1131" t="s">
        <v>1462</v>
      </c>
      <c r="D26" s="1132"/>
      <c r="E26" s="1154">
        <v>1.1000000000000001</v>
      </c>
      <c r="F26" s="1133"/>
      <c r="G26" s="1134"/>
      <c r="H26" s="1105"/>
      <c r="I26" s="1105"/>
    </row>
    <row r="27" spans="1:9" s="1600" customFormat="1" ht="19.5" customHeight="1">
      <c r="A27" s="3516"/>
      <c r="B27" s="3516"/>
      <c r="C27" s="1131" t="s">
        <v>1463</v>
      </c>
      <c r="D27" s="1132"/>
      <c r="E27" s="1154">
        <v>0.9</v>
      </c>
      <c r="F27" s="1133" t="s">
        <v>1464</v>
      </c>
      <c r="G27" s="1134"/>
      <c r="H27" s="1105"/>
      <c r="I27" s="1105"/>
    </row>
    <row r="28" spans="1:9" s="1600" customFormat="1" ht="19.5" customHeight="1">
      <c r="A28" s="3516"/>
      <c r="B28" s="3516"/>
      <c r="C28" s="1131" t="s">
        <v>1465</v>
      </c>
      <c r="D28" s="1132"/>
      <c r="E28" s="1154">
        <v>0.9</v>
      </c>
      <c r="F28" s="1133" t="s">
        <v>1466</v>
      </c>
      <c r="G28" s="1134"/>
      <c r="H28" s="1105"/>
      <c r="I28" s="1105"/>
    </row>
    <row r="29" spans="1:9" s="1600" customFormat="1" ht="19.5" customHeight="1">
      <c r="A29" s="3516"/>
      <c r="B29" s="3516"/>
      <c r="C29" s="1131" t="s">
        <v>1467</v>
      </c>
      <c r="D29" s="1132"/>
      <c r="E29" s="1154">
        <v>0.9</v>
      </c>
      <c r="F29" s="1133" t="s">
        <v>1468</v>
      </c>
      <c r="G29" s="1134"/>
      <c r="H29" s="1105"/>
      <c r="I29" s="1105"/>
    </row>
    <row r="30" spans="1:9" s="1600" customFormat="1" ht="19.5" customHeight="1">
      <c r="A30" s="3516"/>
      <c r="B30" s="3516"/>
      <c r="C30" s="1131" t="s">
        <v>1469</v>
      </c>
      <c r="D30" s="1132"/>
      <c r="E30" s="1154">
        <v>0.9</v>
      </c>
      <c r="F30" s="1133" t="s">
        <v>1470</v>
      </c>
      <c r="G30" s="1134"/>
      <c r="H30" s="1105"/>
      <c r="I30" s="1105"/>
    </row>
    <row r="31" spans="1:9" s="1600" customFormat="1" ht="19.5" customHeight="1">
      <c r="A31" s="3516"/>
      <c r="B31" s="3516"/>
      <c r="C31" s="1131" t="s">
        <v>1471</v>
      </c>
      <c r="D31" s="1132"/>
      <c r="E31" s="1154">
        <v>0.8</v>
      </c>
      <c r="F31" s="1133" t="s">
        <v>1472</v>
      </c>
      <c r="G31" s="1134"/>
      <c r="H31" s="1105"/>
      <c r="I31" s="1105"/>
    </row>
    <row r="32" spans="1:9" s="1600" customFormat="1" ht="19.5" customHeight="1">
      <c r="A32" s="3516"/>
      <c r="B32" s="3516"/>
      <c r="C32" s="1131" t="s">
        <v>1473</v>
      </c>
      <c r="D32" s="1132"/>
      <c r="E32" s="1154">
        <v>0.8</v>
      </c>
      <c r="F32" s="1133" t="s">
        <v>1474</v>
      </c>
      <c r="G32" s="1134"/>
      <c r="H32" s="1105"/>
      <c r="I32" s="1105"/>
    </row>
    <row r="33" spans="1:9" s="1600" customFormat="1" ht="19.5" customHeight="1">
      <c r="A33" s="3516" t="s">
        <v>1475</v>
      </c>
      <c r="B33" s="1154" t="s">
        <v>1447</v>
      </c>
      <c r="C33" s="1131" t="s">
        <v>1476</v>
      </c>
      <c r="D33" s="1132"/>
      <c r="E33" s="1154">
        <v>1</v>
      </c>
      <c r="F33" s="1133" t="s">
        <v>1477</v>
      </c>
      <c r="G33" s="1134"/>
      <c r="H33" s="1105"/>
      <c r="I33" s="1105"/>
    </row>
    <row r="34" spans="1:9" s="1600" customFormat="1" ht="19.5" customHeight="1">
      <c r="A34" s="3516"/>
      <c r="B34" s="1154" t="s">
        <v>1450</v>
      </c>
      <c r="C34" s="1131" t="s">
        <v>1478</v>
      </c>
      <c r="D34" s="1132"/>
      <c r="E34" s="1154">
        <v>1.5</v>
      </c>
      <c r="F34" s="1133" t="s">
        <v>1479</v>
      </c>
      <c r="G34" s="1134"/>
      <c r="H34" s="1105"/>
      <c r="I34" s="1105"/>
    </row>
    <row r="35" spans="1:9" s="1600" customFormat="1" ht="19.5" customHeight="1">
      <c r="A35" s="3516" t="s">
        <v>1433</v>
      </c>
      <c r="B35" s="1154" t="s">
        <v>1447</v>
      </c>
      <c r="C35" s="1131" t="s">
        <v>1480</v>
      </c>
      <c r="D35" s="1132"/>
      <c r="E35" s="1154">
        <v>1</v>
      </c>
      <c r="F35" s="1133" t="s">
        <v>1481</v>
      </c>
      <c r="G35" s="1134"/>
      <c r="H35" s="1105"/>
      <c r="I35" s="1105"/>
    </row>
    <row r="36" spans="1:9" s="1600" customFormat="1" ht="19.5" customHeight="1">
      <c r="A36" s="3516"/>
      <c r="B36" s="3516" t="s">
        <v>1450</v>
      </c>
      <c r="C36" s="1131" t="s">
        <v>1482</v>
      </c>
      <c r="D36" s="1132"/>
      <c r="E36" s="1154">
        <v>1</v>
      </c>
      <c r="F36" s="1133" t="s">
        <v>1483</v>
      </c>
      <c r="G36" s="1134"/>
      <c r="H36" s="1105"/>
      <c r="I36" s="1105"/>
    </row>
    <row r="37" spans="1:9" s="1600" customFormat="1" ht="19.5" customHeight="1">
      <c r="A37" s="3516"/>
      <c r="B37" s="3516"/>
      <c r="C37" s="1131" t="s">
        <v>1484</v>
      </c>
      <c r="D37" s="1132"/>
      <c r="E37" s="1154">
        <v>1.5</v>
      </c>
      <c r="F37" s="1133" t="s">
        <v>1485</v>
      </c>
      <c r="G37" s="1134"/>
      <c r="H37" s="1105"/>
      <c r="I37" s="1105"/>
    </row>
    <row r="38" spans="1:9" s="1600" customFormat="1" ht="19.5" customHeight="1">
      <c r="A38" s="3516"/>
      <c r="B38" s="3516"/>
      <c r="C38" s="1131" t="s">
        <v>1486</v>
      </c>
      <c r="D38" s="1132"/>
      <c r="E38" s="1154">
        <v>1</v>
      </c>
      <c r="F38" s="1133" t="s">
        <v>1487</v>
      </c>
      <c r="G38" s="1134"/>
      <c r="H38" s="1105"/>
      <c r="I38" s="1105"/>
    </row>
    <row r="39" spans="1:9" s="1600" customFormat="1" ht="19.5" customHeight="1">
      <c r="A39" s="3516"/>
      <c r="B39" s="3516"/>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516" t="s">
        <v>1502</v>
      </c>
      <c r="C61" s="1068" t="s">
        <v>1503</v>
      </c>
      <c r="D61" s="1068" t="s">
        <v>1504</v>
      </c>
      <c r="E61" s="1139">
        <v>0.5</v>
      </c>
      <c r="F61" s="1154">
        <v>80</v>
      </c>
      <c r="H61" s="1105">
        <f>SUMIF(C59:C119,基准地价!C8,E59:E119)</f>
        <v>0</v>
      </c>
    </row>
    <row r="62" spans="1:8" s="1105" customFormat="1" ht="24">
      <c r="A62" s="1154">
        <v>2</v>
      </c>
      <c r="B62" s="3516"/>
      <c r="C62" s="1068" t="s">
        <v>1505</v>
      </c>
      <c r="D62" s="1068" t="s">
        <v>1506</v>
      </c>
      <c r="E62" s="1139">
        <v>0.5</v>
      </c>
      <c r="F62" s="1154">
        <v>80</v>
      </c>
    </row>
    <row r="63" spans="1:8" s="1105" customFormat="1" ht="36">
      <c r="A63" s="1154">
        <v>3</v>
      </c>
      <c r="B63" s="3516"/>
      <c r="C63" s="1068" t="s">
        <v>1507</v>
      </c>
      <c r="D63" s="1068" t="s">
        <v>1508</v>
      </c>
      <c r="E63" s="1139">
        <v>0.5</v>
      </c>
      <c r="F63" s="1154">
        <v>80</v>
      </c>
    </row>
    <row r="64" spans="1:8" s="1105" customFormat="1" ht="36">
      <c r="A64" s="1154">
        <v>4</v>
      </c>
      <c r="B64" s="3516"/>
      <c r="C64" s="1068" t="s">
        <v>1509</v>
      </c>
      <c r="D64" s="1068" t="s">
        <v>1510</v>
      </c>
      <c r="E64" s="1139">
        <v>0.4</v>
      </c>
      <c r="F64" s="1154">
        <v>60</v>
      </c>
    </row>
    <row r="65" spans="1:6" s="1105" customFormat="1" ht="36">
      <c r="A65" s="1154">
        <v>5</v>
      </c>
      <c r="B65" s="3516"/>
      <c r="C65" s="1068" t="s">
        <v>1511</v>
      </c>
      <c r="D65" s="1068" t="s">
        <v>1512</v>
      </c>
      <c r="E65" s="1139">
        <v>0.2</v>
      </c>
      <c r="F65" s="1154">
        <v>30</v>
      </c>
    </row>
    <row r="66" spans="1:6" s="1105" customFormat="1" ht="36">
      <c r="A66" s="1154">
        <v>6</v>
      </c>
      <c r="B66" s="3516"/>
      <c r="C66" s="1068" t="s">
        <v>1513</v>
      </c>
      <c r="D66" s="1068" t="s">
        <v>1514</v>
      </c>
      <c r="E66" s="1139">
        <v>0.3</v>
      </c>
      <c r="F66" s="1154">
        <v>50</v>
      </c>
    </row>
    <row r="67" spans="1:6" s="1105" customFormat="1" ht="36">
      <c r="A67" s="1154">
        <v>7</v>
      </c>
      <c r="B67" s="3516"/>
      <c r="C67" s="1068" t="s">
        <v>1515</v>
      </c>
      <c r="D67" s="1068" t="s">
        <v>1516</v>
      </c>
      <c r="E67" s="1139">
        <v>0.2</v>
      </c>
      <c r="F67" s="1154">
        <v>30</v>
      </c>
    </row>
    <row r="68" spans="1:6" s="1105" customFormat="1" ht="36">
      <c r="A68" s="1154">
        <v>8</v>
      </c>
      <c r="B68" s="3516"/>
      <c r="C68" s="1068" t="s">
        <v>1517</v>
      </c>
      <c r="D68" s="1068" t="s">
        <v>1518</v>
      </c>
      <c r="E68" s="1139">
        <v>0.2</v>
      </c>
      <c r="F68" s="1154">
        <v>30</v>
      </c>
    </row>
    <row r="69" spans="1:6" s="1105" customFormat="1" ht="36">
      <c r="A69" s="1154">
        <v>9</v>
      </c>
      <c r="B69" s="3516"/>
      <c r="C69" s="1068" t="s">
        <v>1519</v>
      </c>
      <c r="D69" s="1068" t="s">
        <v>1520</v>
      </c>
      <c r="E69" s="1139">
        <v>0.2</v>
      </c>
      <c r="F69" s="1154">
        <v>30</v>
      </c>
    </row>
    <row r="70" spans="1:6" s="1105" customFormat="1" ht="48">
      <c r="A70" s="1154">
        <v>10</v>
      </c>
      <c r="B70" s="3516"/>
      <c r="C70" s="1068" t="s">
        <v>1521</v>
      </c>
      <c r="D70" s="1068" t="s">
        <v>1522</v>
      </c>
      <c r="E70" s="1139">
        <v>0.2</v>
      </c>
      <c r="F70" s="1154">
        <v>30</v>
      </c>
    </row>
    <row r="71" spans="1:6" s="1105" customFormat="1" ht="48">
      <c r="A71" s="1154">
        <v>11</v>
      </c>
      <c r="B71" s="3516"/>
      <c r="C71" s="1068" t="s">
        <v>1523</v>
      </c>
      <c r="D71" s="1068" t="s">
        <v>1524</v>
      </c>
      <c r="E71" s="1139">
        <v>0.2</v>
      </c>
      <c r="F71" s="1154">
        <v>30</v>
      </c>
    </row>
    <row r="72" spans="1:6" s="1105" customFormat="1" ht="36">
      <c r="A72" s="1154">
        <v>12</v>
      </c>
      <c r="B72" s="3516"/>
      <c r="C72" s="1068" t="s">
        <v>1525</v>
      </c>
      <c r="D72" s="1068" t="s">
        <v>1526</v>
      </c>
      <c r="E72" s="1139">
        <v>0.5</v>
      </c>
      <c r="F72" s="1154">
        <v>80</v>
      </c>
    </row>
    <row r="73" spans="1:6" s="1105" customFormat="1" ht="24">
      <c r="A73" s="1154">
        <v>13</v>
      </c>
      <c r="B73" s="3516"/>
      <c r="C73" s="1068" t="s">
        <v>1527</v>
      </c>
      <c r="D73" s="1068" t="s">
        <v>1528</v>
      </c>
      <c r="E73" s="1139">
        <v>0.4</v>
      </c>
      <c r="F73" s="1154">
        <v>60</v>
      </c>
    </row>
    <row r="74" spans="1:6" s="1105" customFormat="1" ht="24">
      <c r="A74" s="1154">
        <v>14</v>
      </c>
      <c r="B74" s="3516"/>
      <c r="C74" s="1068" t="s">
        <v>1529</v>
      </c>
      <c r="D74" s="1068" t="s">
        <v>1530</v>
      </c>
      <c r="E74" s="1139">
        <v>0.2</v>
      </c>
      <c r="F74" s="1154">
        <v>30</v>
      </c>
    </row>
    <row r="75" spans="1:6" s="1105" customFormat="1" ht="24">
      <c r="A75" s="1154">
        <v>15</v>
      </c>
      <c r="B75" s="3516"/>
      <c r="C75" s="1068" t="s">
        <v>1531</v>
      </c>
      <c r="D75" s="1068" t="s">
        <v>1532</v>
      </c>
      <c r="E75" s="1139">
        <v>0.2</v>
      </c>
      <c r="F75" s="1154">
        <v>30</v>
      </c>
    </row>
    <row r="76" spans="1:6" s="1105" customFormat="1" ht="24">
      <c r="A76" s="1154">
        <v>16</v>
      </c>
      <c r="B76" s="3516" t="s">
        <v>1533</v>
      </c>
      <c r="C76" s="1068" t="s">
        <v>1534</v>
      </c>
      <c r="D76" s="1068" t="s">
        <v>1535</v>
      </c>
      <c r="E76" s="1139">
        <v>0.5</v>
      </c>
      <c r="F76" s="1154">
        <v>80</v>
      </c>
    </row>
    <row r="77" spans="1:6" s="1105" customFormat="1" ht="24">
      <c r="A77" s="1154">
        <v>17</v>
      </c>
      <c r="B77" s="3516"/>
      <c r="C77" s="1068" t="s">
        <v>1536</v>
      </c>
      <c r="D77" s="1068" t="s">
        <v>1537</v>
      </c>
      <c r="E77" s="1139">
        <v>0.5</v>
      </c>
      <c r="F77" s="1154">
        <v>80</v>
      </c>
    </row>
    <row r="78" spans="1:6" s="1105" customFormat="1" ht="24">
      <c r="A78" s="1154">
        <v>18</v>
      </c>
      <c r="B78" s="3516"/>
      <c r="C78" s="1068" t="s">
        <v>1538</v>
      </c>
      <c r="D78" s="1068" t="s">
        <v>1539</v>
      </c>
      <c r="E78" s="1139">
        <v>0.2</v>
      </c>
      <c r="F78" s="1154">
        <v>30</v>
      </c>
    </row>
    <row r="79" spans="1:6" s="1105" customFormat="1" ht="24">
      <c r="A79" s="1154">
        <v>19</v>
      </c>
      <c r="B79" s="3516"/>
      <c r="C79" s="1068" t="s">
        <v>1540</v>
      </c>
      <c r="D79" s="1068" t="s">
        <v>1541</v>
      </c>
      <c r="E79" s="1139">
        <v>0.5</v>
      </c>
      <c r="F79" s="1154">
        <v>80</v>
      </c>
    </row>
    <row r="80" spans="1:6" s="1105" customFormat="1" ht="36">
      <c r="A80" s="1154">
        <v>20</v>
      </c>
      <c r="B80" s="3516"/>
      <c r="C80" s="1068" t="s">
        <v>1542</v>
      </c>
      <c r="D80" s="1068" t="s">
        <v>1543</v>
      </c>
      <c r="E80" s="1139">
        <v>0.2</v>
      </c>
      <c r="F80" s="1154">
        <v>30</v>
      </c>
    </row>
    <row r="81" spans="1:6" s="1105" customFormat="1" ht="36">
      <c r="A81" s="1154">
        <v>21</v>
      </c>
      <c r="B81" s="3516"/>
      <c r="C81" s="1068" t="s">
        <v>1544</v>
      </c>
      <c r="D81" s="1068" t="s">
        <v>1545</v>
      </c>
      <c r="E81" s="1139">
        <v>0.2</v>
      </c>
      <c r="F81" s="1154">
        <v>30</v>
      </c>
    </row>
    <row r="82" spans="1:6" s="1105" customFormat="1" ht="48">
      <c r="A82" s="1154">
        <v>22</v>
      </c>
      <c r="B82" s="3516"/>
      <c r="C82" s="1068" t="s">
        <v>1546</v>
      </c>
      <c r="D82" s="1068" t="s">
        <v>1547</v>
      </c>
      <c r="E82" s="1139">
        <v>0.2</v>
      </c>
      <c r="F82" s="1154">
        <v>30</v>
      </c>
    </row>
    <row r="83" spans="1:6" s="1105" customFormat="1" ht="48">
      <c r="A83" s="1154">
        <v>23</v>
      </c>
      <c r="B83" s="3516"/>
      <c r="C83" s="1068" t="s">
        <v>1548</v>
      </c>
      <c r="D83" s="1068" t="s">
        <v>1549</v>
      </c>
      <c r="E83" s="1139">
        <v>0.2</v>
      </c>
      <c r="F83" s="1154">
        <v>30</v>
      </c>
    </row>
    <row r="84" spans="1:6" s="1105" customFormat="1" ht="36">
      <c r="A84" s="1154">
        <v>24</v>
      </c>
      <c r="B84" s="3516"/>
      <c r="C84" s="1068" t="s">
        <v>1550</v>
      </c>
      <c r="D84" s="1068" t="s">
        <v>1551</v>
      </c>
      <c r="E84" s="1139">
        <v>0.2</v>
      </c>
      <c r="F84" s="1154">
        <v>30</v>
      </c>
    </row>
    <row r="85" spans="1:6" s="1105" customFormat="1" ht="36">
      <c r="A85" s="1154">
        <v>25</v>
      </c>
      <c r="B85" s="3516"/>
      <c r="C85" s="1068" t="s">
        <v>1552</v>
      </c>
      <c r="D85" s="1068" t="s">
        <v>1553</v>
      </c>
      <c r="E85" s="1139">
        <v>0.5</v>
      </c>
      <c r="F85" s="1154">
        <v>80</v>
      </c>
    </row>
    <row r="86" spans="1:6" s="1105" customFormat="1" ht="36">
      <c r="A86" s="1154">
        <v>26</v>
      </c>
      <c r="B86" s="3516"/>
      <c r="C86" s="1068" t="s">
        <v>1554</v>
      </c>
      <c r="D86" s="1068" t="s">
        <v>1555</v>
      </c>
      <c r="E86" s="1139">
        <v>0.2</v>
      </c>
      <c r="F86" s="1154">
        <v>30</v>
      </c>
    </row>
    <row r="87" spans="1:6" s="1105" customFormat="1" ht="36">
      <c r="A87" s="1154">
        <v>27</v>
      </c>
      <c r="B87" s="3516"/>
      <c r="C87" s="1068" t="s">
        <v>1556</v>
      </c>
      <c r="D87" s="1068" t="s">
        <v>1557</v>
      </c>
      <c r="E87" s="1139">
        <v>0.2</v>
      </c>
      <c r="F87" s="1154">
        <v>30</v>
      </c>
    </row>
    <row r="88" spans="1:6" s="1105" customFormat="1" ht="36">
      <c r="A88" s="1154">
        <v>28</v>
      </c>
      <c r="B88" s="3516"/>
      <c r="C88" s="1068" t="s">
        <v>1558</v>
      </c>
      <c r="D88" s="1068" t="s">
        <v>1559</v>
      </c>
      <c r="E88" s="1139">
        <v>0.2</v>
      </c>
      <c r="F88" s="1154">
        <v>30</v>
      </c>
    </row>
    <row r="89" spans="1:6" s="1105" customFormat="1" ht="24">
      <c r="A89" s="1154">
        <v>29</v>
      </c>
      <c r="B89" s="3516"/>
      <c r="C89" s="1068" t="s">
        <v>1560</v>
      </c>
      <c r="D89" s="1068" t="s">
        <v>1561</v>
      </c>
      <c r="E89" s="1139">
        <v>0.2</v>
      </c>
      <c r="F89" s="1154">
        <v>30</v>
      </c>
    </row>
    <row r="90" spans="1:6" s="1105" customFormat="1" ht="24">
      <c r="A90" s="1154">
        <v>30</v>
      </c>
      <c r="B90" s="3516"/>
      <c r="C90" s="1068" t="s">
        <v>1562</v>
      </c>
      <c r="D90" s="1068" t="s">
        <v>1563</v>
      </c>
      <c r="E90" s="1139">
        <v>0.2</v>
      </c>
      <c r="F90" s="1154">
        <v>30</v>
      </c>
    </row>
    <row r="91" spans="1:6" s="1105" customFormat="1" ht="36">
      <c r="A91" s="1154">
        <v>31</v>
      </c>
      <c r="B91" s="3516"/>
      <c r="C91" s="1068" t="s">
        <v>1564</v>
      </c>
      <c r="D91" s="1068" t="s">
        <v>1565</v>
      </c>
      <c r="E91" s="1139">
        <v>0.2</v>
      </c>
      <c r="F91" s="1154">
        <v>30</v>
      </c>
    </row>
    <row r="92" spans="1:6" s="1105" customFormat="1" ht="24">
      <c r="A92" s="1154">
        <v>32</v>
      </c>
      <c r="B92" s="3516" t="s">
        <v>1566</v>
      </c>
      <c r="C92" s="1154" t="s">
        <v>1567</v>
      </c>
      <c r="D92" s="1068" t="s">
        <v>1568</v>
      </c>
      <c r="E92" s="1139">
        <v>0.2</v>
      </c>
      <c r="F92" s="1154">
        <v>30</v>
      </c>
    </row>
    <row r="93" spans="1:6" s="1105" customFormat="1" ht="36">
      <c r="A93" s="1154">
        <v>33</v>
      </c>
      <c r="B93" s="3516"/>
      <c r="C93" s="1154" t="s">
        <v>1569</v>
      </c>
      <c r="D93" s="1068" t="s">
        <v>1570</v>
      </c>
      <c r="E93" s="1139">
        <v>0.2</v>
      </c>
      <c r="F93" s="1154">
        <v>30</v>
      </c>
    </row>
    <row r="94" spans="1:6" s="1105" customFormat="1" ht="48">
      <c r="A94" s="1154">
        <v>34</v>
      </c>
      <c r="B94" s="3516"/>
      <c r="C94" s="1154" t="s">
        <v>1571</v>
      </c>
      <c r="D94" s="1068" t="s">
        <v>1572</v>
      </c>
      <c r="E94" s="1139">
        <v>0.2</v>
      </c>
      <c r="F94" s="1154">
        <v>30</v>
      </c>
    </row>
    <row r="95" spans="1:6" s="1105" customFormat="1" ht="36">
      <c r="A95" s="1154">
        <v>35</v>
      </c>
      <c r="B95" s="3516"/>
      <c r="C95" s="1154" t="s">
        <v>1573</v>
      </c>
      <c r="D95" s="1068" t="s">
        <v>1574</v>
      </c>
      <c r="E95" s="1139">
        <v>0.2</v>
      </c>
      <c r="F95" s="1154">
        <v>30</v>
      </c>
    </row>
    <row r="96" spans="1:6" s="1105" customFormat="1" ht="48">
      <c r="A96" s="1154">
        <v>36</v>
      </c>
      <c r="B96" s="3516"/>
      <c r="C96" s="1068" t="s">
        <v>1575</v>
      </c>
      <c r="D96" s="1068" t="s">
        <v>1576</v>
      </c>
      <c r="E96" s="1139">
        <v>0.2</v>
      </c>
      <c r="F96" s="1154">
        <v>30</v>
      </c>
    </row>
    <row r="97" spans="1:6" s="1105" customFormat="1" ht="36">
      <c r="A97" s="1154">
        <v>37</v>
      </c>
      <c r="B97" s="3516"/>
      <c r="C97" s="1154" t="s">
        <v>1577</v>
      </c>
      <c r="D97" s="1068" t="s">
        <v>1578</v>
      </c>
      <c r="E97" s="1139">
        <v>0.2</v>
      </c>
      <c r="F97" s="1154">
        <v>30</v>
      </c>
    </row>
    <row r="98" spans="1:6" s="1105" customFormat="1" ht="36">
      <c r="A98" s="1154">
        <v>38</v>
      </c>
      <c r="B98" s="3516"/>
      <c r="C98" s="1154" t="s">
        <v>1579</v>
      </c>
      <c r="D98" s="1068" t="s">
        <v>1580</v>
      </c>
      <c r="E98" s="1139">
        <v>0.2</v>
      </c>
      <c r="F98" s="1154">
        <v>30</v>
      </c>
    </row>
    <row r="99" spans="1:6" s="1105" customFormat="1" ht="36">
      <c r="A99" s="1154">
        <v>39</v>
      </c>
      <c r="B99" s="3516" t="s">
        <v>1581</v>
      </c>
      <c r="C99" s="1154" t="s">
        <v>1582</v>
      </c>
      <c r="D99" s="1068" t="s">
        <v>1583</v>
      </c>
      <c r="E99" s="1139">
        <v>0.3</v>
      </c>
      <c r="F99" s="1154">
        <v>50</v>
      </c>
    </row>
    <row r="100" spans="1:6" s="1105" customFormat="1" ht="24">
      <c r="A100" s="1154">
        <v>40</v>
      </c>
      <c r="B100" s="3516"/>
      <c r="C100" s="1154" t="s">
        <v>1584</v>
      </c>
      <c r="D100" s="1068" t="s">
        <v>1585</v>
      </c>
      <c r="E100" s="1139">
        <v>0.2</v>
      </c>
      <c r="F100" s="1154">
        <v>30</v>
      </c>
    </row>
    <row r="101" spans="1:6" s="1105" customFormat="1" ht="36">
      <c r="A101" s="1154">
        <v>41</v>
      </c>
      <c r="B101" s="3516"/>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516" t="s">
        <v>1596</v>
      </c>
      <c r="C105" s="1154" t="s">
        <v>1597</v>
      </c>
      <c r="D105" s="1068" t="s">
        <v>1598</v>
      </c>
      <c r="E105" s="1139">
        <v>0.2</v>
      </c>
      <c r="F105" s="1154">
        <v>30</v>
      </c>
    </row>
    <row r="106" spans="1:6" s="1105" customFormat="1" ht="36">
      <c r="A106" s="1154">
        <v>46</v>
      </c>
      <c r="B106" s="3516"/>
      <c r="C106" s="1154" t="s">
        <v>1599</v>
      </c>
      <c r="D106" s="1068" t="s">
        <v>1600</v>
      </c>
      <c r="E106" s="1139">
        <v>0.2</v>
      </c>
      <c r="F106" s="1154">
        <v>30</v>
      </c>
    </row>
    <row r="107" spans="1:6" s="1105" customFormat="1" ht="36">
      <c r="A107" s="1154">
        <v>47</v>
      </c>
      <c r="B107" s="3516" t="s">
        <v>1601</v>
      </c>
      <c r="C107" s="1154" t="s">
        <v>1602</v>
      </c>
      <c r="D107" s="1068" t="s">
        <v>1603</v>
      </c>
      <c r="E107" s="1139">
        <v>0.3</v>
      </c>
      <c r="F107" s="1154">
        <v>50</v>
      </c>
    </row>
    <row r="108" spans="1:6" s="1105" customFormat="1" ht="36">
      <c r="A108" s="1154">
        <v>48</v>
      </c>
      <c r="B108" s="3516"/>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516" t="s">
        <v>1612</v>
      </c>
      <c r="C111" s="1154" t="s">
        <v>1613</v>
      </c>
      <c r="D111" s="1068" t="s">
        <v>1614</v>
      </c>
      <c r="E111" s="1139">
        <v>0.2</v>
      </c>
      <c r="F111" s="1154">
        <v>30</v>
      </c>
    </row>
    <row r="112" spans="1:6" s="1105" customFormat="1" ht="24">
      <c r="A112" s="1154">
        <v>52</v>
      </c>
      <c r="B112" s="3516"/>
      <c r="C112" s="1154" t="s">
        <v>1615</v>
      </c>
      <c r="D112" s="1068" t="s">
        <v>1616</v>
      </c>
      <c r="E112" s="1139">
        <v>0.2</v>
      </c>
      <c r="F112" s="1154">
        <v>30</v>
      </c>
    </row>
    <row r="113" spans="1:14" s="1105" customFormat="1" ht="24">
      <c r="A113" s="1154">
        <v>53</v>
      </c>
      <c r="B113" s="3516"/>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516" t="s">
        <v>1625</v>
      </c>
      <c r="C116" s="1154" t="s">
        <v>1626</v>
      </c>
      <c r="D116" s="1068" t="s">
        <v>1627</v>
      </c>
      <c r="E116" s="1139">
        <v>0.2</v>
      </c>
      <c r="F116" s="1154">
        <v>30</v>
      </c>
    </row>
    <row r="117" spans="1:14" ht="36">
      <c r="A117" s="1154">
        <v>57</v>
      </c>
      <c r="B117" s="3516"/>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515" t="s">
        <v>1634</v>
      </c>
      <c r="B121" s="3515"/>
      <c r="C121" s="3515"/>
      <c r="D121" s="3515"/>
      <c r="E121" s="3515"/>
      <c r="F121" s="3515"/>
      <c r="G121" s="3515"/>
      <c r="H121" s="3515"/>
      <c r="I121" s="3515"/>
      <c r="J121" s="351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20" t="s">
        <v>1040</v>
      </c>
      <c r="B1" s="3520"/>
      <c r="C1" s="3520"/>
      <c r="D1" s="3520"/>
      <c r="E1" s="3520"/>
      <c r="F1" s="3520"/>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521" t="s">
        <v>1053</v>
      </c>
      <c r="B2" s="3521"/>
      <c r="C2" s="3521"/>
      <c r="D2" s="3521"/>
      <c r="E2" s="3521"/>
      <c r="F2" s="3521"/>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522"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523"/>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990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6"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1.2383999999999999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524" t="s">
        <v>2082</v>
      </c>
      <c r="B1" s="3524"/>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2950</v>
      </c>
      <c r="B1" s="3105"/>
      <c r="C1" s="3105"/>
      <c r="D1" s="3105"/>
      <c r="E1" s="3105"/>
      <c r="F1" s="3105"/>
    </row>
    <row r="2" spans="1:6" ht="14.25">
      <c r="A2" s="3106" t="s">
        <v>2945</v>
      </c>
      <c r="B2" s="3107">
        <f ca="1">SUMIF(B7:B14,"&lt;&gt;#ref!",B7:B14)</f>
        <v>9972</v>
      </c>
      <c r="C2" s="3106" t="s">
        <v>2946</v>
      </c>
      <c r="D2" s="3105"/>
      <c r="E2" s="3105"/>
      <c r="F2" s="3105"/>
    </row>
    <row r="3" spans="1:6" ht="14.25">
      <c r="A3" s="3106" t="s">
        <v>2979</v>
      </c>
      <c r="B3" s="3107">
        <f ca="1">ROUND(B2*10000/E3,0)</f>
        <v>1234</v>
      </c>
      <c r="C3" s="3106" t="s">
        <v>2081</v>
      </c>
      <c r="D3" s="3106" t="s">
        <v>2947</v>
      </c>
      <c r="E3" s="3107">
        <f ca="1">SUMIF(E7:E14,"&lt;&gt;#ref!",E7:E14)</f>
        <v>80808</v>
      </c>
      <c r="F3" s="3105"/>
    </row>
    <row r="4" spans="1:6" ht="14.25">
      <c r="A4" s="3106" t="s">
        <v>2954</v>
      </c>
      <c r="B4" s="3107">
        <f ca="1">ROUND(B2*10000/E4,0)</f>
        <v>1149</v>
      </c>
      <c r="C4" s="3106" t="s">
        <v>2081</v>
      </c>
      <c r="D4" s="3106" t="s">
        <v>2955</v>
      </c>
      <c r="E4" s="3107">
        <f ca="1">SUMIF(F7:F14,"&lt;&gt;#ref!",F7:F14)</f>
        <v>86802.49</v>
      </c>
      <c r="F4" s="3105"/>
    </row>
    <row r="5" spans="1:6" ht="14.25">
      <c r="A5" s="3108"/>
      <c r="B5" s="1883"/>
      <c r="C5" s="1883"/>
      <c r="D5" s="1883"/>
      <c r="E5" s="1883"/>
      <c r="F5" s="3105"/>
    </row>
    <row r="6" spans="1:6" ht="28.5">
      <c r="A6" s="3109" t="s">
        <v>2951</v>
      </c>
      <c r="B6" s="3106" t="s">
        <v>2948</v>
      </c>
      <c r="C6" s="3107"/>
      <c r="D6" s="1883"/>
      <c r="E6" s="3106" t="s">
        <v>2949</v>
      </c>
      <c r="F6" s="3106" t="s">
        <v>2953</v>
      </c>
    </row>
    <row r="7" spans="1:6" ht="14.25">
      <c r="A7" s="260" t="s">
        <v>2952</v>
      </c>
      <c r="B7" s="3110">
        <f ca="1">SUMIF(INDIRECT("'"&amp;A7&amp;"'"&amp;"!A:A"),"总价",INDIRECT("'"&amp;A7&amp;"'"&amp;"!B:B"))</f>
        <v>9972</v>
      </c>
      <c r="C7" s="3106" t="s">
        <v>2946</v>
      </c>
      <c r="D7" s="1883"/>
      <c r="E7" s="3111">
        <f ca="1">SUMIF(INDIRECT("'"&amp;A7&amp;"'"&amp;"!C:C"),"建筑面积",INDIRECT("'"&amp;A7&amp;"'"&amp;"!D:D"))</f>
        <v>80808</v>
      </c>
      <c r="F7" s="3111">
        <f ca="1">SUMIF(INDIRECT("'"&amp;A7&amp;"'"&amp;"!E:E"),"土地面积",INDIRECT("'"&amp;A7&amp;"'"&amp;"!F:F"))</f>
        <v>86802.49</v>
      </c>
    </row>
    <row r="8" spans="1:6" ht="14.25">
      <c r="A8" s="260"/>
      <c r="B8" s="3110" t="e">
        <f t="shared" ref="B8:B14" ca="1" si="0">SUMIF(INDIRECT("'"&amp;A8&amp;"'"&amp;"!A:A"),"总价",INDIRECT("'"&amp;A8&amp;"'"&amp;"!B:B"))</f>
        <v>#REF!</v>
      </c>
      <c r="C8" s="3106" t="s">
        <v>2946</v>
      </c>
      <c r="D8" s="1883"/>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2946</v>
      </c>
      <c r="D9" s="1883"/>
      <c r="E9" s="3111" t="e">
        <f t="shared" ca="1" si="1"/>
        <v>#REF!</v>
      </c>
      <c r="F9" s="3111" t="e">
        <f t="shared" ca="1" si="2"/>
        <v>#REF!</v>
      </c>
    </row>
    <row r="10" spans="1:6" ht="14.25">
      <c r="A10" s="260"/>
      <c r="B10" s="3110" t="e">
        <f t="shared" ca="1" si="0"/>
        <v>#REF!</v>
      </c>
      <c r="C10" s="3106" t="s">
        <v>2946</v>
      </c>
      <c r="D10" s="1883"/>
      <c r="E10" s="3111" t="e">
        <f t="shared" ca="1" si="1"/>
        <v>#REF!</v>
      </c>
      <c r="F10" s="3111" t="e">
        <f t="shared" ca="1" si="2"/>
        <v>#REF!</v>
      </c>
    </row>
    <row r="11" spans="1:6" ht="14.25">
      <c r="A11" s="260"/>
      <c r="B11" s="3110" t="e">
        <f t="shared" ca="1" si="0"/>
        <v>#REF!</v>
      </c>
      <c r="C11" s="3106" t="s">
        <v>2946</v>
      </c>
      <c r="D11" s="1883"/>
      <c r="E11" s="3111" t="e">
        <f t="shared" ca="1" si="1"/>
        <v>#REF!</v>
      </c>
      <c r="F11" s="3111" t="e">
        <f t="shared" ca="1" si="2"/>
        <v>#REF!</v>
      </c>
    </row>
    <row r="12" spans="1:6" ht="14.25">
      <c r="A12" s="260"/>
      <c r="B12" s="3110" t="e">
        <f t="shared" ca="1" si="0"/>
        <v>#REF!</v>
      </c>
      <c r="C12" s="3106" t="s">
        <v>2946</v>
      </c>
      <c r="D12" s="1883"/>
      <c r="E12" s="3111" t="e">
        <f t="shared" ca="1" si="1"/>
        <v>#REF!</v>
      </c>
      <c r="F12" s="3111" t="e">
        <f t="shared" ca="1" si="2"/>
        <v>#REF!</v>
      </c>
    </row>
    <row r="13" spans="1:6" ht="14.25">
      <c r="A13" s="260"/>
      <c r="B13" s="3110" t="e">
        <f t="shared" ca="1" si="0"/>
        <v>#REF!</v>
      </c>
      <c r="C13" s="3106" t="s">
        <v>2946</v>
      </c>
      <c r="D13" s="1883"/>
      <c r="E13" s="3111" t="e">
        <f t="shared" ca="1" si="1"/>
        <v>#REF!</v>
      </c>
      <c r="F13" s="3111" t="e">
        <f t="shared" ca="1" si="2"/>
        <v>#REF!</v>
      </c>
    </row>
    <row r="14" spans="1:6" ht="14.25">
      <c r="A14" s="3104"/>
      <c r="B14" s="3110" t="e">
        <f t="shared" ca="1" si="0"/>
        <v>#REF!</v>
      </c>
      <c r="C14" s="3106" t="s">
        <v>2946</v>
      </c>
      <c r="D14" s="1883"/>
      <c r="E14" s="3111" t="e">
        <f t="shared" ca="1" si="1"/>
        <v>#REF!</v>
      </c>
      <c r="F14" s="3111" t="e">
        <f t="shared" ca="1" si="2"/>
        <v>#REF!</v>
      </c>
    </row>
  </sheetData>
  <sheetProtection password="C66D" sheet="1" objects="1" scenarios="1"/>
  <phoneticPr fontId="235"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4" sqref="A4"/>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2377</v>
      </c>
      <c r="F1" s="2390">
        <f ca="1">J54</f>
        <v>-1</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8" t="s">
        <v>2464</v>
      </c>
      <c r="E7" s="2492"/>
      <c r="F7" s="2493"/>
      <c r="G7" s="1593"/>
      <c r="H7" s="781">
        <v>1</v>
      </c>
      <c r="I7" s="782" t="s">
        <v>2461</v>
      </c>
      <c r="J7" s="53">
        <f ca="1">J8+J12+J14</f>
        <v>0</v>
      </c>
      <c r="K7" s="2498" t="s">
        <v>2464</v>
      </c>
      <c r="L7" s="2492"/>
      <c r="M7" s="2493"/>
    </row>
    <row r="8" spans="1:25" ht="18" customHeight="1">
      <c r="A8" s="1832" t="s">
        <v>1825</v>
      </c>
      <c r="B8" s="3526" t="s">
        <v>2466</v>
      </c>
      <c r="C8" s="1827">
        <f ca="1">ROUND(F8*F10*F9*(1-F11)/10000,0)</f>
        <v>0</v>
      </c>
      <c r="D8" s="1824" t="s">
        <v>2537</v>
      </c>
      <c r="E8" s="61" t="s">
        <v>637</v>
      </c>
      <c r="F8" s="785">
        <f ca="1">INDIRECT("'数据-取费表'!u"&amp;$G$1)</f>
        <v>0</v>
      </c>
      <c r="G8" s="1593"/>
      <c r="H8" s="2506" t="s">
        <v>1825</v>
      </c>
      <c r="I8" s="3526" t="s">
        <v>2466</v>
      </c>
      <c r="J8" s="783">
        <f ca="1">ROUND(M8*M10*M9*(1-M11)/10000,0)</f>
        <v>0</v>
      </c>
      <c r="K8" s="341" t="s">
        <v>2537</v>
      </c>
      <c r="L8" s="784" t="s">
        <v>1739</v>
      </c>
      <c r="M8" s="785">
        <f ca="1">INDIRECT("'数据-取费表'!z"&amp;$G$1)</f>
        <v>0</v>
      </c>
    </row>
    <row r="9" spans="1:25" ht="18" customHeight="1">
      <c r="A9" s="2502"/>
      <c r="B9" s="3527"/>
      <c r="C9" s="1828"/>
      <c r="D9" s="1825"/>
      <c r="E9" s="61" t="s">
        <v>638</v>
      </c>
      <c r="F9" s="785">
        <f ca="1">IF(INDIRECT("'数据-取费表'!ah"&amp;$G$1)="",INDIRECT("'数据-取费表'!k"&amp;$G$1),INDIRECT("'数据-取费表'!ah"&amp;$G$1))</f>
        <v>0</v>
      </c>
      <c r="G9" s="1593"/>
      <c r="H9" s="2491"/>
      <c r="I9" s="3527"/>
      <c r="J9" s="788"/>
      <c r="K9" s="789"/>
      <c r="L9" s="784" t="s">
        <v>1740</v>
      </c>
      <c r="M9" s="785">
        <f ca="1">F9</f>
        <v>0</v>
      </c>
    </row>
    <row r="10" spans="1:25" ht="18" customHeight="1">
      <c r="A10" s="2495"/>
      <c r="B10" s="3528"/>
      <c r="C10" s="1828"/>
      <c r="D10" s="1825"/>
      <c r="E10" s="61" t="s">
        <v>639</v>
      </c>
      <c r="F10" s="785">
        <f ca="1">INDIRECT("'数据-取费表'!ai"&amp;$G$1)</f>
        <v>0</v>
      </c>
      <c r="G10" s="1593"/>
      <c r="H10" s="2491"/>
      <c r="I10" s="3528"/>
      <c r="J10" s="788"/>
      <c r="K10" s="789"/>
      <c r="L10" s="784" t="s">
        <v>1741</v>
      </c>
      <c r="M10" s="785">
        <f ca="1">INDIRECT("'数据-取费表'!ai"&amp;$G$1)</f>
        <v>0</v>
      </c>
    </row>
    <row r="11" spans="1:25" ht="18" customHeight="1">
      <c r="A11" s="786"/>
      <c r="B11" s="3529"/>
      <c r="C11" s="1828"/>
      <c r="D11" s="1825"/>
      <c r="E11" s="61" t="s">
        <v>640</v>
      </c>
      <c r="F11" s="794">
        <f ca="1">INDIRECT("'数据-取费表'!w"&amp;$G$1)</f>
        <v>0</v>
      </c>
      <c r="G11" s="1593"/>
      <c r="H11" s="2507"/>
      <c r="I11" s="3528"/>
      <c r="J11" s="788"/>
      <c r="K11" s="789"/>
      <c r="L11" s="795" t="s">
        <v>1742</v>
      </c>
      <c r="M11" s="796">
        <f ca="1">INDIRECT("'数据-取费表'!ab"&amp;$G$1)</f>
        <v>0</v>
      </c>
    </row>
    <row r="12" spans="1:25" ht="18" customHeight="1">
      <c r="A12" s="1832" t="s">
        <v>1826</v>
      </c>
      <c r="B12" s="2496" t="s">
        <v>2462</v>
      </c>
      <c r="C12" s="799">
        <f ca="1">ROUND(IF(F12="押一",C8/12*F13,IF(F12="押二",C8/12*2*F13,IF(F12="押三",C8/12*3*F13,C13*F13))),0)</f>
        <v>0</v>
      </c>
      <c r="D12" s="2503" t="s">
        <v>2975</v>
      </c>
      <c r="E12" s="2500" t="s">
        <v>2467</v>
      </c>
      <c r="F12" s="2623"/>
      <c r="G12" s="1593"/>
      <c r="H12" s="2563" t="s">
        <v>1826</v>
      </c>
      <c r="I12" s="2568" t="s">
        <v>2462</v>
      </c>
      <c r="J12" s="783">
        <f ca="1">ROUND(IF(M12="押一",J8/12*M13,IF(M12="押二",J8/12*2*M13,IF(M12="押三",J8/12*3*M13,J13*M13))),0)</f>
        <v>0</v>
      </c>
      <c r="K12" s="2503" t="s">
        <v>2975</v>
      </c>
      <c r="L12" s="2500" t="s">
        <v>2467</v>
      </c>
      <c r="M12" s="2623"/>
    </row>
    <row r="13" spans="1:25" ht="18" customHeight="1">
      <c r="A13" s="790"/>
      <c r="B13" s="2497" t="s">
        <v>2576</v>
      </c>
      <c r="C13" s="2501"/>
      <c r="D13" s="789"/>
      <c r="E13" s="2500" t="s">
        <v>2459</v>
      </c>
      <c r="F13" s="796">
        <f ca="1">'数据-取费表'!B39</f>
        <v>1.4999999999999999E-2</v>
      </c>
      <c r="G13" s="1593"/>
      <c r="H13" s="2564"/>
      <c r="I13" s="2497" t="s">
        <v>2576</v>
      </c>
      <c r="J13" s="2501"/>
      <c r="K13" s="2565"/>
      <c r="L13" s="2500" t="s">
        <v>2459</v>
      </c>
      <c r="M13" s="2494">
        <f ca="1">'数据-取费表'!B39</f>
        <v>1.4999999999999999E-2</v>
      </c>
    </row>
    <row r="14" spans="1:25" ht="18" customHeight="1" thickBot="1">
      <c r="A14" s="2539" t="s">
        <v>2470</v>
      </c>
      <c r="B14" s="2540" t="s">
        <v>2463</v>
      </c>
      <c r="C14" s="2541"/>
      <c r="D14" s="2542"/>
      <c r="E14" s="2543"/>
      <c r="F14" s="2544"/>
      <c r="G14" s="1593"/>
      <c r="H14" s="2553" t="s">
        <v>2470</v>
      </c>
      <c r="I14" s="2566" t="s">
        <v>2463</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2827</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5.5000000000000007E-2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0.01</v>
      </c>
      <c r="G22" s="1594"/>
      <c r="H22" s="1834" t="s">
        <v>1851</v>
      </c>
      <c r="I22" s="1824" t="s">
        <v>668</v>
      </c>
      <c r="J22" s="54">
        <f ca="1">ROUND(M22*M23/10000,0)</f>
        <v>0</v>
      </c>
      <c r="K22" s="814" t="s">
        <v>669</v>
      </c>
      <c r="L22" s="784" t="s">
        <v>670</v>
      </c>
      <c r="M22" s="640">
        <f>'数据-取费表'!B52</f>
        <v>1.5</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0.01</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单利计息。建造成本、管理费用、销售费用产生的利息。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3" t="str">
        <f>IF(F25&lt;=1,"(建造成本+管理费用)×利率×(建设周期÷2)","(建造成本+管理费用)×((1+利率)^(建设周期÷2)-1)")</f>
        <v>(建造成本+管理费用)×利率×(建设周期÷2)</v>
      </c>
      <c r="E25" s="784" t="s">
        <v>678</v>
      </c>
      <c r="F25" s="640">
        <f>'数据-取费表'!B20</f>
        <v>1</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2.0000000000000001E-4</v>
      </c>
      <c r="D26" s="2573" t="str">
        <f>IF(F25&lt;=1,"销售费用×利率×(建设周期÷2)","销售费用×((1+利率)^(建设周期÷2)-1)")</f>
        <v>销售费用×利率×(建设周期÷2)</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3" t="s">
        <v>2824</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2825</v>
      </c>
      <c r="C31" s="2546">
        <f ca="1">ROUND((C21+C22+C25+C28)/(1-F23-C26-C29-C30),0)</f>
        <v>0</v>
      </c>
      <c r="D31" s="2547"/>
      <c r="E31" s="2548"/>
      <c r="F31" s="2549"/>
      <c r="G31" s="1594"/>
      <c r="H31" s="823" t="s">
        <v>1873</v>
      </c>
      <c r="I31" s="3014" t="s">
        <v>2826</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5.5000000000000007E-2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1.5</v>
      </c>
      <c r="G36" s="2064"/>
      <c r="H36" s="2067"/>
      <c r="I36" s="3525"/>
      <c r="J36" s="2081"/>
      <c r="K36" s="2082"/>
      <c r="L36" s="2081"/>
      <c r="M36" s="2081"/>
    </row>
    <row r="37" spans="1:18" ht="18" customHeight="1">
      <c r="A37" s="815"/>
      <c r="B37" s="793"/>
      <c r="C37" s="69"/>
      <c r="D37" s="816"/>
      <c r="E37" s="784" t="s">
        <v>674</v>
      </c>
      <c r="F37" s="785">
        <f ca="1">INDIRECT("'数据-取费表'!r"&amp;$G$1)</f>
        <v>0</v>
      </c>
      <c r="G37" s="2064"/>
      <c r="H37" s="2067"/>
      <c r="I37" s="3525"/>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2" t="s">
        <v>2963</v>
      </c>
      <c r="F43" s="3123">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40">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4" t="s">
        <v>2966</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3160" t="str">
        <f ca="1">IF(M48="住宅",0,IF(L49&gt;J52,L61,J61))</f>
        <v>0</v>
      </c>
      <c r="O47" s="2396" t="s">
        <v>2413</v>
      </c>
      <c r="P47" s="1593"/>
      <c r="Q47" s="1605"/>
      <c r="R47" s="1593"/>
    </row>
    <row r="48" spans="1:18" s="2061" customFormat="1" ht="18" customHeight="1" thickBot="1">
      <c r="A48" s="2086"/>
      <c r="C48" s="2089"/>
      <c r="D48" s="2090"/>
      <c r="E48" s="2090"/>
      <c r="F48" s="2091"/>
      <c r="G48" s="2092"/>
      <c r="I48" s="3150" t="s">
        <v>2347</v>
      </c>
      <c r="J48" s="2383"/>
      <c r="K48" s="3157" t="s">
        <v>2352</v>
      </c>
      <c r="L48" s="3161">
        <f ca="1">INDIRECT("'数据-取费表'!d"&amp;$G$1)</f>
        <v>0</v>
      </c>
      <c r="M48" s="3121" t="str">
        <f>IF(ISNUMBER(FIND("住宅",C1)),"住宅","非住宅")</f>
        <v>非住宅</v>
      </c>
      <c r="O48" s="2397" t="s">
        <v>2378</v>
      </c>
      <c r="P48" s="2398" t="s">
        <v>2379</v>
      </c>
      <c r="Q48" s="2399" t="s">
        <v>2380</v>
      </c>
      <c r="R48" s="2398" t="s">
        <v>2381</v>
      </c>
    </row>
    <row r="49" spans="1:18" s="2061" customFormat="1" ht="18" customHeight="1" thickBot="1">
      <c r="A49" s="2086"/>
      <c r="D49" s="2093"/>
      <c r="E49" s="2094"/>
      <c r="F49" s="2091"/>
      <c r="G49" s="2092"/>
      <c r="H49" s="2095"/>
      <c r="I49" s="3126" t="s">
        <v>2348</v>
      </c>
      <c r="J49" s="2384"/>
      <c r="K49" s="3158" t="s">
        <v>2354</v>
      </c>
      <c r="L49" s="1910">
        <f ca="1">INDIRECT("'数据-取费表'!f"&amp;$G$1)</f>
        <v>0</v>
      </c>
      <c r="O49" s="2400" t="s">
        <v>2382</v>
      </c>
      <c r="P49" s="2401" t="s">
        <v>2408</v>
      </c>
      <c r="Q49" s="2402">
        <f ca="1">C41+J31</f>
        <v>0</v>
      </c>
      <c r="R49" s="2401" t="s">
        <v>2383</v>
      </c>
    </row>
    <row r="50" spans="1:18" s="2061" customFormat="1" ht="18" customHeight="1" thickBot="1">
      <c r="A50" s="2086"/>
      <c r="D50" s="2096"/>
      <c r="E50" s="2096"/>
      <c r="F50" s="2090"/>
      <c r="G50" s="2097"/>
      <c r="H50" s="2095"/>
      <c r="I50" s="3126" t="s">
        <v>2349</v>
      </c>
      <c r="J50" s="2385"/>
      <c r="K50" s="3159" t="s">
        <v>2355</v>
      </c>
      <c r="L50" s="2386"/>
      <c r="O50" s="2400" t="s">
        <v>2384</v>
      </c>
      <c r="P50" s="2401" t="s">
        <v>2409</v>
      </c>
      <c r="Q50" s="2402" t="str">
        <f ca="1">J61</f>
        <v>0</v>
      </c>
      <c r="R50" s="2401" t="s">
        <v>2385</v>
      </c>
    </row>
    <row r="51" spans="1:18" s="2061" customFormat="1" ht="18" customHeight="1" thickBot="1">
      <c r="A51" s="2098"/>
      <c r="D51" s="2096"/>
      <c r="E51" s="2096"/>
      <c r="F51" s="2087"/>
      <c r="H51" s="2095"/>
      <c r="I51" s="3126" t="s">
        <v>2350</v>
      </c>
      <c r="J51" s="3154">
        <f>SUMPRODUCT((I64:I66=J48)*(J63:L63=J49)*(J64:L66))</f>
        <v>0</v>
      </c>
      <c r="K51" s="3159" t="s">
        <v>2356</v>
      </c>
      <c r="L51" s="2386"/>
      <c r="O51" s="2403" t="s">
        <v>2386</v>
      </c>
      <c r="P51" s="2401" t="s">
        <v>2410</v>
      </c>
      <c r="Q51" s="2402">
        <f ca="1">C31</f>
        <v>0</v>
      </c>
      <c r="R51" s="2401" t="s">
        <v>2383</v>
      </c>
    </row>
    <row r="52" spans="1:18" s="2061" customFormat="1" ht="18" customHeight="1" thickBot="1">
      <c r="A52" s="2098"/>
      <c r="F52" s="2087"/>
      <c r="I52" s="3151" t="s">
        <v>2351</v>
      </c>
      <c r="J52" s="3155">
        <f>IF(J50="",J51,J50+J51-YEAR('数据-取费表'!B3))</f>
        <v>0</v>
      </c>
      <c r="K52" s="3126" t="s">
        <v>2357</v>
      </c>
      <c r="L52" s="3162">
        <f ca="1">ROUND(-PV(INDIRECT("'数据-取费表'!h"&amp;$G$1),L49,(C40-C14*J36),0),0)</f>
        <v>0</v>
      </c>
      <c r="O52" s="2403" t="s">
        <v>2387</v>
      </c>
      <c r="P52" s="2401" t="s">
        <v>2388</v>
      </c>
      <c r="Q52" s="2404" t="e">
        <f ca="1">J59</f>
        <v>#VALUE!</v>
      </c>
      <c r="R52" s="2405"/>
    </row>
    <row r="53" spans="1:18" s="2061" customFormat="1" ht="18" customHeight="1" thickBot="1">
      <c r="A53" s="2098"/>
      <c r="F53" s="2087"/>
      <c r="I53" s="3152" t="s">
        <v>2424</v>
      </c>
      <c r="J53" s="2387"/>
      <c r="K53" s="3152" t="s">
        <v>2423</v>
      </c>
      <c r="L53" s="2387"/>
      <c r="O53" s="2403" t="s">
        <v>2389</v>
      </c>
      <c r="P53" s="2401" t="s">
        <v>2390</v>
      </c>
      <c r="Q53" s="2404">
        <f>J53</f>
        <v>0</v>
      </c>
      <c r="R53" s="2405"/>
    </row>
    <row r="54" spans="1:18" s="2061" customFormat="1" ht="29.25" thickBot="1">
      <c r="A54" s="2098"/>
      <c r="I54" s="3153" t="s">
        <v>2980</v>
      </c>
      <c r="J54" s="3156">
        <f ca="1">IF(M48="住宅",MAX(J52,L49-'数据-取费表'!B20),MIN(J52,L49-'数据-取费表'!B20))</f>
        <v>-1</v>
      </c>
      <c r="K54" s="3530"/>
      <c r="L54" s="3531"/>
      <c r="O54" s="2403" t="s">
        <v>2391</v>
      </c>
      <c r="P54" s="2401" t="s">
        <v>2392</v>
      </c>
      <c r="Q54" s="2402">
        <f ca="1">J54</f>
        <v>-1</v>
      </c>
      <c r="R54" s="2401" t="s">
        <v>2393</v>
      </c>
    </row>
    <row r="55" spans="1:18" s="2061" customFormat="1" ht="18" customHeight="1" thickBot="1">
      <c r="A55" s="2098"/>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400" t="s">
        <v>2394</v>
      </c>
      <c r="P55" s="2401" t="s">
        <v>2411</v>
      </c>
      <c r="Q55" s="2402">
        <f ca="1">Q49+Q50</f>
        <v>0</v>
      </c>
      <c r="R55" s="2405" t="s">
        <v>2395</v>
      </c>
    </row>
    <row r="56" spans="1:18" s="2061" customFormat="1" ht="16.5" thickBot="1">
      <c r="A56" s="2098"/>
      <c r="B56" s="2099"/>
      <c r="C56" s="2099"/>
      <c r="I56" s="3165" t="s">
        <v>2358</v>
      </c>
      <c r="J56" s="3101" t="e">
        <f ca="1">ROUND(IF(J48="钢混",J58/J51,1-(1-2%)*(J51-J58)/J51),3)</f>
        <v>#VALUE!</v>
      </c>
      <c r="K56" s="3166" t="s">
        <v>2359</v>
      </c>
      <c r="L56" s="2388"/>
      <c r="O56" s="2406" t="s">
        <v>2414</v>
      </c>
      <c r="P56" s="1593"/>
      <c r="Q56" s="1605"/>
      <c r="R56" s="1593"/>
    </row>
    <row r="57" spans="1:18" s="2061" customFormat="1" ht="43.5" thickBot="1">
      <c r="A57" s="2098"/>
      <c r="B57" s="2099"/>
      <c r="C57" s="2099"/>
      <c r="I57" s="3167" t="s">
        <v>2360</v>
      </c>
      <c r="J57" s="3177" t="s">
        <v>1679</v>
      </c>
      <c r="K57" s="3126" t="s">
        <v>2365</v>
      </c>
      <c r="L57" s="1910">
        <f ca="1">IF(L49&lt;J52,"——",L49-J52)</f>
        <v>0</v>
      </c>
      <c r="O57" s="2397" t="s">
        <v>2378</v>
      </c>
      <c r="P57" s="2398" t="s">
        <v>2379</v>
      </c>
      <c r="Q57" s="2399" t="s">
        <v>2380</v>
      </c>
      <c r="R57" s="2398" t="s">
        <v>2381</v>
      </c>
    </row>
    <row r="58" spans="1:18" s="2061" customFormat="1" ht="29.25" thickBot="1">
      <c r="A58" s="2098"/>
      <c r="B58" s="2099"/>
      <c r="C58" s="2099"/>
      <c r="I58" s="3168" t="s">
        <v>2361</v>
      </c>
      <c r="J58" s="3169" t="str">
        <f ca="1">IF(OR(M48="住宅",J52&lt;L49,J57="是"),"——",J52-L49)</f>
        <v>——</v>
      </c>
      <c r="K58" s="3126" t="s">
        <v>2366</v>
      </c>
      <c r="L58" s="1910">
        <f ca="1">IF(L49&lt;J52,"——",IF(L56="比较法",L50,IF(L56="基准地价",L51,L52)))</f>
        <v>0</v>
      </c>
      <c r="O58" s="2400" t="s">
        <v>2382</v>
      </c>
      <c r="P58" s="2401" t="s">
        <v>2408</v>
      </c>
      <c r="Q58" s="2402">
        <f ca="1">C41+J31</f>
        <v>0</v>
      </c>
      <c r="R58" s="2401" t="s">
        <v>2383</v>
      </c>
    </row>
    <row r="59" spans="1:18" s="2061" customFormat="1" ht="29.25" thickBot="1">
      <c r="A59" s="2098"/>
      <c r="B59" s="2099"/>
      <c r="C59" s="2099"/>
      <c r="I59" s="3168" t="s">
        <v>2362</v>
      </c>
      <c r="J59" s="3102" t="e">
        <f ca="1">IF(J56&lt;0.4,0.4,J56)</f>
        <v>#VALUE!</v>
      </c>
      <c r="K59" s="3126" t="s">
        <v>2367</v>
      </c>
      <c r="L59" s="1910">
        <f ca="1">IF(ISERROR(POWER(1+L53,L48-L49)*(POWER(1+L53,L49)-1)/(POWER(1+L53,L48)-1)),0,POWER(1+L53,L48-L49)*(POWER(1+L53,L49)-1)/(POWER(1+L53,L48)-1))</f>
        <v>0</v>
      </c>
      <c r="O59" s="2400" t="s">
        <v>2384</v>
      </c>
      <c r="P59" s="2401" t="s">
        <v>2415</v>
      </c>
      <c r="Q59" s="2402" t="e">
        <f ca="1">L61</f>
        <v>#DIV/0!</v>
      </c>
      <c r="R59" s="2405" t="s">
        <v>2417</v>
      </c>
    </row>
    <row r="60" spans="1:18" s="2061" customFormat="1" ht="29.25" thickBot="1">
      <c r="A60" s="2098"/>
      <c r="B60" s="2099"/>
      <c r="C60" s="2099"/>
      <c r="I60" s="3168" t="s">
        <v>2363</v>
      </c>
      <c r="J60" s="3169" t="str">
        <f ca="1">IF(OR(M48="住宅",J52&lt;L49,J57="是"),"——",ROUND(C30*J59,0))</f>
        <v>——</v>
      </c>
      <c r="K60" s="3126" t="s">
        <v>2368</v>
      </c>
      <c r="L60" s="1910">
        <f ca="1">IF(ISERROR(POWER(1+L53,L48-J52)*(POWER(1+L53,J52)-1)/(POWER(1+L53,L48)-1)),0,POWER(1+L53,L48-J52)*(POWER(1+L53,J52)-1)/(POWER(1+L53,L48)-1))</f>
        <v>0</v>
      </c>
      <c r="O60" s="2403" t="s">
        <v>2386</v>
      </c>
      <c r="P60" s="2401" t="s">
        <v>2416</v>
      </c>
      <c r="Q60" s="2402">
        <f>IF(L56="比较法",L50,IF(L56="基准地价",L51,0))</f>
        <v>0</v>
      </c>
      <c r="R60" s="2401" t="s">
        <v>2383</v>
      </c>
    </row>
    <row r="61" spans="1:18" s="2061" customFormat="1" ht="15.75" thickBot="1">
      <c r="A61" s="2098"/>
      <c r="B61" s="2099"/>
      <c r="C61" s="2099"/>
      <c r="I61" s="3170" t="s">
        <v>2364</v>
      </c>
      <c r="J61" s="3171" t="str">
        <f ca="1">IF(OR(M48="住宅",J52&lt;L49,J57="是"),"0",ROUND(J60/(1+J53)^J54,0))</f>
        <v>0</v>
      </c>
      <c r="K61" s="3172" t="s">
        <v>2369</v>
      </c>
      <c r="L61" s="3171" t="e">
        <f ca="1">IF(OR(M48="住宅",L49&lt;J52),0,ROUND(L58*(L59/L60-1),0))</f>
        <v>#DIV/0!</v>
      </c>
      <c r="O61" s="2403" t="s">
        <v>2387</v>
      </c>
      <c r="P61" s="2401" t="s">
        <v>2396</v>
      </c>
      <c r="Q61" s="2404">
        <f>L53</f>
        <v>0</v>
      </c>
      <c r="R61" s="2405"/>
    </row>
    <row r="62" spans="1:18" s="2061" customFormat="1" ht="20.25" thickBot="1">
      <c r="A62" s="2098"/>
      <c r="B62" s="2099"/>
      <c r="C62" s="2099"/>
      <c r="K62" s="2088"/>
      <c r="O62" s="2403" t="s">
        <v>2389</v>
      </c>
      <c r="P62" s="2401" t="s">
        <v>2397</v>
      </c>
      <c r="Q62" s="2402">
        <f ca="1">L59</f>
        <v>0</v>
      </c>
      <c r="R62" s="2405" t="s">
        <v>2398</v>
      </c>
    </row>
    <row r="63" spans="1:18" s="2061" customFormat="1" ht="20.25" thickBot="1">
      <c r="A63" s="2098"/>
      <c r="B63" s="2099"/>
      <c r="C63" s="2099"/>
      <c r="I63" s="3173" t="s">
        <v>2370</v>
      </c>
      <c r="J63" s="3174" t="s">
        <v>2371</v>
      </c>
      <c r="K63" s="3174" t="s">
        <v>2372</v>
      </c>
      <c r="L63" s="3174" t="s">
        <v>2353</v>
      </c>
      <c r="M63" s="3175" t="s">
        <v>2943</v>
      </c>
      <c r="O63" s="2403" t="s">
        <v>2391</v>
      </c>
      <c r="P63" s="2401" t="s">
        <v>2399</v>
      </c>
      <c r="Q63" s="2402">
        <f ca="1">L60</f>
        <v>0</v>
      </c>
      <c r="R63" s="2405" t="s">
        <v>2400</v>
      </c>
    </row>
    <row r="64" spans="1:18" s="2061" customFormat="1" ht="15.75" thickBot="1">
      <c r="A64" s="2098"/>
      <c r="B64" s="2099"/>
      <c r="C64" s="2099"/>
      <c r="I64" s="3173" t="s">
        <v>2373</v>
      </c>
      <c r="J64" s="3174">
        <v>70</v>
      </c>
      <c r="K64" s="3174">
        <v>50</v>
      </c>
      <c r="L64" s="3174">
        <v>80</v>
      </c>
      <c r="M64" s="3176">
        <v>0.02</v>
      </c>
      <c r="O64" s="2400" t="s">
        <v>2394</v>
      </c>
      <c r="P64" s="2401" t="s">
        <v>2411</v>
      </c>
      <c r="Q64" s="2402" t="e">
        <f ca="1">Q58+Q59</f>
        <v>#DIV/0!</v>
      </c>
      <c r="R64" s="2405" t="s">
        <v>2395</v>
      </c>
    </row>
    <row r="65" spans="1:18" s="2061" customFormat="1" ht="16.5" thickBot="1">
      <c r="A65" s="2098"/>
      <c r="B65" s="2099"/>
      <c r="C65" s="2099"/>
      <c r="I65" s="3173" t="s">
        <v>2374</v>
      </c>
      <c r="J65" s="3174">
        <v>50</v>
      </c>
      <c r="K65" s="3174">
        <v>35</v>
      </c>
      <c r="L65" s="3174">
        <v>60</v>
      </c>
      <c r="M65" s="846">
        <v>0</v>
      </c>
      <c r="O65" s="2406" t="s">
        <v>2418</v>
      </c>
      <c r="P65" s="1593"/>
      <c r="Q65" s="1605"/>
      <c r="R65" s="1593"/>
    </row>
    <row r="66" spans="1:18" s="2061" customFormat="1" ht="15.75" thickBot="1">
      <c r="A66" s="2098"/>
      <c r="B66" s="2099"/>
      <c r="C66" s="2099"/>
      <c r="I66" s="3173" t="s">
        <v>2375</v>
      </c>
      <c r="J66" s="3174">
        <v>40</v>
      </c>
      <c r="K66" s="3174">
        <v>30</v>
      </c>
      <c r="L66" s="3174">
        <v>50</v>
      </c>
      <c r="M66" s="3176">
        <v>0.02</v>
      </c>
      <c r="O66" s="2397" t="s">
        <v>2378</v>
      </c>
      <c r="P66" s="2398" t="s">
        <v>2379</v>
      </c>
      <c r="Q66" s="2399" t="s">
        <v>2380</v>
      </c>
      <c r="R66" s="2398" t="s">
        <v>2381</v>
      </c>
    </row>
    <row r="67" spans="1:18" s="2061" customFormat="1" ht="15.75" thickBot="1">
      <c r="A67" s="2098"/>
      <c r="B67" s="2099"/>
      <c r="C67" s="2099"/>
      <c r="K67" s="2088"/>
      <c r="O67" s="2400" t="s">
        <v>2382</v>
      </c>
      <c r="P67" s="2401" t="s">
        <v>2408</v>
      </c>
      <c r="Q67" s="2402">
        <f ca="1">C41+J31</f>
        <v>0</v>
      </c>
      <c r="R67" s="2401" t="s">
        <v>2383</v>
      </c>
    </row>
    <row r="68" spans="1:18" s="2061" customFormat="1" ht="20.25" thickBot="1">
      <c r="A68" s="2098"/>
      <c r="B68" s="2099"/>
      <c r="C68" s="2099"/>
      <c r="K68" s="2088"/>
      <c r="O68" s="2400" t="s">
        <v>2384</v>
      </c>
      <c r="P68" s="2401" t="s">
        <v>2415</v>
      </c>
      <c r="Q68" s="2402" t="e">
        <f ca="1">L61</f>
        <v>#DIV/0!</v>
      </c>
      <c r="R68" s="2405" t="s">
        <v>2417</v>
      </c>
    </row>
    <row r="69" spans="1:18" s="2061" customFormat="1" ht="21.75" thickBot="1">
      <c r="A69" s="2098"/>
      <c r="B69" s="2099"/>
      <c r="C69" s="2099"/>
      <c r="K69" s="2088"/>
      <c r="O69" s="2403" t="s">
        <v>2386</v>
      </c>
      <c r="P69" s="2401" t="s">
        <v>2416</v>
      </c>
      <c r="Q69" s="2407">
        <f ca="1">L52</f>
        <v>0</v>
      </c>
      <c r="R69" s="2408" t="s">
        <v>2419</v>
      </c>
    </row>
    <row r="70" spans="1:18" s="2061" customFormat="1" ht="20.25" thickBot="1">
      <c r="A70" s="2098"/>
      <c r="B70" s="2099"/>
      <c r="C70" s="2099"/>
      <c r="K70" s="2088"/>
      <c r="O70" s="2403" t="s">
        <v>2387</v>
      </c>
      <c r="P70" s="2409" t="s">
        <v>2401</v>
      </c>
      <c r="Q70" s="2402">
        <f ca="1">ROUND(Q71-Q72*Q73,0)</f>
        <v>0</v>
      </c>
      <c r="R70" s="2405"/>
    </row>
    <row r="71" spans="1:18" s="2061" customFormat="1" ht="15.75" thickBot="1">
      <c r="A71" s="2098"/>
      <c r="B71" s="2099"/>
      <c r="C71" s="2099"/>
      <c r="K71" s="2088"/>
      <c r="O71" s="2403" t="s">
        <v>2402</v>
      </c>
      <c r="P71" s="2409" t="s">
        <v>2403</v>
      </c>
      <c r="Q71" s="2402">
        <f ca="1">C42</f>
        <v>0</v>
      </c>
      <c r="R71" s="2401" t="s">
        <v>2383</v>
      </c>
    </row>
    <row r="72" spans="1:18" s="2061" customFormat="1" ht="15.75" thickBot="1">
      <c r="A72" s="2098"/>
      <c r="B72" s="2099"/>
      <c r="C72" s="2099"/>
      <c r="K72" s="2088"/>
      <c r="O72" s="2403" t="s">
        <v>2404</v>
      </c>
      <c r="P72" s="2409" t="s">
        <v>2405</v>
      </c>
      <c r="Q72" s="2402">
        <f ca="1">C15</f>
        <v>0</v>
      </c>
      <c r="R72" s="2401" t="s">
        <v>2383</v>
      </c>
    </row>
    <row r="73" spans="1:18" s="2061" customFormat="1" ht="15.75" thickBot="1">
      <c r="A73" s="2098"/>
      <c r="B73" s="2099"/>
      <c r="C73" s="2099"/>
      <c r="K73" s="2088"/>
      <c r="O73" s="2403" t="s">
        <v>2406</v>
      </c>
      <c r="P73" s="2409" t="s">
        <v>2407</v>
      </c>
      <c r="Q73" s="2404">
        <f ca="1">F43</f>
        <v>0</v>
      </c>
      <c r="R73" s="2405"/>
    </row>
    <row r="74" spans="1:18" s="2061" customFormat="1" ht="15.75" thickBot="1">
      <c r="A74" s="2098"/>
      <c r="B74" s="2099"/>
      <c r="C74" s="2099"/>
      <c r="K74" s="2088"/>
      <c r="O74" s="2403" t="s">
        <v>2389</v>
      </c>
      <c r="P74" s="2401" t="s">
        <v>2396</v>
      </c>
      <c r="Q74" s="2404">
        <f>L53</f>
        <v>0</v>
      </c>
      <c r="R74" s="2405"/>
    </row>
    <row r="75" spans="1:18" s="2061" customFormat="1" ht="20.25" thickBot="1">
      <c r="A75" s="2098"/>
      <c r="B75" s="2099"/>
      <c r="C75" s="2099"/>
      <c r="K75" s="2088"/>
      <c r="O75" s="2403" t="s">
        <v>2391</v>
      </c>
      <c r="P75" s="2401" t="s">
        <v>2397</v>
      </c>
      <c r="Q75" s="2402">
        <f ca="1">L59</f>
        <v>0</v>
      </c>
      <c r="R75" s="2405" t="s">
        <v>2398</v>
      </c>
    </row>
    <row r="76" spans="1:18" s="2061" customFormat="1" ht="20.25" thickBot="1">
      <c r="A76" s="2098"/>
      <c r="B76" s="2099"/>
      <c r="C76" s="2099"/>
      <c r="K76" s="2088"/>
      <c r="O76" s="2403" t="s">
        <v>2420</v>
      </c>
      <c r="P76" s="2401" t="s">
        <v>2399</v>
      </c>
      <c r="Q76" s="2402">
        <f ca="1">L60</f>
        <v>0</v>
      </c>
      <c r="R76" s="2405" t="s">
        <v>2400</v>
      </c>
    </row>
    <row r="77" spans="1:18" s="2061" customFormat="1" ht="15.75" thickBot="1">
      <c r="A77" s="2098"/>
      <c r="B77" s="2099"/>
      <c r="C77" s="2099"/>
      <c r="K77" s="2088"/>
      <c r="O77" s="2400" t="s">
        <v>2394</v>
      </c>
      <c r="P77" s="2401" t="s">
        <v>2411</v>
      </c>
      <c r="Q77" s="2402" t="e">
        <f ca="1">Q67+Q68</f>
        <v>#DIV/0!</v>
      </c>
      <c r="R77" s="2405"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5"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北京捷宸阳光科技发展有限公司：</v>
      </c>
    </row>
    <row r="4" spans="1:4" ht="37.5">
      <c r="A4" s="1793" t="str">
        <f>"受贵公司委托，我公司对"&amp;项目基本情况!K2&amp;项目基本情况!B9&amp;"进行了预评估。"</f>
        <v>受贵公司委托，我公司对北京市通州区马驹桥镇金桥科技产业基地出让国有建设用地使用权市场价格进行了预评估。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通州区马驹桥镇金桥科技产业基地出让国有建设用地使用权。根据《国有土地使用证》[]，估价对象（分摊）出让国有建设用地使用权面积为86802.49平方米。根据《建设工程规划许可证》[]、《出让合同》[]，估价对象规划建筑面积为80808平方米。</v>
      </c>
    </row>
    <row r="7" spans="1:4" ht="56.25">
      <c r="A7" s="1797" t="s">
        <v>2750</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2018年7月9日</v>
      </c>
    </row>
    <row r="12" spans="1:4" ht="18.75">
      <c r="A12" s="1799" t="s">
        <v>2028</v>
      </c>
    </row>
    <row r="13" spans="1:4" ht="18.75">
      <c r="A13" s="1793" t="s">
        <v>2942</v>
      </c>
    </row>
    <row r="14" spans="1:4" ht="18.75">
      <c r="A14" s="1793" t="str">
        <f>"根据"&amp;项目基本情况!F12&amp;"，本次评估估价对象证载（地类）用途为"&amp;项目基本情况!B12&amp;"。"</f>
        <v>根据《国有土地使用证》[]，本次评估估价对象证载（地类）用途为工业。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根据《国有土地使用证》[]，估价对象（分摊）出让国有建设用地使用权面积为86802.49平方米。根据《建设工程规划许可证》[]、《出让合同》[]，估价对象规划建筑面积为80808平方米。</v>
      </c>
    </row>
    <row r="21" spans="1:1" ht="18.75">
      <c r="A21" s="1793" t="s">
        <v>2077</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2058年8月29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7月9日，在规划利用条件下、设定土地开发程度为红线外“六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4" sqref="A4"/>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538" t="s">
        <v>2579</v>
      </c>
      <c r="C1" s="3538"/>
      <c r="D1" s="3538"/>
      <c r="E1" s="3538"/>
      <c r="F1" s="3538"/>
      <c r="G1" s="3537" t="s">
        <v>2580</v>
      </c>
      <c r="H1" s="3537"/>
      <c r="I1" s="3537"/>
      <c r="J1" s="3537"/>
      <c r="K1" s="3537"/>
      <c r="L1" s="3537"/>
      <c r="N1" s="3537" t="s">
        <v>2581</v>
      </c>
      <c r="O1" s="3537"/>
      <c r="P1" s="3537"/>
      <c r="Q1" s="3537"/>
      <c r="R1" s="2656"/>
      <c r="S1" s="3537" t="s">
        <v>2582</v>
      </c>
      <c r="T1" s="3537"/>
      <c r="U1" s="3537"/>
      <c r="V1" s="3537"/>
      <c r="X1" s="3536" t="s">
        <v>2642</v>
      </c>
      <c r="Y1" s="3537"/>
      <c r="Z1" s="3537"/>
      <c r="AA1" s="3537"/>
      <c r="AB1" s="3537"/>
      <c r="AD1" s="3536" t="s">
        <v>2646</v>
      </c>
      <c r="AE1" s="3537"/>
      <c r="AF1" s="3537"/>
      <c r="AG1" s="3537"/>
      <c r="AH1" s="3537"/>
    </row>
    <row r="2" spans="1:34" s="2758" customFormat="1" ht="14.25" thickBot="1">
      <c r="B2" s="2766" t="s">
        <v>2583</v>
      </c>
      <c r="C2" s="2766" t="s">
        <v>2644</v>
      </c>
      <c r="D2" s="2759" t="s">
        <v>1645</v>
      </c>
      <c r="E2" s="2759" t="s">
        <v>1952</v>
      </c>
      <c r="F2" s="2766" t="s">
        <v>2645</v>
      </c>
      <c r="G2" s="2762"/>
      <c r="H2" s="2761"/>
      <c r="I2" s="2766" t="s">
        <v>2957</v>
      </c>
      <c r="J2" s="2759" t="s">
        <v>2959</v>
      </c>
      <c r="K2" s="2759" t="s">
        <v>2960</v>
      </c>
      <c r="L2" s="2766" t="s">
        <v>2961</v>
      </c>
      <c r="N2" s="2766" t="s">
        <v>2583</v>
      </c>
      <c r="O2" s="2759" t="s">
        <v>2958</v>
      </c>
      <c r="P2" s="2759" t="s">
        <v>1952</v>
      </c>
      <c r="Q2" s="2766" t="s">
        <v>2645</v>
      </c>
      <c r="R2" s="2760"/>
      <c r="S2" s="2766" t="s">
        <v>2583</v>
      </c>
      <c r="T2" s="2759" t="s">
        <v>2958</v>
      </c>
      <c r="U2" s="2759" t="s">
        <v>1952</v>
      </c>
      <c r="V2" s="2766" t="s">
        <v>2645</v>
      </c>
      <c r="X2" s="2766" t="s">
        <v>2583</v>
      </c>
      <c r="Y2" s="2766" t="s">
        <v>2644</v>
      </c>
      <c r="Z2" s="2759" t="s">
        <v>1645</v>
      </c>
      <c r="AA2" s="2759" t="s">
        <v>1952</v>
      </c>
      <c r="AB2" s="2766" t="s">
        <v>2645</v>
      </c>
      <c r="AD2" s="2766" t="s">
        <v>2583</v>
      </c>
      <c r="AE2" s="2766" t="s">
        <v>2644</v>
      </c>
      <c r="AF2" s="2759" t="s">
        <v>1645</v>
      </c>
      <c r="AG2" s="2759" t="s">
        <v>1952</v>
      </c>
      <c r="AH2" s="2766" t="s">
        <v>2645</v>
      </c>
    </row>
    <row r="3" spans="1:34" s="3134" customFormat="1" ht="14.25">
      <c r="A3" s="3146" t="s">
        <v>2970</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1.4517</v>
      </c>
      <c r="Y3" s="3140">
        <f>ROUND(SUMPRODUCT(PRODUCT(1+O3:O$22)),4)</f>
        <v>1.2928999999999999</v>
      </c>
      <c r="Z3" s="3140">
        <f t="shared" ref="Z3:Z20" si="0">Y3</f>
        <v>1.2928999999999999</v>
      </c>
      <c r="AA3" s="3140">
        <f>ROUND(SUMPRODUCT(PRODUCT(1+P3:P$22)),4)</f>
        <v>1.5068999999999999</v>
      </c>
      <c r="AB3" s="3140">
        <f>ROUND(SUMPRODUCT(PRODUCT(1+Q3:Q$22)),4)</f>
        <v>1.2557</v>
      </c>
      <c r="AD3" s="3141">
        <f>ROUND(AVERAGE(I3:I$23)/100,4)</f>
        <v>2.1600000000000001E-2</v>
      </c>
      <c r="AE3" s="3141">
        <f>ROUND(AVERAGE(J3:J$23)/100,4)</f>
        <v>1.4999999999999999E-2</v>
      </c>
      <c r="AF3" s="3141">
        <f t="shared" ref="AF3:AF21" si="1">AE3</f>
        <v>1.4999999999999999E-2</v>
      </c>
      <c r="AG3" s="3141">
        <f>ROUND(AVERAGE(K3:K$23)/100,4)</f>
        <v>2.3900000000000001E-2</v>
      </c>
      <c r="AH3" s="3141">
        <f>ROUND(AVERAGE(L3:L$23)/100,4)</f>
        <v>1.2800000000000001E-2</v>
      </c>
    </row>
    <row r="4" spans="1:34" s="2751" customFormat="1" ht="14.25">
      <c r="B4" s="2752"/>
      <c r="C4" s="2752"/>
      <c r="D4" s="2753"/>
      <c r="E4" s="2753"/>
      <c r="F4" s="2752"/>
      <c r="G4" s="2757"/>
      <c r="H4" s="2754"/>
      <c r="I4" s="3127"/>
      <c r="J4" s="3127"/>
      <c r="K4" s="3127"/>
      <c r="L4" s="3127"/>
      <c r="N4" s="2757"/>
      <c r="O4" s="2755"/>
      <c r="P4" s="2755"/>
      <c r="Q4" s="2755"/>
      <c r="R4" s="2755"/>
      <c r="S4" s="2757"/>
      <c r="T4" s="2755"/>
      <c r="U4" s="2755"/>
      <c r="V4" s="2755"/>
      <c r="W4" s="3143"/>
      <c r="X4" s="2756"/>
      <c r="Y4" s="2756"/>
      <c r="Z4" s="2756"/>
      <c r="AA4" s="2756"/>
      <c r="AB4" s="2756"/>
      <c r="AD4" s="2676"/>
      <c r="AE4" s="2676"/>
      <c r="AF4" s="2676"/>
      <c r="AG4" s="2676"/>
      <c r="AH4" s="2676"/>
    </row>
    <row r="5" spans="1:34" s="3115" customFormat="1">
      <c r="A5" s="3113" t="s">
        <v>2981</v>
      </c>
      <c r="B5" s="2797">
        <f>B6*(1+N5)</f>
        <v>446.46299999999997</v>
      </c>
      <c r="C5" s="2797">
        <f t="shared" ref="C5" si="2">C6*(1+O5)</f>
        <v>333.27840000000003</v>
      </c>
      <c r="D5" s="2797">
        <f t="shared" ref="D5" si="3">C5</f>
        <v>333.27840000000003</v>
      </c>
      <c r="E5" s="2797">
        <f t="shared" ref="E5" si="4">E6*(1+P5)</f>
        <v>637.28279999999995</v>
      </c>
      <c r="F5" s="2797">
        <f t="shared" ref="F5" si="5">F6*(1+Q5)</f>
        <v>288.68830000000003</v>
      </c>
      <c r="G5" s="2757">
        <v>2018</v>
      </c>
      <c r="H5" s="3114">
        <v>3</v>
      </c>
      <c r="I5" s="3128">
        <v>0</v>
      </c>
      <c r="J5" s="3128">
        <v>0</v>
      </c>
      <c r="K5" s="3128">
        <v>0</v>
      </c>
      <c r="L5" s="3128">
        <v>0</v>
      </c>
      <c r="N5" s="2764">
        <f t="shared" ref="N5" si="6">I5/100</f>
        <v>0</v>
      </c>
      <c r="O5" s="2764">
        <f t="shared" ref="O5" si="7">J5/100</f>
        <v>0</v>
      </c>
      <c r="P5" s="2764">
        <f t="shared" ref="P5" si="8">K5/100</f>
        <v>0</v>
      </c>
      <c r="Q5" s="2764">
        <f t="shared" ref="Q5" si="9">L5/100</f>
        <v>0</v>
      </c>
      <c r="R5" s="3116"/>
      <c r="S5" s="3117"/>
      <c r="T5" s="3116"/>
      <c r="U5" s="3116"/>
      <c r="V5" s="3116"/>
      <c r="W5" s="3144" t="s">
        <v>2971</v>
      </c>
      <c r="X5" s="3118">
        <f>ROUND(SUMPRODUCT(PRODUCT(1+N5:N$22)),4)</f>
        <v>1.4517</v>
      </c>
      <c r="Y5" s="3118">
        <f>ROUND(SUMPRODUCT(PRODUCT(1+O5:O$22)),4)</f>
        <v>1.2928999999999999</v>
      </c>
      <c r="Z5" s="3118">
        <f t="shared" ref="Z5" si="10">Y5</f>
        <v>1.2928999999999999</v>
      </c>
      <c r="AA5" s="3118">
        <f>ROUND(SUMPRODUCT(PRODUCT(1+P5:P$22)),4)</f>
        <v>1.5068999999999999</v>
      </c>
      <c r="AB5" s="3118">
        <f>ROUND(SUMPRODUCT(PRODUCT(1+Q5:Q$22)),4)</f>
        <v>1.2557</v>
      </c>
      <c r="AD5" s="3119">
        <f>ROUND(AVERAGE(I5:I$23)/100,4)</f>
        <v>2.1499999999999998E-2</v>
      </c>
      <c r="AE5" s="3119">
        <f>ROUND(AVERAGE(J5:J$23)/100,4)</f>
        <v>1.49E-2</v>
      </c>
      <c r="AF5" s="3119">
        <f t="shared" ref="AF5" si="11">AE5</f>
        <v>1.49E-2</v>
      </c>
      <c r="AG5" s="3119">
        <f>ROUND(AVERAGE(K5:K$23)/100,4)</f>
        <v>2.3699999999999999E-2</v>
      </c>
      <c r="AH5" s="3119">
        <f>ROUND(AVERAGE(L5:L$23)/100,4)</f>
        <v>1.2800000000000001E-2</v>
      </c>
    </row>
    <row r="6" spans="1:34" s="2763" customFormat="1" ht="13.5" thickBot="1">
      <c r="A6" s="2657" t="s">
        <v>2982</v>
      </c>
      <c r="B6" s="2671">
        <f>B7*(1+N6)</f>
        <v>446.46299999999997</v>
      </c>
      <c r="C6" s="2671">
        <f t="shared" ref="C6" si="12">C7*(1+O6)</f>
        <v>333.27840000000003</v>
      </c>
      <c r="D6" s="2671">
        <f t="shared" ref="D6" si="13">C6</f>
        <v>333.27840000000003</v>
      </c>
      <c r="E6" s="2671">
        <f t="shared" ref="E6" si="14">E7*(1+P6)</f>
        <v>637.28279999999995</v>
      </c>
      <c r="F6" s="2671">
        <f t="shared" ref="F6" si="15">F7*(1+Q6)</f>
        <v>288.68830000000003</v>
      </c>
      <c r="G6" s="3133"/>
      <c r="H6" s="2661">
        <v>2</v>
      </c>
      <c r="I6" s="2661">
        <v>0</v>
      </c>
      <c r="J6" s="2661">
        <v>0</v>
      </c>
      <c r="K6" s="2661">
        <v>0</v>
      </c>
      <c r="L6" s="2672">
        <v>0</v>
      </c>
      <c r="M6" s="2665"/>
      <c r="N6" s="2666">
        <f t="shared" ref="N6" si="16">I6/100</f>
        <v>0</v>
      </c>
      <c r="O6" s="2667">
        <f t="shared" ref="O6" si="17">J6/100</f>
        <v>0</v>
      </c>
      <c r="P6" s="2667">
        <f t="shared" ref="P6" si="18">K6/100</f>
        <v>0</v>
      </c>
      <c r="Q6" s="2667">
        <f t="shared" ref="Q6" si="19">L6/100</f>
        <v>0</v>
      </c>
      <c r="R6" s="2668"/>
      <c r="S6" s="2674"/>
      <c r="T6" s="2675"/>
      <c r="U6" s="2675"/>
      <c r="V6" s="2675"/>
      <c r="W6" s="2665"/>
      <c r="X6" s="2756">
        <f>ROUND(SUMPRODUCT(PRODUCT(1+N6:N$22)),4)</f>
        <v>1.4517</v>
      </c>
      <c r="Y6" s="2756">
        <f>ROUND(SUMPRODUCT(PRODUCT(1+O6:O$22)),4)</f>
        <v>1.2928999999999999</v>
      </c>
      <c r="Z6" s="2756">
        <f t="shared" ref="Z6" si="20">Y6</f>
        <v>1.2928999999999999</v>
      </c>
      <c r="AA6" s="2756">
        <f>ROUND(SUMPRODUCT(PRODUCT(1+P6:P$22)),4)</f>
        <v>1.5068999999999999</v>
      </c>
      <c r="AB6" s="2756">
        <f>ROUND(SUMPRODUCT(PRODUCT(1+Q6:Q$22)),4)</f>
        <v>1.2557</v>
      </c>
      <c r="AC6" s="2665"/>
      <c r="AD6" s="2676">
        <f>ROUND(AVERAGE(I6:I$23)/100,4)</f>
        <v>2.2700000000000001E-2</v>
      </c>
      <c r="AE6" s="2676">
        <f>ROUND(AVERAGE(J6:J$23)/100,4)</f>
        <v>1.5699999999999999E-2</v>
      </c>
      <c r="AF6" s="2676">
        <f t="shared" ref="AF6" si="21">AE6</f>
        <v>1.5699999999999999E-2</v>
      </c>
      <c r="AG6" s="2676">
        <f>ROUND(AVERAGE(K6:K$23)/100,4)</f>
        <v>2.5000000000000001E-2</v>
      </c>
      <c r="AH6" s="2676">
        <f>ROUND(AVERAGE(L6:L$23)/100,4)</f>
        <v>1.35E-2</v>
      </c>
    </row>
    <row r="7" spans="1:34" s="2763" customFormat="1" ht="13.5" thickBot="1">
      <c r="A7" s="2657" t="s">
        <v>2977</v>
      </c>
      <c r="B7" s="2671">
        <f>B8*(1+N7)</f>
        <v>446.46299999999997</v>
      </c>
      <c r="C7" s="2671">
        <f t="shared" ref="C7" si="22">C8*(1+O7)</f>
        <v>333.27840000000003</v>
      </c>
      <c r="D7" s="2671">
        <f t="shared" ref="D7:D12" si="23">C7</f>
        <v>333.27840000000003</v>
      </c>
      <c r="E7" s="2671">
        <f t="shared" ref="E7" si="24">E8*(1+P7)</f>
        <v>637.28279999999995</v>
      </c>
      <c r="F7" s="2671">
        <f t="shared" ref="F7" si="25">F8*(1+Q7)</f>
        <v>288.68830000000003</v>
      </c>
      <c r="G7" s="3133"/>
      <c r="H7" s="2661">
        <v>1</v>
      </c>
      <c r="I7" s="2661">
        <v>1.7</v>
      </c>
      <c r="J7" s="2661">
        <v>1.92</v>
      </c>
      <c r="K7" s="2661">
        <v>1.64</v>
      </c>
      <c r="L7" s="2672">
        <v>2.0099999999999998</v>
      </c>
      <c r="M7" s="2665"/>
      <c r="N7" s="2666">
        <f t="shared" ref="N7:N12" si="26">I7/100</f>
        <v>1.7000000000000001E-2</v>
      </c>
      <c r="O7" s="2667">
        <f t="shared" ref="O7" si="27">J7/100</f>
        <v>1.9199999999999998E-2</v>
      </c>
      <c r="P7" s="2667">
        <f t="shared" ref="P7" si="28">K7/100</f>
        <v>1.6399999999999998E-2</v>
      </c>
      <c r="Q7" s="2667">
        <f t="shared" ref="Q7" si="29">L7/100</f>
        <v>2.0099999999999996E-2</v>
      </c>
      <c r="R7" s="2668"/>
      <c r="S7" s="2674">
        <f>B7/B8-1</f>
        <v>1.6999999999999904E-2</v>
      </c>
      <c r="T7" s="2675">
        <f>C7/C8-1</f>
        <v>1.9200000000000106E-2</v>
      </c>
      <c r="U7" s="2675">
        <f>E7/E8-1</f>
        <v>1.639999999999997E-2</v>
      </c>
      <c r="V7" s="2675">
        <f>F7/F8-1</f>
        <v>2.0100000000000007E-2</v>
      </c>
      <c r="W7" s="2665"/>
      <c r="X7" s="2756">
        <f>ROUND(SUMPRODUCT(PRODUCT(1+N7:N$22)),4)</f>
        <v>1.4517</v>
      </c>
      <c r="Y7" s="2756">
        <f>ROUND(SUMPRODUCT(PRODUCT(1+O7:O$22)),4)</f>
        <v>1.2928999999999999</v>
      </c>
      <c r="Z7" s="2756">
        <f t="shared" ref="Z7" si="30">Y7</f>
        <v>1.2928999999999999</v>
      </c>
      <c r="AA7" s="2756">
        <f>ROUND(SUMPRODUCT(PRODUCT(1+P7:P$22)),4)</f>
        <v>1.5068999999999999</v>
      </c>
      <c r="AB7" s="2756">
        <f>ROUND(SUMPRODUCT(PRODUCT(1+Q7:Q$22)),4)</f>
        <v>1.2557</v>
      </c>
      <c r="AC7" s="2665"/>
      <c r="AD7" s="2676">
        <f>ROUND(AVERAGE(I7:I$23)/100,4)</f>
        <v>2.4E-2</v>
      </c>
      <c r="AE7" s="2676">
        <f>ROUND(AVERAGE(J7:J$23)/100,4)</f>
        <v>1.66E-2</v>
      </c>
      <c r="AF7" s="2676">
        <f t="shared" ref="AF7" si="31">AE7</f>
        <v>1.66E-2</v>
      </c>
      <c r="AG7" s="2676">
        <f>ROUND(AVERAGE(K7:K$23)/100,4)</f>
        <v>2.6499999999999999E-2</v>
      </c>
      <c r="AH7" s="2676">
        <f>ROUND(AVERAGE(L7:L$23)/100,4)</f>
        <v>1.43E-2</v>
      </c>
    </row>
    <row r="8" spans="1:34">
      <c r="A8" s="2657" t="s">
        <v>2968</v>
      </c>
      <c r="B8" s="3148">
        <v>439</v>
      </c>
      <c r="C8" s="3148">
        <v>327</v>
      </c>
      <c r="D8" s="3148">
        <f t="shared" si="23"/>
        <v>327</v>
      </c>
      <c r="E8" s="3148">
        <v>627</v>
      </c>
      <c r="F8" s="3149">
        <v>283</v>
      </c>
      <c r="G8" s="3131">
        <v>2017</v>
      </c>
      <c r="H8" s="2658">
        <v>4</v>
      </c>
      <c r="I8" s="2658">
        <v>1.71</v>
      </c>
      <c r="J8" s="2658">
        <v>1.78</v>
      </c>
      <c r="K8" s="2658">
        <v>1.71</v>
      </c>
      <c r="L8" s="2659">
        <v>1.43</v>
      </c>
      <c r="N8" s="2666">
        <f t="shared" si="26"/>
        <v>1.7100000000000001E-2</v>
      </c>
      <c r="O8" s="2667">
        <f t="shared" ref="O8" si="32">J8/100</f>
        <v>1.78E-2</v>
      </c>
      <c r="P8" s="2667">
        <f t="shared" ref="P8" si="33">K8/100</f>
        <v>1.7100000000000001E-2</v>
      </c>
      <c r="Q8" s="2667">
        <f t="shared" ref="Q8" si="34">L8/100</f>
        <v>1.43E-2</v>
      </c>
      <c r="R8" s="2668"/>
      <c r="S8" s="2669"/>
      <c r="T8" s="2670"/>
      <c r="U8" s="2670"/>
      <c r="V8" s="2670"/>
      <c r="X8" s="2756">
        <f>ROUND(SUMPRODUCT(PRODUCT(1+N8:N$22)),4)</f>
        <v>1.4274</v>
      </c>
      <c r="Y8" s="2756">
        <f>ROUND(SUMPRODUCT(PRODUCT(1+O8:O$22)),4)</f>
        <v>1.2685</v>
      </c>
      <c r="Z8" s="2756">
        <f t="shared" si="0"/>
        <v>1.2685</v>
      </c>
      <c r="AA8" s="2756">
        <f>ROUND(SUMPRODUCT(PRODUCT(1+P8:P$22)),4)</f>
        <v>1.4825999999999999</v>
      </c>
      <c r="AB8" s="2756">
        <f>ROUND(SUMPRODUCT(PRODUCT(1+Q8:Q$22)),4)</f>
        <v>1.2309000000000001</v>
      </c>
      <c r="AD8" s="2676">
        <f>ROUND(AVERAGE(I8:I$23)/100,4)</f>
        <v>2.4500000000000001E-2</v>
      </c>
      <c r="AE8" s="2676">
        <f>ROUND(AVERAGE(J8:J$23)/100,4)</f>
        <v>1.6500000000000001E-2</v>
      </c>
      <c r="AF8" s="2676">
        <f t="shared" si="1"/>
        <v>1.6500000000000001E-2</v>
      </c>
      <c r="AG8" s="2676">
        <f>ROUND(AVERAGE(K8:K$23)/100,4)</f>
        <v>2.7099999999999999E-2</v>
      </c>
      <c r="AH8" s="2676">
        <f>ROUND(AVERAGE(L8:L$23)/100,4)</f>
        <v>1.3899999999999999E-2</v>
      </c>
    </row>
    <row r="9" spans="1:34" s="2763" customFormat="1" ht="13.5" thickBot="1">
      <c r="A9" s="2657" t="s">
        <v>2972</v>
      </c>
      <c r="B9" s="2671">
        <f t="shared" ref="B9:C11" si="35">B10*(1+N9)</f>
        <v>431.80730811680002</v>
      </c>
      <c r="C9" s="2671">
        <f t="shared" si="35"/>
        <v>320.57880516480003</v>
      </c>
      <c r="D9" s="2671">
        <f t="shared" si="23"/>
        <v>320.57880516480003</v>
      </c>
      <c r="E9" s="2671">
        <f t="shared" ref="E9:F11" si="36">E10*(1+P9)</f>
        <v>615.96110553196797</v>
      </c>
      <c r="F9" s="2671">
        <f t="shared" si="36"/>
        <v>279.46777300108801</v>
      </c>
      <c r="G9" s="3133"/>
      <c r="H9" s="2661">
        <v>3</v>
      </c>
      <c r="I9" s="2661">
        <v>2.98</v>
      </c>
      <c r="J9" s="2661">
        <v>2.11</v>
      </c>
      <c r="K9" s="2661">
        <v>3.24</v>
      </c>
      <c r="L9" s="2672">
        <v>1.72</v>
      </c>
      <c r="M9" s="2665"/>
      <c r="N9" s="2666">
        <f t="shared" si="26"/>
        <v>2.98E-2</v>
      </c>
      <c r="O9" s="2667">
        <f t="shared" ref="O9:O10" si="37">J9/100</f>
        <v>2.1099999999999997E-2</v>
      </c>
      <c r="P9" s="2667">
        <f t="shared" ref="P9:P10" si="38">K9/100</f>
        <v>3.2400000000000005E-2</v>
      </c>
      <c r="Q9" s="2667">
        <f t="shared" ref="Q9:Q10" si="39">L9/100</f>
        <v>1.72E-2</v>
      </c>
      <c r="R9" s="2668"/>
      <c r="S9" s="2674"/>
      <c r="T9" s="2675"/>
      <c r="U9" s="2675"/>
      <c r="V9" s="2675"/>
      <c r="W9" s="2665"/>
      <c r="X9" s="2756">
        <f>ROUND(SUMPRODUCT(PRODUCT(1+N9:N$22)),4)</f>
        <v>1.4034</v>
      </c>
      <c r="Y9" s="2756">
        <f>ROUND(SUMPRODUCT(PRODUCT(1+O9:O$22)),4)</f>
        <v>1.2463</v>
      </c>
      <c r="Z9" s="2756">
        <f t="shared" si="0"/>
        <v>1.2463</v>
      </c>
      <c r="AA9" s="2756">
        <f>ROUND(SUMPRODUCT(PRODUCT(1+P9:P$22)),4)</f>
        <v>1.4577</v>
      </c>
      <c r="AB9" s="2756">
        <f>ROUND(SUMPRODUCT(PRODUCT(1+Q9:Q$22)),4)</f>
        <v>1.2136</v>
      </c>
      <c r="AC9" s="2665"/>
      <c r="AD9" s="2676">
        <f>ROUND(AVERAGE(I9:I$23)/100,4)</f>
        <v>2.4899999999999999E-2</v>
      </c>
      <c r="AE9" s="2676">
        <f>ROUND(AVERAGE(J9:J$23)/100,4)</f>
        <v>1.6400000000000001E-2</v>
      </c>
      <c r="AF9" s="2676">
        <f t="shared" si="1"/>
        <v>1.6400000000000001E-2</v>
      </c>
      <c r="AG9" s="2676">
        <f>ROUND(AVERAGE(K9:K$23)/100,4)</f>
        <v>2.7799999999999998E-2</v>
      </c>
      <c r="AH9" s="2676">
        <f>ROUND(AVERAGE(L9:L$23)/100,4)</f>
        <v>1.3899999999999999E-2</v>
      </c>
    </row>
    <row r="10" spans="1:34" s="2655" customFormat="1">
      <c r="A10" s="2657" t="s">
        <v>2584</v>
      </c>
      <c r="B10" s="2671">
        <f t="shared" si="35"/>
        <v>419.31181600000002</v>
      </c>
      <c r="C10" s="2671">
        <f t="shared" si="35"/>
        <v>313.95436800000004</v>
      </c>
      <c r="D10" s="2671">
        <f t="shared" si="23"/>
        <v>313.95436800000004</v>
      </c>
      <c r="E10" s="2671">
        <f t="shared" si="36"/>
        <v>596.63028431999999</v>
      </c>
      <c r="F10" s="2671">
        <f t="shared" si="36"/>
        <v>274.74220703999998</v>
      </c>
      <c r="G10" s="3132"/>
      <c r="H10" s="2662">
        <v>2</v>
      </c>
      <c r="I10" s="2662">
        <v>3.4</v>
      </c>
      <c r="J10" s="2662">
        <v>2</v>
      </c>
      <c r="K10" s="2662">
        <v>3.82</v>
      </c>
      <c r="L10" s="2673">
        <v>1.68</v>
      </c>
      <c r="N10" s="2666">
        <f t="shared" si="26"/>
        <v>3.4000000000000002E-2</v>
      </c>
      <c r="O10" s="2667">
        <f t="shared" si="37"/>
        <v>0.02</v>
      </c>
      <c r="P10" s="2667">
        <f t="shared" si="38"/>
        <v>3.8199999999999998E-2</v>
      </c>
      <c r="Q10" s="2667">
        <f t="shared" si="39"/>
        <v>1.6799999999999999E-2</v>
      </c>
      <c r="R10" s="2656"/>
      <c r="S10" s="2660"/>
      <c r="T10" s="2656"/>
      <c r="U10" s="2656"/>
      <c r="V10" s="2656"/>
      <c r="X10" s="2756">
        <f>ROUND(SUMPRODUCT(PRODUCT(1+N10:N$22)),4)</f>
        <v>1.3628</v>
      </c>
      <c r="Y10" s="2756">
        <f>ROUND(SUMPRODUCT(PRODUCT(1+O10:O$22)),4)</f>
        <v>1.2205999999999999</v>
      </c>
      <c r="Z10" s="2756">
        <f t="shared" si="0"/>
        <v>1.2205999999999999</v>
      </c>
      <c r="AA10" s="2756">
        <f>ROUND(SUMPRODUCT(PRODUCT(1+P10:P$22)),4)</f>
        <v>1.4118999999999999</v>
      </c>
      <c r="AB10" s="2756">
        <f>ROUND(SUMPRODUCT(PRODUCT(1+Q10:Q$22)),4)</f>
        <v>1.1930000000000001</v>
      </c>
      <c r="AD10" s="2676">
        <f>ROUND(AVERAGE(I10:I$23)/100,4)</f>
        <v>2.46E-2</v>
      </c>
      <c r="AE10" s="2676">
        <f>ROUND(AVERAGE(J10:J$23)/100,4)</f>
        <v>1.6E-2</v>
      </c>
      <c r="AF10" s="2676">
        <f t="shared" si="1"/>
        <v>1.6E-2</v>
      </c>
      <c r="AG10" s="2676">
        <f>ROUND(AVERAGE(K10:K$23)/100,4)</f>
        <v>2.75E-2</v>
      </c>
      <c r="AH10" s="2676">
        <f>ROUND(AVERAGE(L10:L$23)/100,4)</f>
        <v>1.37E-2</v>
      </c>
    </row>
    <row r="11" spans="1:34" s="2763" customFormat="1" ht="13.5" thickBot="1">
      <c r="A11" s="2657" t="s">
        <v>2585</v>
      </c>
      <c r="B11" s="2671">
        <f t="shared" si="35"/>
        <v>405.524</v>
      </c>
      <c r="C11" s="2671">
        <f t="shared" si="35"/>
        <v>307.79840000000002</v>
      </c>
      <c r="D11" s="2671">
        <f t="shared" si="23"/>
        <v>307.79840000000002</v>
      </c>
      <c r="E11" s="2671">
        <f t="shared" si="36"/>
        <v>574.67759999999998</v>
      </c>
      <c r="F11" s="2671">
        <f t="shared" si="36"/>
        <v>270.20280000000002</v>
      </c>
      <c r="G11" s="3133"/>
      <c r="H11" s="2661">
        <v>1</v>
      </c>
      <c r="I11" s="2661">
        <v>3.45</v>
      </c>
      <c r="J11" s="2661">
        <v>1.92</v>
      </c>
      <c r="K11" s="2661">
        <v>3.92</v>
      </c>
      <c r="L11" s="2672">
        <v>1.58</v>
      </c>
      <c r="M11" s="2665"/>
      <c r="N11" s="2666">
        <f t="shared" si="26"/>
        <v>3.4500000000000003E-2</v>
      </c>
      <c r="O11" s="2667">
        <f t="shared" ref="O11" si="40">J11/100</f>
        <v>1.9199999999999998E-2</v>
      </c>
      <c r="P11" s="2667">
        <f t="shared" ref="P11" si="41">K11/100</f>
        <v>3.9199999999999999E-2</v>
      </c>
      <c r="Q11" s="2667">
        <f t="shared" ref="Q11" si="42">L11/100</f>
        <v>1.5800000000000002E-2</v>
      </c>
      <c r="R11" s="2668"/>
      <c r="S11" s="2674">
        <f>B11/B12-1</f>
        <v>3.4499999999999975E-2</v>
      </c>
      <c r="T11" s="2675">
        <f>C11/C12-1</f>
        <v>1.9200000000000106E-2</v>
      </c>
      <c r="U11" s="2675">
        <f>E11/E12-1</f>
        <v>3.9199999999999902E-2</v>
      </c>
      <c r="V11" s="2675">
        <f>F11/F12-1</f>
        <v>1.5800000000000036E-2</v>
      </c>
      <c r="W11" s="2665"/>
      <c r="X11" s="2756">
        <f>ROUND(SUMPRODUCT(PRODUCT(1+N11:N$22)),4)</f>
        <v>1.3180000000000001</v>
      </c>
      <c r="Y11" s="2756">
        <f>ROUND(SUMPRODUCT(PRODUCT(1+O11:O$22)),4)</f>
        <v>1.1966000000000001</v>
      </c>
      <c r="Z11" s="2756">
        <f t="shared" si="0"/>
        <v>1.1966000000000001</v>
      </c>
      <c r="AA11" s="2756">
        <f>ROUND(SUMPRODUCT(PRODUCT(1+P11:P$22)),4)</f>
        <v>1.36</v>
      </c>
      <c r="AB11" s="2756">
        <f>ROUND(SUMPRODUCT(PRODUCT(1+Q11:Q$22)),4)</f>
        <v>1.1733</v>
      </c>
      <c r="AC11" s="2665"/>
      <c r="AD11" s="2676">
        <f>ROUND(AVERAGE(I11:I$23)/100,4)</f>
        <v>2.3900000000000001E-2</v>
      </c>
      <c r="AE11" s="2676">
        <f>ROUND(AVERAGE(J11:J$23)/100,4)</f>
        <v>1.5699999999999999E-2</v>
      </c>
      <c r="AF11" s="2676">
        <f t="shared" si="1"/>
        <v>1.5699999999999999E-2</v>
      </c>
      <c r="AG11" s="2676">
        <f>ROUND(AVERAGE(K11:K$23)/100,4)</f>
        <v>2.6599999999999999E-2</v>
      </c>
      <c r="AH11" s="2676">
        <f>ROUND(AVERAGE(L11:L$23)/100,4)</f>
        <v>1.34E-2</v>
      </c>
    </row>
    <row r="12" spans="1:34">
      <c r="A12" s="2657" t="s">
        <v>971</v>
      </c>
      <c r="B12" s="2663">
        <v>392</v>
      </c>
      <c r="C12" s="2663">
        <v>302</v>
      </c>
      <c r="D12" s="2663">
        <f t="shared" si="23"/>
        <v>302</v>
      </c>
      <c r="E12" s="2663">
        <v>553</v>
      </c>
      <c r="F12" s="2664">
        <v>266</v>
      </c>
      <c r="G12" s="3535">
        <v>2016</v>
      </c>
      <c r="H12" s="2658">
        <v>4</v>
      </c>
      <c r="I12" s="2658">
        <v>4.5599999999999996</v>
      </c>
      <c r="J12" s="2658">
        <v>2.15</v>
      </c>
      <c r="K12" s="2658">
        <v>5.32</v>
      </c>
      <c r="L12" s="2659">
        <v>1.57</v>
      </c>
      <c r="N12" s="2666">
        <f t="shared" si="26"/>
        <v>4.5599999999999995E-2</v>
      </c>
      <c r="O12" s="2667">
        <f t="shared" ref="O12:Q27" si="43">J12/100</f>
        <v>2.1499999999999998E-2</v>
      </c>
      <c r="P12" s="2667">
        <f t="shared" si="43"/>
        <v>5.3200000000000004E-2</v>
      </c>
      <c r="Q12" s="2667">
        <f t="shared" si="43"/>
        <v>1.5700000000000002E-2</v>
      </c>
      <c r="R12" s="2668"/>
      <c r="S12" s="2669"/>
      <c r="T12" s="2670"/>
      <c r="U12" s="2670"/>
      <c r="V12" s="2670"/>
      <c r="X12" s="2756">
        <f>ROUND(SUMPRODUCT(PRODUCT(1+N12:N$22)),4)</f>
        <v>1.274</v>
      </c>
      <c r="Y12" s="2756">
        <f>ROUND(SUMPRODUCT(PRODUCT(1+O12:O$22)),4)</f>
        <v>1.1740999999999999</v>
      </c>
      <c r="Z12" s="2756">
        <f t="shared" si="0"/>
        <v>1.1740999999999999</v>
      </c>
      <c r="AA12" s="2756">
        <f>ROUND(SUMPRODUCT(PRODUCT(1+P12:P$22)),4)</f>
        <v>1.3087</v>
      </c>
      <c r="AB12" s="2756">
        <f>ROUND(SUMPRODUCT(PRODUCT(1+Q12:Q$22)),4)</f>
        <v>1.1551</v>
      </c>
      <c r="AD12" s="2676">
        <f>ROUND(AVERAGE(I12:I$23)/100,4)</f>
        <v>2.3E-2</v>
      </c>
      <c r="AE12" s="2676">
        <f>ROUND(AVERAGE(J12:J$23)/100,4)</f>
        <v>1.55E-2</v>
      </c>
      <c r="AF12" s="2676">
        <f t="shared" si="1"/>
        <v>1.55E-2</v>
      </c>
      <c r="AG12" s="2676">
        <f>ROUND(AVERAGE(K12:K$23)/100,4)</f>
        <v>2.5600000000000001E-2</v>
      </c>
      <c r="AH12" s="2676">
        <f>ROUND(AVERAGE(L12:L$23)/100,4)</f>
        <v>1.32E-2</v>
      </c>
    </row>
    <row r="13" spans="1:34">
      <c r="A13" s="2657" t="s">
        <v>970</v>
      </c>
      <c r="B13" s="2671">
        <f t="shared" ref="B13:C15" si="44">B12/(1+N12)</f>
        <v>374.90436113236416</v>
      </c>
      <c r="C13" s="2671">
        <f t="shared" si="44"/>
        <v>295.64366128242779</v>
      </c>
      <c r="D13" s="2671">
        <f t="shared" ref="D13:D72" si="45">C13</f>
        <v>295.64366128242779</v>
      </c>
      <c r="E13" s="2671">
        <f t="shared" ref="E13:F15" si="46">E12/(1+P12)</f>
        <v>525.06646410938095</v>
      </c>
      <c r="F13" s="2671">
        <f t="shared" si="46"/>
        <v>261.88835286009646</v>
      </c>
      <c r="G13" s="3533"/>
      <c r="H13" s="2661">
        <v>3</v>
      </c>
      <c r="I13" s="2661">
        <v>4.12</v>
      </c>
      <c r="J13" s="2661">
        <v>2</v>
      </c>
      <c r="K13" s="2661">
        <v>4.79</v>
      </c>
      <c r="L13" s="2672">
        <v>1.97</v>
      </c>
      <c r="N13" s="2666">
        <f t="shared" ref="N13:Q47" si="47">I13/100</f>
        <v>4.1200000000000001E-2</v>
      </c>
      <c r="O13" s="2667">
        <f t="shared" si="43"/>
        <v>0.02</v>
      </c>
      <c r="P13" s="2667">
        <f t="shared" si="43"/>
        <v>4.7899999999999998E-2</v>
      </c>
      <c r="Q13" s="2667">
        <f t="shared" si="43"/>
        <v>1.9699999999999999E-2</v>
      </c>
      <c r="R13" s="2668"/>
      <c r="S13" s="2666"/>
      <c r="T13" s="2667"/>
      <c r="U13" s="2667"/>
      <c r="V13" s="2667"/>
      <c r="X13" s="2756">
        <f>ROUND(SUMPRODUCT(PRODUCT(1+N13:N$22)),4)</f>
        <v>1.2184999999999999</v>
      </c>
      <c r="Y13" s="2756">
        <f>ROUND(SUMPRODUCT(PRODUCT(1+O13:O$22)),4)</f>
        <v>1.1494</v>
      </c>
      <c r="Z13" s="2756">
        <f t="shared" si="0"/>
        <v>1.1494</v>
      </c>
      <c r="AA13" s="2756">
        <f>ROUND(SUMPRODUCT(PRODUCT(1+P13:P$22)),4)</f>
        <v>1.2425999999999999</v>
      </c>
      <c r="AB13" s="2756">
        <f>ROUND(SUMPRODUCT(PRODUCT(1+Q13:Q$22)),4)</f>
        <v>1.1372</v>
      </c>
      <c r="AD13" s="2676">
        <f>ROUND(AVERAGE(I13:I$23)/100,4)</f>
        <v>2.0899999999999998E-2</v>
      </c>
      <c r="AE13" s="2676">
        <f>ROUND(AVERAGE(J13:J$23)/100,4)</f>
        <v>1.49E-2</v>
      </c>
      <c r="AF13" s="2676">
        <f t="shared" si="1"/>
        <v>1.49E-2</v>
      </c>
      <c r="AG13" s="2676">
        <f>ROUND(AVERAGE(K13:K$23)/100,4)</f>
        <v>2.3099999999999999E-2</v>
      </c>
      <c r="AH13" s="2676">
        <f>ROUND(AVERAGE(L13:L$23)/100,4)</f>
        <v>1.2999999999999999E-2</v>
      </c>
    </row>
    <row r="14" spans="1:34">
      <c r="A14" s="2657" t="s">
        <v>960</v>
      </c>
      <c r="B14" s="2671">
        <f t="shared" si="44"/>
        <v>360.06949782209392</v>
      </c>
      <c r="C14" s="2671">
        <f t="shared" si="44"/>
        <v>289.84672674747821</v>
      </c>
      <c r="D14" s="2671">
        <f t="shared" si="45"/>
        <v>289.84672674747821</v>
      </c>
      <c r="E14" s="2671">
        <f t="shared" si="46"/>
        <v>501.06543001181495</v>
      </c>
      <c r="F14" s="2671">
        <f t="shared" si="46"/>
        <v>256.82882500744967</v>
      </c>
      <c r="G14" s="3533"/>
      <c r="H14" s="2662">
        <v>2</v>
      </c>
      <c r="I14" s="2662">
        <v>3.85</v>
      </c>
      <c r="J14" s="2662">
        <v>1.95</v>
      </c>
      <c r="K14" s="2662">
        <v>4.4800000000000004</v>
      </c>
      <c r="L14" s="2673">
        <v>1.41</v>
      </c>
      <c r="N14" s="2666">
        <f t="shared" si="47"/>
        <v>3.85E-2</v>
      </c>
      <c r="O14" s="2667">
        <f t="shared" si="43"/>
        <v>1.95E-2</v>
      </c>
      <c r="P14" s="2667">
        <f t="shared" si="43"/>
        <v>4.4800000000000006E-2</v>
      </c>
      <c r="Q14" s="2667">
        <f t="shared" si="43"/>
        <v>1.41E-2</v>
      </c>
      <c r="R14" s="2668"/>
      <c r="S14" s="2666"/>
      <c r="T14" s="2667"/>
      <c r="U14" s="2667"/>
      <c r="V14" s="2667"/>
      <c r="X14" s="2756">
        <f>ROUND(SUMPRODUCT(PRODUCT(1+N14:N$22)),4)</f>
        <v>1.1702999999999999</v>
      </c>
      <c r="Y14" s="2756">
        <f>ROUND(SUMPRODUCT(PRODUCT(1+O14:O$22)),4)</f>
        <v>1.1269</v>
      </c>
      <c r="Z14" s="2756">
        <f t="shared" si="0"/>
        <v>1.1269</v>
      </c>
      <c r="AA14" s="2756">
        <f>ROUND(SUMPRODUCT(PRODUCT(1+P14:P$22)),4)</f>
        <v>1.1858</v>
      </c>
      <c r="AB14" s="2756">
        <f>ROUND(SUMPRODUCT(PRODUCT(1+Q14:Q$22)),4)</f>
        <v>1.1152</v>
      </c>
      <c r="AD14" s="2676">
        <f>ROUND(AVERAGE(I14:I$23)/100,4)</f>
        <v>1.89E-2</v>
      </c>
      <c r="AE14" s="2676">
        <f>ROUND(AVERAGE(J14:J$23)/100,4)</f>
        <v>1.44E-2</v>
      </c>
      <c r="AF14" s="2676">
        <f t="shared" si="1"/>
        <v>1.44E-2</v>
      </c>
      <c r="AG14" s="2676">
        <f>ROUND(AVERAGE(K14:K$23)/100,4)</f>
        <v>2.06E-2</v>
      </c>
      <c r="AH14" s="2676">
        <f>ROUND(AVERAGE(L14:L$23)/100,4)</f>
        <v>1.23E-2</v>
      </c>
    </row>
    <row r="15" spans="1:34" ht="13.5" thickBot="1">
      <c r="A15" s="2657" t="s">
        <v>969</v>
      </c>
      <c r="B15" s="2671">
        <f t="shared" si="44"/>
        <v>346.720748986128</v>
      </c>
      <c r="C15" s="2671">
        <f t="shared" si="44"/>
        <v>284.30282172386285</v>
      </c>
      <c r="D15" s="2671">
        <f t="shared" si="45"/>
        <v>284.30282172386285</v>
      </c>
      <c r="E15" s="2671">
        <f t="shared" si="46"/>
        <v>479.58023546306947</v>
      </c>
      <c r="F15" s="2671">
        <f t="shared" si="46"/>
        <v>253.25788877571213</v>
      </c>
      <c r="G15" s="3534"/>
      <c r="H15" s="2661">
        <v>1</v>
      </c>
      <c r="I15" s="2661">
        <v>4.09</v>
      </c>
      <c r="J15" s="2661">
        <v>2.93</v>
      </c>
      <c r="K15" s="2661">
        <v>4.54</v>
      </c>
      <c r="L15" s="2672">
        <v>1.48</v>
      </c>
      <c r="N15" s="2666">
        <f t="shared" si="47"/>
        <v>4.0899999999999999E-2</v>
      </c>
      <c r="O15" s="2667">
        <f t="shared" si="43"/>
        <v>2.9300000000000003E-2</v>
      </c>
      <c r="P15" s="2667">
        <f t="shared" si="43"/>
        <v>4.5400000000000003E-2</v>
      </c>
      <c r="Q15" s="2667">
        <f t="shared" si="43"/>
        <v>1.4800000000000001E-2</v>
      </c>
      <c r="R15" s="2668"/>
      <c r="S15" s="2674">
        <f>B15/B16-1</f>
        <v>4.1203450408792808E-2</v>
      </c>
      <c r="T15" s="2675">
        <f>C15/C16-1</f>
        <v>2.6363977342465095E-2</v>
      </c>
      <c r="U15" s="2675">
        <f>E15/E16-1</f>
        <v>4.4837114298626357E-2</v>
      </c>
      <c r="V15" s="2675">
        <f>F15/F16-1</f>
        <v>1.7099954922538574E-2</v>
      </c>
      <c r="X15" s="2756">
        <f>ROUND(SUMPRODUCT(PRODUCT(1+N15:N$22)),4)</f>
        <v>1.1269</v>
      </c>
      <c r="Y15" s="2756">
        <f>ROUND(SUMPRODUCT(PRODUCT(1+O15:O$22)),4)</f>
        <v>1.1052999999999999</v>
      </c>
      <c r="Z15" s="2756">
        <f t="shared" si="0"/>
        <v>1.1052999999999999</v>
      </c>
      <c r="AA15" s="2756">
        <f>ROUND(SUMPRODUCT(PRODUCT(1+P15:P$22)),4)</f>
        <v>1.1349</v>
      </c>
      <c r="AB15" s="2756">
        <f>ROUND(SUMPRODUCT(PRODUCT(1+Q15:Q$22)),4)</f>
        <v>1.0996999999999999</v>
      </c>
      <c r="AD15" s="2676">
        <f>ROUND(AVERAGE(I15:I$23)/100,4)</f>
        <v>1.67E-2</v>
      </c>
      <c r="AE15" s="2676">
        <f>ROUND(AVERAGE(J15:J$23)/100,4)</f>
        <v>1.38E-2</v>
      </c>
      <c r="AF15" s="2676">
        <f t="shared" si="1"/>
        <v>1.38E-2</v>
      </c>
      <c r="AG15" s="2676">
        <f>ROUND(AVERAGE(K15:K$23)/100,4)</f>
        <v>1.7899999999999999E-2</v>
      </c>
      <c r="AH15" s="2676">
        <f>ROUND(AVERAGE(L15:L$23)/100,4)</f>
        <v>1.21E-2</v>
      </c>
    </row>
    <row r="16" spans="1:34" ht="13.5" thickBot="1">
      <c r="A16" s="2657" t="s">
        <v>968</v>
      </c>
      <c r="B16" s="2663">
        <v>333</v>
      </c>
      <c r="C16" s="2663">
        <v>277</v>
      </c>
      <c r="D16" s="2663">
        <f t="shared" si="45"/>
        <v>277</v>
      </c>
      <c r="E16" s="2663">
        <v>459</v>
      </c>
      <c r="F16" s="2664">
        <v>249</v>
      </c>
      <c r="G16" s="3532">
        <v>2015</v>
      </c>
      <c r="H16" s="2677">
        <v>4</v>
      </c>
      <c r="I16" s="2677">
        <v>1.63</v>
      </c>
      <c r="J16" s="2677">
        <v>1.1100000000000001</v>
      </c>
      <c r="K16" s="2677">
        <v>1.77</v>
      </c>
      <c r="L16" s="2678">
        <v>1.89</v>
      </c>
      <c r="N16" s="2679">
        <f t="shared" si="47"/>
        <v>1.6299999999999999E-2</v>
      </c>
      <c r="O16" s="2680">
        <f t="shared" si="43"/>
        <v>1.11E-2</v>
      </c>
      <c r="P16" s="2680">
        <f t="shared" si="43"/>
        <v>1.77E-2</v>
      </c>
      <c r="Q16" s="2680">
        <f t="shared" si="43"/>
        <v>1.89E-2</v>
      </c>
      <c r="R16" s="2668"/>
      <c r="X16" s="2756">
        <f>ROUND(SUMPRODUCT(PRODUCT(1+N16:N$22)),4)</f>
        <v>1.0826</v>
      </c>
      <c r="Y16" s="2756">
        <f>ROUND(SUMPRODUCT(PRODUCT(1+O16:O$22)),4)</f>
        <v>1.0738000000000001</v>
      </c>
      <c r="Z16" s="2756">
        <f t="shared" si="0"/>
        <v>1.0738000000000001</v>
      </c>
      <c r="AA16" s="2756">
        <f>ROUND(SUMPRODUCT(PRODUCT(1+P16:P$22)),4)</f>
        <v>1.0855999999999999</v>
      </c>
      <c r="AB16" s="2756">
        <f>ROUND(SUMPRODUCT(PRODUCT(1+Q16:Q$22)),4)</f>
        <v>1.0837000000000001</v>
      </c>
      <c r="AD16" s="2676">
        <f>ROUND(AVERAGE(I16:I$23)/100,4)</f>
        <v>1.37E-2</v>
      </c>
      <c r="AE16" s="2676">
        <f>ROUND(AVERAGE(J16:J$23)/100,4)</f>
        <v>1.1900000000000001E-2</v>
      </c>
      <c r="AF16" s="2676">
        <f t="shared" si="1"/>
        <v>1.1900000000000001E-2</v>
      </c>
      <c r="AG16" s="2676">
        <f>ROUND(AVERAGE(K16:K$23)/100,4)</f>
        <v>1.4500000000000001E-2</v>
      </c>
      <c r="AH16" s="2676">
        <f>ROUND(AVERAGE(L16:L$23)/100,4)</f>
        <v>1.18E-2</v>
      </c>
    </row>
    <row r="17" spans="1:34">
      <c r="A17" s="2657" t="s">
        <v>967</v>
      </c>
      <c r="B17" s="2671">
        <f t="shared" ref="B17:C19" si="48">B16/(1+N16)</f>
        <v>327.65915576109415</v>
      </c>
      <c r="C17" s="2671">
        <f t="shared" si="48"/>
        <v>273.95905449510434</v>
      </c>
      <c r="D17" s="2671">
        <f t="shared" si="45"/>
        <v>273.95905449510434</v>
      </c>
      <c r="E17" s="2671">
        <f t="shared" ref="E17:F19" si="49">E16/(1+P16)</f>
        <v>451.01699911565294</v>
      </c>
      <c r="F17" s="2671">
        <f t="shared" si="49"/>
        <v>244.38119540681129</v>
      </c>
      <c r="G17" s="3533"/>
      <c r="H17" s="2682">
        <v>3</v>
      </c>
      <c r="I17" s="2682">
        <v>1.65</v>
      </c>
      <c r="J17" s="2682">
        <v>0.92</v>
      </c>
      <c r="K17" s="2682">
        <v>1.88</v>
      </c>
      <c r="L17" s="2683">
        <v>1.26</v>
      </c>
      <c r="N17" s="2666">
        <f t="shared" si="47"/>
        <v>1.6500000000000001E-2</v>
      </c>
      <c r="O17" s="2684">
        <f t="shared" si="43"/>
        <v>9.1999999999999998E-3</v>
      </c>
      <c r="P17" s="2684">
        <f t="shared" si="43"/>
        <v>1.8799999999999997E-2</v>
      </c>
      <c r="Q17" s="2684">
        <f t="shared" si="43"/>
        <v>1.26E-2</v>
      </c>
      <c r="R17" s="2668"/>
      <c r="S17" s="2666"/>
      <c r="T17" s="2667"/>
      <c r="U17" s="2667"/>
      <c r="V17" s="2667"/>
      <c r="X17" s="2756">
        <f>ROUND(SUMPRODUCT(PRODUCT(1+N17:N$22)),4)</f>
        <v>1.0651999999999999</v>
      </c>
      <c r="Y17" s="2756">
        <f>ROUND(SUMPRODUCT(PRODUCT(1+O17:O$22)),4)</f>
        <v>1.0621</v>
      </c>
      <c r="Z17" s="2756">
        <f t="shared" si="0"/>
        <v>1.0621</v>
      </c>
      <c r="AA17" s="2756">
        <f>ROUND(SUMPRODUCT(PRODUCT(1+P17:P$22)),4)</f>
        <v>1.0668</v>
      </c>
      <c r="AB17" s="2756">
        <f>ROUND(SUMPRODUCT(PRODUCT(1+Q17:Q$22)),4)</f>
        <v>1.0636000000000001</v>
      </c>
      <c r="AD17" s="2676">
        <f>ROUND(AVERAGE(I17:I$23)/100,4)</f>
        <v>1.3299999999999999E-2</v>
      </c>
      <c r="AE17" s="2676">
        <f>ROUND(AVERAGE(J17:J$23)/100,4)</f>
        <v>1.2E-2</v>
      </c>
      <c r="AF17" s="2676">
        <f t="shared" si="1"/>
        <v>1.2E-2</v>
      </c>
      <c r="AG17" s="2676">
        <f>ROUND(AVERAGE(K17:K$23)/100,4)</f>
        <v>1.4E-2</v>
      </c>
      <c r="AH17" s="2676">
        <f>ROUND(AVERAGE(L17:L$23)/100,4)</f>
        <v>1.0800000000000001E-2</v>
      </c>
    </row>
    <row r="18" spans="1:34">
      <c r="A18" s="2657" t="s">
        <v>966</v>
      </c>
      <c r="B18" s="2671">
        <f t="shared" si="48"/>
        <v>322.34053690220776</v>
      </c>
      <c r="C18" s="2671">
        <f t="shared" si="48"/>
        <v>271.46160770422546</v>
      </c>
      <c r="D18" s="2671">
        <f t="shared" si="45"/>
        <v>271.46160770422546</v>
      </c>
      <c r="E18" s="2671">
        <f t="shared" si="49"/>
        <v>442.69434542172456</v>
      </c>
      <c r="F18" s="2671">
        <f t="shared" si="49"/>
        <v>241.34030753190925</v>
      </c>
      <c r="G18" s="3533"/>
      <c r="H18" s="2662">
        <v>2</v>
      </c>
      <c r="I18" s="2662">
        <v>0.77</v>
      </c>
      <c r="J18" s="2662">
        <v>0.69</v>
      </c>
      <c r="K18" s="2662">
        <v>0.8</v>
      </c>
      <c r="L18" s="2673">
        <v>0.88</v>
      </c>
      <c r="N18" s="2666">
        <f t="shared" si="47"/>
        <v>7.7000000000000002E-3</v>
      </c>
      <c r="O18" s="2684">
        <f t="shared" si="43"/>
        <v>6.8999999999999999E-3</v>
      </c>
      <c r="P18" s="2684">
        <f t="shared" si="43"/>
        <v>8.0000000000000002E-3</v>
      </c>
      <c r="Q18" s="2684">
        <f t="shared" si="43"/>
        <v>8.8000000000000005E-3</v>
      </c>
      <c r="R18" s="2668"/>
      <c r="S18" s="2666"/>
      <c r="T18" s="2667"/>
      <c r="U18" s="2667"/>
      <c r="V18" s="2667"/>
      <c r="X18" s="2756">
        <f>ROUND(SUMPRODUCT(PRODUCT(1+N18:N$22)),4)</f>
        <v>1.048</v>
      </c>
      <c r="Y18" s="2756">
        <f>ROUND(SUMPRODUCT(PRODUCT(1+O18:O$22)),4)</f>
        <v>1.0524</v>
      </c>
      <c r="Z18" s="2756">
        <f t="shared" si="0"/>
        <v>1.0524</v>
      </c>
      <c r="AA18" s="2756">
        <f>ROUND(SUMPRODUCT(PRODUCT(1+P18:P$22)),4)</f>
        <v>1.0470999999999999</v>
      </c>
      <c r="AB18" s="2756">
        <f>ROUND(SUMPRODUCT(PRODUCT(1+Q18:Q$22)),4)</f>
        <v>1.0504</v>
      </c>
      <c r="AD18" s="2676">
        <f>ROUND(AVERAGE(I18:I$23)/100,4)</f>
        <v>1.2800000000000001E-2</v>
      </c>
      <c r="AE18" s="2676">
        <f>ROUND(AVERAGE(J18:J$23)/100,4)</f>
        <v>1.2500000000000001E-2</v>
      </c>
      <c r="AF18" s="2676">
        <f t="shared" si="1"/>
        <v>1.2500000000000001E-2</v>
      </c>
      <c r="AG18" s="2676">
        <f>ROUND(AVERAGE(K18:K$23)/100,4)</f>
        <v>1.32E-2</v>
      </c>
      <c r="AH18" s="2676">
        <f>ROUND(AVERAGE(L18:L$23)/100,4)</f>
        <v>1.0500000000000001E-2</v>
      </c>
    </row>
    <row r="19" spans="1:34">
      <c r="A19" s="2657" t="s">
        <v>965</v>
      </c>
      <c r="B19" s="2671">
        <f t="shared" si="48"/>
        <v>319.87748030386797</v>
      </c>
      <c r="C19" s="2671">
        <f t="shared" si="48"/>
        <v>269.60135833173649</v>
      </c>
      <c r="D19" s="2671">
        <f t="shared" si="45"/>
        <v>269.60135833173649</v>
      </c>
      <c r="E19" s="2671">
        <f t="shared" si="49"/>
        <v>439.18089823583784</v>
      </c>
      <c r="F19" s="2671">
        <f t="shared" si="49"/>
        <v>239.23503918706311</v>
      </c>
      <c r="G19" s="3534"/>
      <c r="H19" s="2661">
        <v>1</v>
      </c>
      <c r="I19" s="2661">
        <v>0.51</v>
      </c>
      <c r="J19" s="2661">
        <v>0.54</v>
      </c>
      <c r="K19" s="2661">
        <v>0.48</v>
      </c>
      <c r="L19" s="2672">
        <v>0.93</v>
      </c>
      <c r="N19" s="2674">
        <f t="shared" si="47"/>
        <v>5.1000000000000004E-3</v>
      </c>
      <c r="O19" s="2675">
        <f t="shared" si="43"/>
        <v>5.4000000000000003E-3</v>
      </c>
      <c r="P19" s="2675">
        <f t="shared" si="43"/>
        <v>4.7999999999999996E-3</v>
      </c>
      <c r="Q19" s="2675">
        <f t="shared" si="43"/>
        <v>9.300000000000001E-3</v>
      </c>
      <c r="R19" s="2668"/>
      <c r="S19" s="2674">
        <f>B19/B20-1</f>
        <v>5.9040261127922822E-3</v>
      </c>
      <c r="T19" s="2675">
        <f>C19/C20-1</f>
        <v>5.9752176557332781E-3</v>
      </c>
      <c r="U19" s="2675">
        <f>E19/E20-1</f>
        <v>4.9906138119859556E-3</v>
      </c>
      <c r="V19" s="2675">
        <f>F19/F20-1</f>
        <v>9.4305450930933787E-3</v>
      </c>
      <c r="X19" s="2756">
        <f>ROUND(SUMPRODUCT(PRODUCT(1+N19:N$22)),4)</f>
        <v>1.0399</v>
      </c>
      <c r="Y19" s="2756">
        <f>ROUND(SUMPRODUCT(PRODUCT(1+O19:O$22)),4)</f>
        <v>1.0451999999999999</v>
      </c>
      <c r="Z19" s="2756">
        <f t="shared" si="0"/>
        <v>1.0451999999999999</v>
      </c>
      <c r="AA19" s="2756">
        <f>ROUND(SUMPRODUCT(PRODUCT(1+P19:P$22)),4)</f>
        <v>1.0387999999999999</v>
      </c>
      <c r="AB19" s="2756">
        <f>ROUND(SUMPRODUCT(PRODUCT(1+Q19:Q$22)),4)</f>
        <v>1.0411999999999999</v>
      </c>
      <c r="AD19" s="2676">
        <f>ROUND(AVERAGE(I19:I$23)/100,4)</f>
        <v>1.38E-2</v>
      </c>
      <c r="AE19" s="2676">
        <f>ROUND(AVERAGE(J19:J$23)/100,4)</f>
        <v>1.3599999999999999E-2</v>
      </c>
      <c r="AF19" s="2676">
        <f t="shared" si="1"/>
        <v>1.3599999999999999E-2</v>
      </c>
      <c r="AG19" s="2676">
        <f>ROUND(AVERAGE(K19:K$23)/100,4)</f>
        <v>1.4200000000000001E-2</v>
      </c>
      <c r="AH19" s="2676">
        <f>ROUND(AVERAGE(L19:L$23)/100,4)</f>
        <v>1.0800000000000001E-2</v>
      </c>
    </row>
    <row r="20" spans="1:34" ht="13.5" thickBot="1">
      <c r="A20" s="2657" t="s">
        <v>964</v>
      </c>
      <c r="B20" s="2685">
        <v>318</v>
      </c>
      <c r="C20" s="2685">
        <v>268</v>
      </c>
      <c r="D20" s="2685">
        <f t="shared" si="45"/>
        <v>268</v>
      </c>
      <c r="E20" s="2685">
        <v>437</v>
      </c>
      <c r="F20" s="2686">
        <v>237</v>
      </c>
      <c r="G20" s="3532">
        <v>2014</v>
      </c>
      <c r="H20" s="2677">
        <v>4</v>
      </c>
      <c r="I20" s="2677">
        <v>0.21</v>
      </c>
      <c r="J20" s="2677">
        <v>0.41</v>
      </c>
      <c r="K20" s="2677">
        <v>0.12</v>
      </c>
      <c r="L20" s="2678">
        <v>0.89</v>
      </c>
      <c r="N20" s="2666">
        <f t="shared" si="47"/>
        <v>2.0999999999999999E-3</v>
      </c>
      <c r="O20" s="2667">
        <f t="shared" si="43"/>
        <v>4.0999999999999995E-3</v>
      </c>
      <c r="P20" s="2667">
        <f t="shared" si="43"/>
        <v>1.1999999999999999E-3</v>
      </c>
      <c r="Q20" s="2667">
        <f t="shared" si="43"/>
        <v>8.8999999999999999E-3</v>
      </c>
      <c r="R20" s="2668"/>
      <c r="S20" s="2669"/>
      <c r="T20" s="2670"/>
      <c r="U20" s="2670"/>
      <c r="V20" s="2670"/>
      <c r="X20" s="2756">
        <f>ROUND(SUMPRODUCT(PRODUCT(1+N20:N$22)),4)</f>
        <v>1.0347</v>
      </c>
      <c r="Y20" s="2756">
        <f>ROUND(SUMPRODUCT(PRODUCT(1+O20:O$22)),4)</f>
        <v>1.0395000000000001</v>
      </c>
      <c r="Z20" s="2756">
        <f t="shared" si="0"/>
        <v>1.0395000000000001</v>
      </c>
      <c r="AA20" s="2756">
        <f>ROUND(SUMPRODUCT(PRODUCT(1+P20:P$22)),4)</f>
        <v>1.0338000000000001</v>
      </c>
      <c r="AB20" s="2756">
        <f>ROUND(SUMPRODUCT(PRODUCT(1+Q20:Q$22)),4)</f>
        <v>1.0316000000000001</v>
      </c>
      <c r="AD20" s="2676">
        <f>ROUND(AVERAGE(I20:I$23)/100,4)</f>
        <v>1.6E-2</v>
      </c>
      <c r="AE20" s="2676">
        <f>ROUND(AVERAGE(J20:J$23)/100,4)</f>
        <v>1.5599999999999999E-2</v>
      </c>
      <c r="AF20" s="2676">
        <f t="shared" si="1"/>
        <v>1.5599999999999999E-2</v>
      </c>
      <c r="AG20" s="2676">
        <f>ROUND(AVERAGE(K20:K$23)/100,4)</f>
        <v>1.66E-2</v>
      </c>
      <c r="AH20" s="2676">
        <f>ROUND(AVERAGE(L20:L$23)/100,4)</f>
        <v>1.12E-2</v>
      </c>
    </row>
    <row r="21" spans="1:34">
      <c r="A21" s="2657" t="s">
        <v>963</v>
      </c>
      <c r="B21" s="2671">
        <f t="shared" ref="B21:C23" si="50">B20/(1+N20)</f>
        <v>317.33359944117353</v>
      </c>
      <c r="C21" s="2671">
        <f t="shared" si="50"/>
        <v>266.90568668459315</v>
      </c>
      <c r="D21" s="2671">
        <f t="shared" si="45"/>
        <v>266.90568668459315</v>
      </c>
      <c r="E21" s="2671">
        <f t="shared" ref="E21:F23" si="51">E20/(1+P20)</f>
        <v>436.47622852576905</v>
      </c>
      <c r="F21" s="2671">
        <f t="shared" si="51"/>
        <v>234.90930716622066</v>
      </c>
      <c r="G21" s="3533"/>
      <c r="H21" s="2687">
        <v>3</v>
      </c>
      <c r="I21" s="2687">
        <v>0.83</v>
      </c>
      <c r="J21" s="2687">
        <v>1.47</v>
      </c>
      <c r="K21" s="2687">
        <v>0.65</v>
      </c>
      <c r="L21" s="2688">
        <v>0.72</v>
      </c>
      <c r="N21" s="2666">
        <f t="shared" si="47"/>
        <v>8.3000000000000001E-3</v>
      </c>
      <c r="O21" s="2667">
        <f t="shared" si="43"/>
        <v>1.47E-2</v>
      </c>
      <c r="P21" s="2667">
        <f t="shared" si="43"/>
        <v>6.5000000000000006E-3</v>
      </c>
      <c r="Q21" s="2667">
        <f t="shared" si="43"/>
        <v>7.1999999999999998E-3</v>
      </c>
      <c r="R21" s="2668"/>
      <c r="S21" s="2666"/>
      <c r="T21" s="2667"/>
      <c r="U21" s="2667"/>
      <c r="V21" s="2667"/>
      <c r="X21" s="2756">
        <f>ROUND(SUMPRODUCT(PRODUCT(1+N21:N$22)),4)</f>
        <v>1.0325</v>
      </c>
      <c r="Y21" s="2756">
        <f>ROUND(SUMPRODUCT(PRODUCT(1+O21:O$22)),4)</f>
        <v>1.0353000000000001</v>
      </c>
      <c r="Z21" s="2756">
        <f t="shared" ref="Z21:Z22" si="52">Y21</f>
        <v>1.0353000000000001</v>
      </c>
      <c r="AA21" s="2756">
        <f>ROUND(SUMPRODUCT(PRODUCT(1+P21:P$22)),4)</f>
        <v>1.0326</v>
      </c>
      <c r="AB21" s="2756">
        <f>ROUND(SUMPRODUCT(PRODUCT(1+Q21:Q$22)),4)</f>
        <v>1.0225</v>
      </c>
      <c r="AD21" s="2676">
        <f>ROUND(AVERAGE(I21:I$23)/100,4)</f>
        <v>2.07E-2</v>
      </c>
      <c r="AE21" s="2676">
        <f>ROUND(AVERAGE(J21:J$23)/100,4)</f>
        <v>1.95E-2</v>
      </c>
      <c r="AF21" s="2676">
        <f t="shared" si="1"/>
        <v>1.95E-2</v>
      </c>
      <c r="AG21" s="2676">
        <f>ROUND(AVERAGE(K21:K$23)/100,4)</f>
        <v>2.1700000000000001E-2</v>
      </c>
      <c r="AH21" s="2676">
        <f>ROUND(AVERAGE(L21:L$23)/100,4)</f>
        <v>1.2E-2</v>
      </c>
    </row>
    <row r="22" spans="1:34" ht="13.5" thickBot="1">
      <c r="A22" s="2657" t="s">
        <v>962</v>
      </c>
      <c r="B22" s="2671">
        <f t="shared" si="50"/>
        <v>314.72141172386546</v>
      </c>
      <c r="C22" s="2671">
        <f t="shared" si="50"/>
        <v>263.03901319069001</v>
      </c>
      <c r="D22" s="2671">
        <f t="shared" si="45"/>
        <v>263.03901319069001</v>
      </c>
      <c r="E22" s="2671">
        <f t="shared" si="51"/>
        <v>433.65745506782821</v>
      </c>
      <c r="F22" s="2671">
        <f t="shared" si="51"/>
        <v>233.23005080045735</v>
      </c>
      <c r="G22" s="3533"/>
      <c r="H22" s="2677">
        <v>2</v>
      </c>
      <c r="I22" s="2677">
        <v>2.4</v>
      </c>
      <c r="J22" s="2677">
        <v>2.0299999999999998</v>
      </c>
      <c r="K22" s="2677">
        <v>2.59</v>
      </c>
      <c r="L22" s="2678">
        <v>1.52</v>
      </c>
      <c r="N22" s="2666">
        <f t="shared" si="47"/>
        <v>2.4E-2</v>
      </c>
      <c r="O22" s="2667">
        <f t="shared" si="43"/>
        <v>2.0299999999999999E-2</v>
      </c>
      <c r="P22" s="2667">
        <f t="shared" si="43"/>
        <v>2.5899999999999999E-2</v>
      </c>
      <c r="Q22" s="2667">
        <f t="shared" si="43"/>
        <v>1.52E-2</v>
      </c>
      <c r="R22" s="2668"/>
      <c r="S22" s="2666"/>
      <c r="T22" s="2667"/>
      <c r="U22" s="2667"/>
      <c r="V22" s="2667"/>
      <c r="X22" s="2756">
        <f>1+N22</f>
        <v>1.024</v>
      </c>
      <c r="Y22" s="2756">
        <f>1+O22</f>
        <v>1.0203</v>
      </c>
      <c r="Z22" s="2756">
        <f t="shared" si="52"/>
        <v>1.0203</v>
      </c>
      <c r="AA22" s="2756">
        <f>1+P22</f>
        <v>1.0259</v>
      </c>
      <c r="AB22" s="2756">
        <f>1+Q22</f>
        <v>1.0152000000000001</v>
      </c>
      <c r="AD22" s="2676">
        <f>ROUND(AVERAGE(I22:I$23)/100,4)</f>
        <v>2.69E-2</v>
      </c>
      <c r="AE22" s="2676">
        <f>ROUND(AVERAGE(J22:J$23)/100,4)</f>
        <v>2.1899999999999999E-2</v>
      </c>
      <c r="AF22" s="2676">
        <f t="shared" ref="AF22" si="53">AE22</f>
        <v>2.1899999999999999E-2</v>
      </c>
      <c r="AG22" s="2676">
        <f>ROUND(AVERAGE(K22:K$23)/100,4)</f>
        <v>2.9399999999999999E-2</v>
      </c>
      <c r="AH22" s="2676">
        <f>ROUND(AVERAGE(L22:L$23)/100,4)</f>
        <v>1.44E-2</v>
      </c>
    </row>
    <row r="23" spans="1:34" s="2693" customFormat="1" ht="13.5" thickBot="1">
      <c r="A23" s="2689" t="s">
        <v>961</v>
      </c>
      <c r="B23" s="2690">
        <f t="shared" si="50"/>
        <v>307.34512863658733</v>
      </c>
      <c r="C23" s="2690">
        <f t="shared" si="50"/>
        <v>257.80556031626975</v>
      </c>
      <c r="D23" s="2690">
        <f t="shared" si="45"/>
        <v>257.80556031626975</v>
      </c>
      <c r="E23" s="2690">
        <f t="shared" si="51"/>
        <v>422.70928459677179</v>
      </c>
      <c r="F23" s="2690">
        <f t="shared" si="51"/>
        <v>229.73803270336617</v>
      </c>
      <c r="G23" s="3534"/>
      <c r="H23" s="2691">
        <v>1</v>
      </c>
      <c r="I23" s="2691">
        <v>2.97</v>
      </c>
      <c r="J23" s="2691">
        <v>2.34</v>
      </c>
      <c r="K23" s="2691">
        <v>3.28</v>
      </c>
      <c r="L23" s="2692">
        <v>1.36</v>
      </c>
      <c r="N23" s="2694">
        <f t="shared" si="47"/>
        <v>2.9700000000000001E-2</v>
      </c>
      <c r="O23" s="2695">
        <f t="shared" si="43"/>
        <v>2.3399999999999997E-2</v>
      </c>
      <c r="P23" s="2695">
        <f t="shared" si="43"/>
        <v>3.2799999999999996E-2</v>
      </c>
      <c r="Q23" s="2695">
        <f t="shared" si="43"/>
        <v>1.3600000000000001E-2</v>
      </c>
      <c r="R23" s="2696"/>
      <c r="S23" s="2697">
        <f>B23/B24-1</f>
        <v>2.7910129219355539E-2</v>
      </c>
      <c r="T23" s="2698">
        <f>C23/C24-1</f>
        <v>2.3037937762975247E-2</v>
      </c>
      <c r="U23" s="2698">
        <f>E23/E24-1</f>
        <v>3.3519033243940788E-2</v>
      </c>
      <c r="V23" s="2698">
        <f>F23/F24-1</f>
        <v>1.2061818076502862E-2</v>
      </c>
      <c r="W23" s="2765" t="s">
        <v>2643</v>
      </c>
      <c r="X23" s="2767">
        <v>1</v>
      </c>
      <c r="Y23" s="2767">
        <v>1</v>
      </c>
      <c r="Z23" s="2767">
        <v>1</v>
      </c>
      <c r="AA23" s="2767">
        <v>1</v>
      </c>
      <c r="AB23" s="2767">
        <v>1</v>
      </c>
      <c r="AD23" s="3011">
        <f>I23/100</f>
        <v>2.9700000000000001E-2</v>
      </c>
      <c r="AE23" s="3011">
        <f>J23/100</f>
        <v>2.3399999999999997E-2</v>
      </c>
      <c r="AF23" s="3011">
        <f>AE23</f>
        <v>2.3399999999999997E-2</v>
      </c>
      <c r="AG23" s="3011">
        <f>K23/100</f>
        <v>3.2799999999999996E-2</v>
      </c>
      <c r="AH23" s="3011">
        <f>L23/100</f>
        <v>1.3600000000000001E-2</v>
      </c>
    </row>
    <row r="24" spans="1:34" ht="13.5" thickBot="1">
      <c r="A24" s="2657" t="s">
        <v>2586</v>
      </c>
      <c r="B24" s="2663">
        <v>299</v>
      </c>
      <c r="C24" s="2663">
        <v>252</v>
      </c>
      <c r="D24" s="2663">
        <f t="shared" si="45"/>
        <v>252</v>
      </c>
      <c r="E24" s="2663">
        <v>409</v>
      </c>
      <c r="F24" s="2664">
        <v>227</v>
      </c>
      <c r="G24" s="3539">
        <v>2013</v>
      </c>
      <c r="H24" s="2699">
        <v>4</v>
      </c>
      <c r="I24" s="2699">
        <v>1.83</v>
      </c>
      <c r="J24" s="2699">
        <v>1.68</v>
      </c>
      <c r="K24" s="2699">
        <v>1.97</v>
      </c>
      <c r="L24" s="2700">
        <v>0.87</v>
      </c>
      <c r="N24" s="2679">
        <f t="shared" si="47"/>
        <v>1.83E-2</v>
      </c>
      <c r="O24" s="2680">
        <f t="shared" si="43"/>
        <v>1.6799999999999999E-2</v>
      </c>
      <c r="P24" s="2680">
        <f t="shared" si="43"/>
        <v>1.9699999999999999E-2</v>
      </c>
      <c r="Q24" s="2680">
        <f t="shared" si="43"/>
        <v>8.6999999999999994E-3</v>
      </c>
      <c r="R24" s="2668"/>
      <c r="S24" s="2669"/>
      <c r="T24" s="2670"/>
      <c r="U24" s="2670"/>
      <c r="V24" s="2670"/>
      <c r="X24" s="2670"/>
      <c r="Y24" s="2670"/>
      <c r="Z24" s="2670"/>
    </row>
    <row r="25" spans="1:34">
      <c r="A25" s="2657" t="s">
        <v>2587</v>
      </c>
      <c r="B25" s="2671">
        <f t="shared" ref="B25:C27" si="54">B24/(1+N24)</f>
        <v>293.62663262299913</v>
      </c>
      <c r="C25" s="2671">
        <f t="shared" si="54"/>
        <v>247.83634933123525</v>
      </c>
      <c r="D25" s="2671">
        <f t="shared" si="45"/>
        <v>247.83634933123525</v>
      </c>
      <c r="E25" s="2671">
        <f t="shared" ref="E25:F27" si="55">E24/(1+P24)</f>
        <v>401.09836226341076</v>
      </c>
      <c r="F25" s="2671">
        <f t="shared" si="55"/>
        <v>225.04213343908003</v>
      </c>
      <c r="G25" s="3540"/>
      <c r="H25" s="2682">
        <v>3</v>
      </c>
      <c r="I25" s="2682">
        <v>1.86</v>
      </c>
      <c r="J25" s="2682">
        <v>1.72</v>
      </c>
      <c r="K25" s="2682">
        <v>1.98</v>
      </c>
      <c r="L25" s="2683">
        <v>0.88</v>
      </c>
      <c r="N25" s="2666">
        <f t="shared" si="47"/>
        <v>1.8600000000000002E-2</v>
      </c>
      <c r="O25" s="2684">
        <f t="shared" si="43"/>
        <v>1.72E-2</v>
      </c>
      <c r="P25" s="2684">
        <f t="shared" si="43"/>
        <v>1.9799999999999998E-2</v>
      </c>
      <c r="Q25" s="2684">
        <f t="shared" si="43"/>
        <v>8.8000000000000005E-3</v>
      </c>
      <c r="R25" s="2668"/>
      <c r="S25" s="2666"/>
      <c r="T25" s="2667"/>
      <c r="U25" s="2667"/>
      <c r="V25" s="2667"/>
    </row>
    <row r="26" spans="1:34">
      <c r="A26" s="2657" t="s">
        <v>2588</v>
      </c>
      <c r="B26" s="2671">
        <f t="shared" si="54"/>
        <v>288.2649053828776</v>
      </c>
      <c r="C26" s="2671">
        <f t="shared" si="54"/>
        <v>243.64564425013293</v>
      </c>
      <c r="D26" s="2671">
        <f t="shared" si="45"/>
        <v>243.64564425013293</v>
      </c>
      <c r="E26" s="2671">
        <f t="shared" si="55"/>
        <v>393.31080825986544</v>
      </c>
      <c r="F26" s="2671">
        <f t="shared" si="55"/>
        <v>223.07903790551154</v>
      </c>
      <c r="G26" s="3540"/>
      <c r="H26" s="2662">
        <v>2</v>
      </c>
      <c r="I26" s="2662">
        <v>2.04</v>
      </c>
      <c r="J26" s="2662">
        <v>2.33</v>
      </c>
      <c r="K26" s="2662">
        <v>2.0699999999999998</v>
      </c>
      <c r="L26" s="2673">
        <v>0.69</v>
      </c>
      <c r="N26" s="2666">
        <f t="shared" si="47"/>
        <v>2.0400000000000001E-2</v>
      </c>
      <c r="O26" s="2684">
        <f t="shared" si="43"/>
        <v>2.3300000000000001E-2</v>
      </c>
      <c r="P26" s="2684">
        <f t="shared" si="43"/>
        <v>2.07E-2</v>
      </c>
      <c r="Q26" s="2684">
        <f t="shared" si="43"/>
        <v>6.8999999999999999E-3</v>
      </c>
      <c r="R26" s="2668"/>
      <c r="S26" s="2666"/>
      <c r="T26" s="2667"/>
      <c r="U26" s="2667"/>
      <c r="V26" s="2667"/>
      <c r="X26" s="2768"/>
      <c r="Y26" s="2770"/>
    </row>
    <row r="27" spans="1:34">
      <c r="A27" s="2657" t="s">
        <v>2589</v>
      </c>
      <c r="B27" s="2671">
        <f t="shared" si="54"/>
        <v>282.50186729015837</v>
      </c>
      <c r="C27" s="2671">
        <f t="shared" si="54"/>
        <v>238.09796174155468</v>
      </c>
      <c r="D27" s="2671">
        <f t="shared" si="45"/>
        <v>238.09796174155468</v>
      </c>
      <c r="E27" s="2671">
        <f t="shared" si="55"/>
        <v>385.33438646014054</v>
      </c>
      <c r="F27" s="2671">
        <f t="shared" si="55"/>
        <v>221.55034055567739</v>
      </c>
      <c r="G27" s="3541"/>
      <c r="H27" s="2661">
        <v>1</v>
      </c>
      <c r="I27" s="2661">
        <v>1.67</v>
      </c>
      <c r="J27" s="2661">
        <v>1.31</v>
      </c>
      <c r="K27" s="2661">
        <v>1.85</v>
      </c>
      <c r="L27" s="2672">
        <v>0.96</v>
      </c>
      <c r="N27" s="2674">
        <f t="shared" si="47"/>
        <v>1.67E-2</v>
      </c>
      <c r="O27" s="2675">
        <f t="shared" si="43"/>
        <v>1.3100000000000001E-2</v>
      </c>
      <c r="P27" s="2675">
        <f t="shared" si="43"/>
        <v>1.8500000000000003E-2</v>
      </c>
      <c r="Q27" s="2675">
        <f t="shared" si="43"/>
        <v>9.5999999999999992E-3</v>
      </c>
      <c r="R27" s="2668"/>
      <c r="S27" s="2674">
        <f>B27/B28-1</f>
        <v>1.6193767230785472E-2</v>
      </c>
      <c r="T27" s="2675">
        <f>C27/C28-1</f>
        <v>1.7512657015190891E-2</v>
      </c>
      <c r="U27" s="2675">
        <f>E27/E28-1</f>
        <v>1.6713420739157048E-2</v>
      </c>
      <c r="V27" s="2675">
        <f>F27/F28-1</f>
        <v>7.0470025258062563E-3</v>
      </c>
      <c r="X27" s="2769"/>
      <c r="Y27" s="2676"/>
      <c r="Z27" s="2676"/>
    </row>
    <row r="28" spans="1:34" ht="13.5" thickBot="1">
      <c r="A28" s="2657" t="s">
        <v>2590</v>
      </c>
      <c r="B28" s="2701">
        <v>278</v>
      </c>
      <c r="C28" s="2701">
        <v>234</v>
      </c>
      <c r="D28" s="2701">
        <f t="shared" si="45"/>
        <v>234</v>
      </c>
      <c r="E28" s="2701">
        <v>379</v>
      </c>
      <c r="F28" s="2702">
        <v>220</v>
      </c>
      <c r="G28" s="3532">
        <v>2012</v>
      </c>
      <c r="H28" s="2677">
        <v>4</v>
      </c>
      <c r="I28" s="2677">
        <v>0.91</v>
      </c>
      <c r="J28" s="2677">
        <v>0.68</v>
      </c>
      <c r="K28" s="2677">
        <v>0.98</v>
      </c>
      <c r="L28" s="2678">
        <v>0.9</v>
      </c>
      <c r="N28" s="2666">
        <f t="shared" si="47"/>
        <v>9.1000000000000004E-3</v>
      </c>
      <c r="O28" s="2667">
        <f t="shared" si="47"/>
        <v>6.8000000000000005E-3</v>
      </c>
      <c r="P28" s="2667">
        <f t="shared" si="47"/>
        <v>9.7999999999999997E-3</v>
      </c>
      <c r="Q28" s="2667">
        <f t="shared" si="47"/>
        <v>9.0000000000000011E-3</v>
      </c>
      <c r="R28" s="2668"/>
      <c r="S28" s="2669"/>
      <c r="T28" s="2670"/>
      <c r="U28" s="2670"/>
      <c r="V28" s="2670"/>
      <c r="X28" s="2670"/>
      <c r="Y28" s="2670"/>
      <c r="Z28" s="2670"/>
    </row>
    <row r="29" spans="1:34">
      <c r="A29" s="2657" t="s">
        <v>2591</v>
      </c>
      <c r="B29" s="2671">
        <f>B28/(1+N28)</f>
        <v>275.49301357645425</v>
      </c>
      <c r="C29" s="2671">
        <f>C28/(1+O28)</f>
        <v>232.41954707985698</v>
      </c>
      <c r="D29" s="2671">
        <f t="shared" si="45"/>
        <v>232.41954707985698</v>
      </c>
      <c r="E29" s="2671">
        <f t="shared" ref="E29:F31" si="56">E28/(1+P28)</f>
        <v>375.32184591008121</v>
      </c>
      <c r="F29" s="2671">
        <f t="shared" si="56"/>
        <v>218.03766105054513</v>
      </c>
      <c r="G29" s="3533"/>
      <c r="H29" s="2682">
        <v>3</v>
      </c>
      <c r="I29" s="2682">
        <v>0.09</v>
      </c>
      <c r="J29" s="2682">
        <v>0.28999999999999998</v>
      </c>
      <c r="K29" s="2682">
        <v>-0.01</v>
      </c>
      <c r="L29" s="2683">
        <v>0.57999999999999996</v>
      </c>
      <c r="N29" s="2666">
        <f t="shared" si="47"/>
        <v>8.9999999999999998E-4</v>
      </c>
      <c r="O29" s="2667">
        <f t="shared" si="47"/>
        <v>2.8999999999999998E-3</v>
      </c>
      <c r="P29" s="2667">
        <f t="shared" si="47"/>
        <v>-1E-4</v>
      </c>
      <c r="Q29" s="2667">
        <f t="shared" si="47"/>
        <v>5.7999999999999996E-3</v>
      </c>
      <c r="R29" s="2668"/>
      <c r="S29" s="2666"/>
      <c r="T29" s="2667"/>
      <c r="U29" s="2667"/>
      <c r="V29" s="2667"/>
    </row>
    <row r="30" spans="1:34">
      <c r="A30" s="2657" t="s">
        <v>2592</v>
      </c>
      <c r="B30" s="2671">
        <f>B29/(1+N29)</f>
        <v>275.24529281292263</v>
      </c>
      <c r="C30" s="2671">
        <f>C29/(1+O29)</f>
        <v>231.74747938962707</v>
      </c>
      <c r="D30" s="2671">
        <f t="shared" si="45"/>
        <v>231.74747938962707</v>
      </c>
      <c r="E30" s="2671">
        <f t="shared" si="56"/>
        <v>375.35938184826603</v>
      </c>
      <c r="F30" s="2671">
        <f t="shared" si="56"/>
        <v>216.78033510692495</v>
      </c>
      <c r="G30" s="3533"/>
      <c r="H30" s="2662">
        <v>2</v>
      </c>
      <c r="I30" s="2662">
        <v>0.02</v>
      </c>
      <c r="J30" s="2662">
        <v>0.12</v>
      </c>
      <c r="K30" s="2662">
        <v>-0.08</v>
      </c>
      <c r="L30" s="2673">
        <v>1.24</v>
      </c>
      <c r="N30" s="2666">
        <f t="shared" si="47"/>
        <v>2.0000000000000001E-4</v>
      </c>
      <c r="O30" s="2667">
        <f t="shared" si="47"/>
        <v>1.1999999999999999E-3</v>
      </c>
      <c r="P30" s="2667">
        <f t="shared" si="47"/>
        <v>-8.0000000000000004E-4</v>
      </c>
      <c r="Q30" s="2667">
        <f t="shared" si="47"/>
        <v>1.24E-2</v>
      </c>
      <c r="R30" s="2668"/>
      <c r="S30" s="2666"/>
      <c r="T30" s="2667"/>
      <c r="U30" s="2667"/>
      <c r="V30" s="2667"/>
    </row>
    <row r="31" spans="1:34" ht="13.5" thickBot="1">
      <c r="A31" s="2657" t="s">
        <v>2593</v>
      </c>
      <c r="B31" s="2671">
        <f>B30/(1+N30)</f>
        <v>275.19025476197027</v>
      </c>
      <c r="C31" s="2703">
        <v>232</v>
      </c>
      <c r="D31" s="2703">
        <f t="shared" si="45"/>
        <v>232</v>
      </c>
      <c r="E31" s="2671">
        <f t="shared" si="56"/>
        <v>375.65990977608692</v>
      </c>
      <c r="F31" s="2671">
        <f t="shared" si="56"/>
        <v>214.12518283971252</v>
      </c>
      <c r="G31" s="3534"/>
      <c r="H31" s="2661">
        <v>1</v>
      </c>
      <c r="I31" s="2661">
        <v>0.02</v>
      </c>
      <c r="J31" s="2661">
        <v>0.13</v>
      </c>
      <c r="K31" s="2661">
        <v>-0.04</v>
      </c>
      <c r="L31" s="2672">
        <v>0.46</v>
      </c>
      <c r="N31" s="2666">
        <f t="shared" si="47"/>
        <v>2.0000000000000001E-4</v>
      </c>
      <c r="O31" s="2667">
        <f t="shared" si="47"/>
        <v>1.2999999999999999E-3</v>
      </c>
      <c r="P31" s="2667">
        <f t="shared" si="47"/>
        <v>-4.0000000000000002E-4</v>
      </c>
      <c r="Q31" s="2667">
        <f t="shared" si="47"/>
        <v>4.5999999999999999E-3</v>
      </c>
      <c r="R31" s="2668"/>
      <c r="S31" s="2674">
        <f>B31/B32-1</f>
        <v>6.9183549807361189E-4</v>
      </c>
      <c r="T31" s="2675">
        <f>C31/C32-1</f>
        <v>0</v>
      </c>
      <c r="U31" s="2675">
        <f>E31/E32-1</f>
        <v>-9.0449527636460303E-4</v>
      </c>
      <c r="V31" s="2675">
        <f>F31/F32-1</f>
        <v>5.2825485432512753E-3</v>
      </c>
      <c r="X31" s="2676"/>
      <c r="Y31" s="2676"/>
      <c r="Z31" s="2676"/>
    </row>
    <row r="32" spans="1:34" ht="13.5" thickBot="1">
      <c r="A32" s="2657" t="s">
        <v>2594</v>
      </c>
      <c r="B32" s="2663">
        <v>275</v>
      </c>
      <c r="C32" s="2663">
        <v>232</v>
      </c>
      <c r="D32" s="2663">
        <f t="shared" si="45"/>
        <v>232</v>
      </c>
      <c r="E32" s="2663">
        <v>376</v>
      </c>
      <c r="F32" s="2664">
        <v>213</v>
      </c>
      <c r="G32" s="3532">
        <v>2011</v>
      </c>
      <c r="H32" s="2677">
        <v>4</v>
      </c>
      <c r="I32" s="2677">
        <v>-0.2</v>
      </c>
      <c r="J32" s="2677">
        <v>0.04</v>
      </c>
      <c r="K32" s="2677">
        <v>-0.34</v>
      </c>
      <c r="L32" s="2678">
        <v>0.46</v>
      </c>
      <c r="N32" s="2679">
        <f t="shared" si="47"/>
        <v>-2E-3</v>
      </c>
      <c r="O32" s="2680">
        <f t="shared" si="47"/>
        <v>4.0000000000000002E-4</v>
      </c>
      <c r="P32" s="2680">
        <f t="shared" si="47"/>
        <v>-3.4000000000000002E-3</v>
      </c>
      <c r="Q32" s="2680">
        <f t="shared" si="47"/>
        <v>4.5999999999999999E-3</v>
      </c>
      <c r="R32" s="2668"/>
      <c r="S32" s="2669"/>
      <c r="T32" s="2670"/>
      <c r="U32" s="2670"/>
      <c r="V32" s="2670"/>
      <c r="X32" s="2670"/>
      <c r="Y32" s="2670"/>
      <c r="Z32" s="2670"/>
    </row>
    <row r="33" spans="1:26">
      <c r="A33" s="2657" t="s">
        <v>2595</v>
      </c>
      <c r="B33" s="2671">
        <f t="shared" ref="B33:C35" si="57">B32/(1+N32)</f>
        <v>275.55110220440883</v>
      </c>
      <c r="C33" s="2671">
        <f t="shared" si="57"/>
        <v>231.90723710515795</v>
      </c>
      <c r="D33" s="2671">
        <f t="shared" si="45"/>
        <v>231.90723710515795</v>
      </c>
      <c r="E33" s="2671">
        <f t="shared" ref="E33:F35" si="58">E32/(1+P32)</f>
        <v>377.28276138872161</v>
      </c>
      <c r="F33" s="2671">
        <f t="shared" si="58"/>
        <v>212.02468644236512</v>
      </c>
      <c r="G33" s="3533">
        <v>2011</v>
      </c>
      <c r="H33" s="2682">
        <v>3</v>
      </c>
      <c r="I33" s="2682">
        <v>0.13</v>
      </c>
      <c r="J33" s="2682">
        <v>0.75</v>
      </c>
      <c r="K33" s="2682">
        <v>-0.08</v>
      </c>
      <c r="L33" s="2683">
        <v>0.53</v>
      </c>
      <c r="N33" s="2666">
        <f t="shared" si="47"/>
        <v>1.2999999999999999E-3</v>
      </c>
      <c r="O33" s="2684">
        <f t="shared" si="47"/>
        <v>7.4999999999999997E-3</v>
      </c>
      <c r="P33" s="2684">
        <f t="shared" si="47"/>
        <v>-8.0000000000000004E-4</v>
      </c>
      <c r="Q33" s="2684">
        <f t="shared" si="47"/>
        <v>5.3E-3</v>
      </c>
      <c r="R33" s="2668"/>
      <c r="S33" s="2666"/>
      <c r="T33" s="2667"/>
      <c r="U33" s="2667"/>
      <c r="V33" s="2667"/>
    </row>
    <row r="34" spans="1:26">
      <c r="A34" s="2657" t="s">
        <v>2596</v>
      </c>
      <c r="B34" s="2671">
        <f t="shared" si="57"/>
        <v>275.19335084830601</v>
      </c>
      <c r="C34" s="2671">
        <f t="shared" si="57"/>
        <v>230.18088050139744</v>
      </c>
      <c r="D34" s="2671">
        <f t="shared" si="45"/>
        <v>230.18088050139744</v>
      </c>
      <c r="E34" s="2671">
        <f t="shared" si="58"/>
        <v>377.58482925212331</v>
      </c>
      <c r="F34" s="2671">
        <f t="shared" si="58"/>
        <v>210.90687997847917</v>
      </c>
      <c r="G34" s="3533">
        <v>2011</v>
      </c>
      <c r="H34" s="2662">
        <v>2</v>
      </c>
      <c r="I34" s="2662">
        <v>-0.4</v>
      </c>
      <c r="J34" s="2662">
        <v>0.17</v>
      </c>
      <c r="K34" s="2662">
        <v>-0.57999999999999996</v>
      </c>
      <c r="L34" s="2673">
        <v>-0.2</v>
      </c>
      <c r="N34" s="2666">
        <f t="shared" si="47"/>
        <v>-4.0000000000000001E-3</v>
      </c>
      <c r="O34" s="2684">
        <f t="shared" si="47"/>
        <v>1.7000000000000001E-3</v>
      </c>
      <c r="P34" s="2684">
        <f t="shared" si="47"/>
        <v>-5.7999999999999996E-3</v>
      </c>
      <c r="Q34" s="2684">
        <f t="shared" si="47"/>
        <v>-2E-3</v>
      </c>
      <c r="R34" s="2668"/>
      <c r="S34" s="2666"/>
      <c r="T34" s="2667"/>
      <c r="U34" s="2667"/>
      <c r="V34" s="2667"/>
    </row>
    <row r="35" spans="1:26" ht="13.5" thickBot="1">
      <c r="A35" s="2657" t="s">
        <v>2597</v>
      </c>
      <c r="B35" s="2671">
        <f t="shared" si="57"/>
        <v>276.29854502841971</v>
      </c>
      <c r="C35" s="2671">
        <f t="shared" si="57"/>
        <v>229.79023709833027</v>
      </c>
      <c r="D35" s="2671">
        <f t="shared" si="45"/>
        <v>229.79023709833027</v>
      </c>
      <c r="E35" s="2671">
        <f t="shared" si="58"/>
        <v>379.78759731655936</v>
      </c>
      <c r="F35" s="2671">
        <f t="shared" si="58"/>
        <v>211.32953905659235</v>
      </c>
      <c r="G35" s="3534">
        <v>2011</v>
      </c>
      <c r="H35" s="2661">
        <v>1</v>
      </c>
      <c r="I35" s="2661">
        <v>2.65</v>
      </c>
      <c r="J35" s="2661">
        <v>3.76</v>
      </c>
      <c r="K35" s="2661">
        <v>1.89</v>
      </c>
      <c r="L35" s="2672">
        <v>7.95</v>
      </c>
      <c r="N35" s="2674">
        <f t="shared" si="47"/>
        <v>2.6499999999999999E-2</v>
      </c>
      <c r="O35" s="2675">
        <f t="shared" si="47"/>
        <v>3.7599999999999995E-2</v>
      </c>
      <c r="P35" s="2675">
        <f t="shared" si="47"/>
        <v>1.89E-2</v>
      </c>
      <c r="Q35" s="2675">
        <f t="shared" si="47"/>
        <v>7.9500000000000001E-2</v>
      </c>
      <c r="R35" s="2668"/>
      <c r="S35" s="2674">
        <f>B35/B36-1</f>
        <v>2.713213765211786E-2</v>
      </c>
      <c r="T35" s="2675">
        <f>C35/C36-1</f>
        <v>3.9774828499231862E-2</v>
      </c>
      <c r="U35" s="2675">
        <f>E35/E36-1</f>
        <v>1.8197311840641772E-2</v>
      </c>
      <c r="V35" s="2675">
        <f>F35/F36-1</f>
        <v>7.8211933962205826E-2</v>
      </c>
      <c r="X35" s="2676"/>
      <c r="Y35" s="2676"/>
      <c r="Z35" s="2676"/>
    </row>
    <row r="36" spans="1:26" ht="13.5" thickBot="1">
      <c r="A36" s="2657" t="s">
        <v>2598</v>
      </c>
      <c r="B36" s="2663">
        <v>269</v>
      </c>
      <c r="C36" s="2663">
        <v>221</v>
      </c>
      <c r="D36" s="2663">
        <f t="shared" si="45"/>
        <v>221</v>
      </c>
      <c r="E36" s="2663">
        <v>373</v>
      </c>
      <c r="F36" s="2664">
        <v>196</v>
      </c>
      <c r="G36" s="3532">
        <v>2010</v>
      </c>
      <c r="H36" s="2677">
        <v>4</v>
      </c>
      <c r="I36" s="2677">
        <v>5.72</v>
      </c>
      <c r="J36" s="2677">
        <v>6.57</v>
      </c>
      <c r="K36" s="2677">
        <v>5.72</v>
      </c>
      <c r="L36" s="2678">
        <v>2.72</v>
      </c>
      <c r="N36" s="2666">
        <f t="shared" si="47"/>
        <v>5.7200000000000001E-2</v>
      </c>
      <c r="O36" s="2667">
        <f t="shared" si="47"/>
        <v>6.5700000000000008E-2</v>
      </c>
      <c r="P36" s="2667">
        <f t="shared" si="47"/>
        <v>5.7200000000000001E-2</v>
      </c>
      <c r="Q36" s="2667">
        <f t="shared" si="47"/>
        <v>2.7200000000000002E-2</v>
      </c>
      <c r="R36" s="2668"/>
      <c r="S36" s="2669"/>
      <c r="T36" s="2670"/>
      <c r="U36" s="2670"/>
      <c r="V36" s="2670"/>
      <c r="X36" s="2670"/>
      <c r="Y36" s="2670"/>
      <c r="Z36" s="2670"/>
    </row>
    <row r="37" spans="1:26">
      <c r="A37" s="2657" t="s">
        <v>2599</v>
      </c>
      <c r="B37" s="2671">
        <f t="shared" ref="B37:C39" si="59">B36/(1+N36)</f>
        <v>254.44570563753314</v>
      </c>
      <c r="C37" s="2671">
        <f t="shared" si="59"/>
        <v>207.37543398705074</v>
      </c>
      <c r="D37" s="2671">
        <f t="shared" si="45"/>
        <v>207.37543398705074</v>
      </c>
      <c r="E37" s="2671">
        <f t="shared" ref="E37:F39" si="60">E36/(1+P36)</f>
        <v>352.81876655315932</v>
      </c>
      <c r="F37" s="2671">
        <f t="shared" si="60"/>
        <v>190.809968847352</v>
      </c>
      <c r="G37" s="3533">
        <v>2010</v>
      </c>
      <c r="H37" s="2682">
        <v>3</v>
      </c>
      <c r="I37" s="2682">
        <v>4.7300000000000004</v>
      </c>
      <c r="J37" s="2682">
        <v>3.9</v>
      </c>
      <c r="K37" s="2682">
        <v>5.03</v>
      </c>
      <c r="L37" s="2683">
        <v>4.21</v>
      </c>
      <c r="N37" s="2666">
        <f t="shared" si="47"/>
        <v>4.7300000000000002E-2</v>
      </c>
      <c r="O37" s="2667">
        <f t="shared" si="47"/>
        <v>3.9E-2</v>
      </c>
      <c r="P37" s="2667">
        <f t="shared" si="47"/>
        <v>5.0300000000000004E-2</v>
      </c>
      <c r="Q37" s="2667">
        <f t="shared" si="47"/>
        <v>4.2099999999999999E-2</v>
      </c>
      <c r="R37" s="2668"/>
      <c r="S37" s="2666"/>
      <c r="T37" s="2667"/>
      <c r="U37" s="2667"/>
      <c r="V37" s="2667"/>
    </row>
    <row r="38" spans="1:26">
      <c r="A38" s="2657" t="s">
        <v>2600</v>
      </c>
      <c r="B38" s="2671">
        <f t="shared" si="59"/>
        <v>242.95398227588385</v>
      </c>
      <c r="C38" s="2671">
        <f t="shared" si="59"/>
        <v>199.59137053614126</v>
      </c>
      <c r="D38" s="2671">
        <f t="shared" si="45"/>
        <v>199.59137053614126</v>
      </c>
      <c r="E38" s="2671">
        <f t="shared" si="60"/>
        <v>335.92189522342125</v>
      </c>
      <c r="F38" s="2671">
        <f t="shared" si="60"/>
        <v>183.10139991109489</v>
      </c>
      <c r="G38" s="3533">
        <v>2010</v>
      </c>
      <c r="H38" s="2662">
        <v>2</v>
      </c>
      <c r="I38" s="2662">
        <v>4.6900000000000004</v>
      </c>
      <c r="J38" s="2662">
        <v>3.55</v>
      </c>
      <c r="K38" s="2662">
        <v>5.07</v>
      </c>
      <c r="L38" s="2673">
        <v>4.2300000000000004</v>
      </c>
      <c r="N38" s="2666">
        <f t="shared" si="47"/>
        <v>4.6900000000000004E-2</v>
      </c>
      <c r="O38" s="2667">
        <f t="shared" si="47"/>
        <v>3.5499999999999997E-2</v>
      </c>
      <c r="P38" s="2667">
        <f t="shared" si="47"/>
        <v>5.0700000000000002E-2</v>
      </c>
      <c r="Q38" s="2667">
        <f t="shared" si="47"/>
        <v>4.2300000000000004E-2</v>
      </c>
      <c r="R38" s="2668"/>
      <c r="S38" s="2666"/>
      <c r="T38" s="2667"/>
      <c r="U38" s="2667"/>
      <c r="V38" s="2667"/>
    </row>
    <row r="39" spans="1:26" ht="13.5" thickBot="1">
      <c r="A39" s="2657" t="s">
        <v>2601</v>
      </c>
      <c r="B39" s="2671">
        <f t="shared" si="59"/>
        <v>232.06990378821649</v>
      </c>
      <c r="C39" s="2671">
        <f t="shared" si="59"/>
        <v>192.74878854286936</v>
      </c>
      <c r="D39" s="2671">
        <f t="shared" si="45"/>
        <v>192.74878854286936</v>
      </c>
      <c r="E39" s="2671">
        <f t="shared" si="60"/>
        <v>319.71247284992984</v>
      </c>
      <c r="F39" s="2671">
        <f t="shared" si="60"/>
        <v>175.67053622862409</v>
      </c>
      <c r="G39" s="3534">
        <v>2010</v>
      </c>
      <c r="H39" s="2661">
        <v>1</v>
      </c>
      <c r="I39" s="2661">
        <v>5.4</v>
      </c>
      <c r="J39" s="2661">
        <v>3.2</v>
      </c>
      <c r="K39" s="2661">
        <v>6.16</v>
      </c>
      <c r="L39" s="2672">
        <v>4.51</v>
      </c>
      <c r="N39" s="2666">
        <f t="shared" si="47"/>
        <v>5.4000000000000006E-2</v>
      </c>
      <c r="O39" s="2667">
        <f t="shared" si="47"/>
        <v>3.2000000000000001E-2</v>
      </c>
      <c r="P39" s="2667">
        <f t="shared" si="47"/>
        <v>6.1600000000000002E-2</v>
      </c>
      <c r="Q39" s="2667">
        <f t="shared" si="47"/>
        <v>4.5100000000000001E-2</v>
      </c>
      <c r="R39" s="2668"/>
      <c r="S39" s="2674">
        <f>B39/B40-1</f>
        <v>5.4863199037347599E-2</v>
      </c>
      <c r="T39" s="2675">
        <f>C39/C40-1</f>
        <v>3.0742184721226584E-2</v>
      </c>
      <c r="U39" s="2675">
        <f>E39/E40-1</f>
        <v>6.2167683886810154E-2</v>
      </c>
      <c r="V39" s="2675">
        <f>F39/F40-1</f>
        <v>4.5657953741810031E-2</v>
      </c>
      <c r="X39" s="2676"/>
      <c r="Y39" s="2676"/>
      <c r="Z39" s="2676"/>
    </row>
    <row r="40" spans="1:26" ht="13.5" thickBot="1">
      <c r="A40" s="2657" t="s">
        <v>2602</v>
      </c>
      <c r="B40" s="2663">
        <v>220</v>
      </c>
      <c r="C40" s="2663">
        <v>187</v>
      </c>
      <c r="D40" s="2663">
        <f t="shared" si="45"/>
        <v>187</v>
      </c>
      <c r="E40" s="2663">
        <v>301</v>
      </c>
      <c r="F40" s="2664">
        <v>168</v>
      </c>
      <c r="G40" s="3532">
        <v>2009</v>
      </c>
      <c r="H40" s="2677">
        <v>4</v>
      </c>
      <c r="I40" s="2677">
        <v>2.2999999999999998</v>
      </c>
      <c r="J40" s="2677">
        <v>1.04</v>
      </c>
      <c r="K40" s="2677">
        <v>2.84</v>
      </c>
      <c r="L40" s="2678">
        <v>0.67</v>
      </c>
      <c r="N40" s="2679">
        <f t="shared" si="47"/>
        <v>2.3E-2</v>
      </c>
      <c r="O40" s="2680">
        <f t="shared" si="47"/>
        <v>1.04E-2</v>
      </c>
      <c r="P40" s="2680">
        <f t="shared" si="47"/>
        <v>2.8399999999999998E-2</v>
      </c>
      <c r="Q40" s="2680">
        <f t="shared" si="47"/>
        <v>6.7000000000000002E-3</v>
      </c>
      <c r="R40" s="2668"/>
      <c r="S40" s="2669"/>
      <c r="T40" s="2670"/>
      <c r="U40" s="2670"/>
      <c r="V40" s="2670"/>
      <c r="X40" s="2670"/>
      <c r="Y40" s="2670"/>
      <c r="Z40" s="2670"/>
    </row>
    <row r="41" spans="1:26">
      <c r="A41" s="2657" t="s">
        <v>2603</v>
      </c>
      <c r="B41" s="2671">
        <f t="shared" ref="B41:C43" si="61">B40/(1+N40)</f>
        <v>215.05376344086022</v>
      </c>
      <c r="C41" s="2671">
        <f t="shared" si="61"/>
        <v>185.0752177355503</v>
      </c>
      <c r="D41" s="2671">
        <f t="shared" si="45"/>
        <v>185.0752177355503</v>
      </c>
      <c r="E41" s="2671">
        <f t="shared" ref="E41:F43" si="62">E40/(1+P40)</f>
        <v>292.68767016725008</v>
      </c>
      <c r="F41" s="2671">
        <f t="shared" si="62"/>
        <v>166.88189132810174</v>
      </c>
      <c r="G41" s="3533">
        <v>2009</v>
      </c>
      <c r="H41" s="2682">
        <v>3</v>
      </c>
      <c r="I41" s="2682">
        <v>2.1</v>
      </c>
      <c r="J41" s="2682">
        <v>1.86</v>
      </c>
      <c r="K41" s="2682">
        <v>2.29</v>
      </c>
      <c r="L41" s="2683">
        <v>0.85</v>
      </c>
      <c r="N41" s="2666">
        <f t="shared" si="47"/>
        <v>2.1000000000000001E-2</v>
      </c>
      <c r="O41" s="2684">
        <f t="shared" si="47"/>
        <v>1.8600000000000002E-2</v>
      </c>
      <c r="P41" s="2684">
        <f t="shared" si="47"/>
        <v>2.29E-2</v>
      </c>
      <c r="Q41" s="2684">
        <f t="shared" si="47"/>
        <v>8.5000000000000006E-3</v>
      </c>
      <c r="R41" s="2668"/>
      <c r="S41" s="2666"/>
      <c r="T41" s="2667"/>
      <c r="U41" s="2667"/>
      <c r="V41" s="2667"/>
    </row>
    <row r="42" spans="1:26">
      <c r="A42" s="2657" t="s">
        <v>2604</v>
      </c>
      <c r="B42" s="2671">
        <f t="shared" si="61"/>
        <v>210.630522469011</v>
      </c>
      <c r="C42" s="2671">
        <f t="shared" si="61"/>
        <v>181.69567812247232</v>
      </c>
      <c r="D42" s="2671">
        <f t="shared" si="45"/>
        <v>181.69567812247232</v>
      </c>
      <c r="E42" s="2671">
        <f t="shared" si="62"/>
        <v>286.13517466736738</v>
      </c>
      <c r="F42" s="2671">
        <f t="shared" si="62"/>
        <v>165.47535084591149</v>
      </c>
      <c r="G42" s="3533">
        <v>2009</v>
      </c>
      <c r="H42" s="2662">
        <v>2</v>
      </c>
      <c r="I42" s="2662">
        <v>0.86</v>
      </c>
      <c r="J42" s="2662">
        <v>-1.1299999999999999</v>
      </c>
      <c r="K42" s="2662">
        <v>1.79</v>
      </c>
      <c r="L42" s="2673">
        <v>-2.0699999999999998</v>
      </c>
      <c r="N42" s="2666">
        <f t="shared" si="47"/>
        <v>8.6E-3</v>
      </c>
      <c r="O42" s="2684">
        <f t="shared" si="47"/>
        <v>-1.1299999999999999E-2</v>
      </c>
      <c r="P42" s="2684">
        <f t="shared" si="47"/>
        <v>1.7899999999999999E-2</v>
      </c>
      <c r="Q42" s="2684">
        <f t="shared" si="47"/>
        <v>-2.07E-2</v>
      </c>
      <c r="R42" s="2668"/>
      <c r="S42" s="2666"/>
      <c r="T42" s="2667"/>
      <c r="U42" s="2667"/>
      <c r="V42" s="2667"/>
    </row>
    <row r="43" spans="1:26">
      <c r="A43" s="2657" t="s">
        <v>2605</v>
      </c>
      <c r="B43" s="2671">
        <f t="shared" si="61"/>
        <v>208.83454537875372</v>
      </c>
      <c r="C43" s="2671">
        <f t="shared" si="61"/>
        <v>183.77230517090351</v>
      </c>
      <c r="D43" s="2671">
        <f t="shared" si="45"/>
        <v>183.77230517090351</v>
      </c>
      <c r="E43" s="2671">
        <f t="shared" si="62"/>
        <v>281.10342338870947</v>
      </c>
      <c r="F43" s="2671">
        <f t="shared" si="62"/>
        <v>168.97309388942256</v>
      </c>
      <c r="G43" s="3534">
        <v>2009</v>
      </c>
      <c r="H43" s="2661">
        <v>1</v>
      </c>
      <c r="I43" s="2661">
        <v>-2.64</v>
      </c>
      <c r="J43" s="2661">
        <v>-2.5299999999999998</v>
      </c>
      <c r="K43" s="2661">
        <v>-3.02</v>
      </c>
      <c r="L43" s="2672">
        <v>1.52</v>
      </c>
      <c r="N43" s="2674">
        <f t="shared" si="47"/>
        <v>-2.64E-2</v>
      </c>
      <c r="O43" s="2675">
        <f t="shared" si="47"/>
        <v>-2.53E-2</v>
      </c>
      <c r="P43" s="2675">
        <f t="shared" si="47"/>
        <v>-3.0200000000000001E-2</v>
      </c>
      <c r="Q43" s="2675">
        <f t="shared" si="47"/>
        <v>1.52E-2</v>
      </c>
      <c r="R43" s="2668"/>
      <c r="S43" s="2674">
        <f>B43/B44-1</f>
        <v>-2.4137638417038754E-2</v>
      </c>
      <c r="T43" s="2675">
        <f>C43/C44-1</f>
        <v>-2.248773845264096E-2</v>
      </c>
      <c r="U43" s="2675">
        <f>E43/E44-1</f>
        <v>-2.7323794502735366E-2</v>
      </c>
      <c r="V43" s="2675">
        <f>F43/F44-1</f>
        <v>1.7910204153148035E-2</v>
      </c>
      <c r="X43" s="2676"/>
      <c r="Y43" s="2676"/>
      <c r="Z43" s="2676"/>
    </row>
    <row r="44" spans="1:26" ht="13.5" thickBot="1">
      <c r="A44" s="2657" t="s">
        <v>2606</v>
      </c>
      <c r="B44" s="2701">
        <v>214</v>
      </c>
      <c r="C44" s="2701">
        <v>188</v>
      </c>
      <c r="D44" s="2701">
        <f t="shared" si="45"/>
        <v>188</v>
      </c>
      <c r="E44" s="2701">
        <v>289</v>
      </c>
      <c r="F44" s="2702">
        <v>166</v>
      </c>
      <c r="G44" s="3532">
        <v>2008</v>
      </c>
      <c r="H44" s="2677">
        <v>4</v>
      </c>
      <c r="I44" s="2677">
        <v>1.73</v>
      </c>
      <c r="J44" s="2677">
        <v>0.03</v>
      </c>
      <c r="K44" s="2677">
        <v>2.59</v>
      </c>
      <c r="L44" s="2678">
        <v>-1.66</v>
      </c>
      <c r="N44" s="2666">
        <f t="shared" si="47"/>
        <v>1.7299999999999999E-2</v>
      </c>
      <c r="O44" s="2667">
        <f t="shared" si="47"/>
        <v>2.9999999999999997E-4</v>
      </c>
      <c r="P44" s="2667">
        <f t="shared" si="47"/>
        <v>2.5899999999999999E-2</v>
      </c>
      <c r="Q44" s="2667">
        <f t="shared" si="47"/>
        <v>-1.66E-2</v>
      </c>
      <c r="R44" s="2668"/>
      <c r="S44" s="2669"/>
      <c r="T44" s="2670"/>
      <c r="U44" s="2670"/>
      <c r="V44" s="2670"/>
      <c r="X44" s="2670"/>
      <c r="Y44" s="2670"/>
      <c r="Z44" s="2670"/>
    </row>
    <row r="45" spans="1:26">
      <c r="A45" s="2657" t="s">
        <v>2607</v>
      </c>
      <c r="B45" s="2671">
        <f t="shared" ref="B45:C47" si="63">B44/(1+N44)</f>
        <v>210.36075887152265</v>
      </c>
      <c r="C45" s="2671">
        <f t="shared" si="63"/>
        <v>187.94361691492554</v>
      </c>
      <c r="D45" s="2671">
        <f t="shared" si="45"/>
        <v>187.94361691492554</v>
      </c>
      <c r="E45" s="2671">
        <f t="shared" ref="E45:F47" si="64">E44/(1+P44)</f>
        <v>281.70386977288234</v>
      </c>
      <c r="F45" s="2671">
        <f t="shared" si="64"/>
        <v>168.80211511083994</v>
      </c>
      <c r="G45" s="3533">
        <v>2008</v>
      </c>
      <c r="H45" s="2682">
        <v>3</v>
      </c>
      <c r="I45" s="2682">
        <v>1.96</v>
      </c>
      <c r="J45" s="2682">
        <v>2.36</v>
      </c>
      <c r="K45" s="2682">
        <v>1.82</v>
      </c>
      <c r="L45" s="2683">
        <v>2.2200000000000002</v>
      </c>
      <c r="N45" s="2666">
        <f t="shared" si="47"/>
        <v>1.9599999999999999E-2</v>
      </c>
      <c r="O45" s="2667">
        <f t="shared" si="47"/>
        <v>2.3599999999999999E-2</v>
      </c>
      <c r="P45" s="2667">
        <f t="shared" si="47"/>
        <v>1.8200000000000001E-2</v>
      </c>
      <c r="Q45" s="2667">
        <f t="shared" si="47"/>
        <v>2.2200000000000001E-2</v>
      </c>
      <c r="R45" s="2668"/>
      <c r="S45" s="2666"/>
      <c r="T45" s="2667"/>
      <c r="U45" s="2667"/>
      <c r="V45" s="2667"/>
    </row>
    <row r="46" spans="1:26">
      <c r="A46" s="2657" t="s">
        <v>2608</v>
      </c>
      <c r="B46" s="2671">
        <f t="shared" si="63"/>
        <v>206.31694671589116</v>
      </c>
      <c r="C46" s="2671">
        <f t="shared" si="63"/>
        <v>183.61041121036101</v>
      </c>
      <c r="D46" s="2671">
        <f t="shared" si="45"/>
        <v>183.61041121036101</v>
      </c>
      <c r="E46" s="2671">
        <f t="shared" si="64"/>
        <v>276.66850301795557</v>
      </c>
      <c r="F46" s="2671">
        <f t="shared" si="64"/>
        <v>165.1360938278614</v>
      </c>
      <c r="G46" s="3533">
        <v>2008</v>
      </c>
      <c r="H46" s="2662">
        <v>2</v>
      </c>
      <c r="I46" s="2662">
        <v>4.93</v>
      </c>
      <c r="J46" s="2662">
        <v>7.38</v>
      </c>
      <c r="K46" s="2662">
        <v>3.98</v>
      </c>
      <c r="L46" s="2673">
        <v>6.86</v>
      </c>
      <c r="N46" s="2666">
        <f t="shared" si="47"/>
        <v>4.9299999999999997E-2</v>
      </c>
      <c r="O46" s="2667">
        <f t="shared" si="47"/>
        <v>7.3800000000000004E-2</v>
      </c>
      <c r="P46" s="2667">
        <f t="shared" si="47"/>
        <v>3.9800000000000002E-2</v>
      </c>
      <c r="Q46" s="2667">
        <f t="shared" si="47"/>
        <v>6.8600000000000008E-2</v>
      </c>
      <c r="R46" s="2668"/>
      <c r="S46" s="2666"/>
      <c r="T46" s="2667"/>
      <c r="U46" s="2667"/>
      <c r="V46" s="2667"/>
    </row>
    <row r="47" spans="1:26" s="2707" customFormat="1" ht="13.5" thickBot="1">
      <c r="A47" s="2657" t="s">
        <v>2609</v>
      </c>
      <c r="B47" s="2704">
        <f t="shared" si="63"/>
        <v>196.62341248059772</v>
      </c>
      <c r="C47" s="2704">
        <f t="shared" si="63"/>
        <v>170.99125648199012</v>
      </c>
      <c r="D47" s="2704">
        <f t="shared" si="45"/>
        <v>170.99125648199012</v>
      </c>
      <c r="E47" s="2704">
        <f t="shared" si="64"/>
        <v>266.07857570490052</v>
      </c>
      <c r="F47" s="2704">
        <f t="shared" si="64"/>
        <v>154.53499328828505</v>
      </c>
      <c r="G47" s="3534">
        <v>2008</v>
      </c>
      <c r="H47" s="2705">
        <v>1</v>
      </c>
      <c r="I47" s="2705">
        <v>4.1399999999999997</v>
      </c>
      <c r="J47" s="2705">
        <v>3.45</v>
      </c>
      <c r="K47" s="2705">
        <v>4.95</v>
      </c>
      <c r="L47" s="2706">
        <v>4.82</v>
      </c>
      <c r="N47" s="2708">
        <f t="shared" si="47"/>
        <v>4.1399999999999999E-2</v>
      </c>
      <c r="O47" s="2709">
        <f t="shared" si="47"/>
        <v>3.4500000000000003E-2</v>
      </c>
      <c r="P47" s="2709">
        <f t="shared" si="47"/>
        <v>4.9500000000000002E-2</v>
      </c>
      <c r="Q47" s="2709">
        <f t="shared" si="47"/>
        <v>4.82E-2</v>
      </c>
      <c r="R47" s="2710"/>
      <c r="S47" s="2708">
        <f>B47/B48-1</f>
        <v>4.5869215322328349E-2</v>
      </c>
      <c r="T47" s="2709">
        <f>C47/C48-1</f>
        <v>3.6310645345394743E-2</v>
      </c>
      <c r="U47" s="2709">
        <f>E47/E48-1</f>
        <v>4.7553447657088688E-2</v>
      </c>
      <c r="V47" s="2709">
        <f>F47/F48-1</f>
        <v>4.4155360055980086E-2</v>
      </c>
      <c r="X47" s="2711"/>
      <c r="Y47" s="2711"/>
      <c r="Z47" s="2711"/>
    </row>
    <row r="48" spans="1:26" ht="13.5" thickBot="1">
      <c r="A48" s="2657" t="s">
        <v>2610</v>
      </c>
      <c r="B48" s="2663">
        <v>188</v>
      </c>
      <c r="C48" s="2663">
        <v>165</v>
      </c>
      <c r="D48" s="2663">
        <f t="shared" si="45"/>
        <v>165</v>
      </c>
      <c r="E48" s="2663">
        <v>254</v>
      </c>
      <c r="F48" s="2664">
        <v>148</v>
      </c>
      <c r="G48" s="3532">
        <v>2007</v>
      </c>
      <c r="H48" s="2712">
        <v>4</v>
      </c>
      <c r="I48" s="2712">
        <v>5.51</v>
      </c>
      <c r="J48" s="2712">
        <v>4.8899999999999997</v>
      </c>
      <c r="K48" s="2712">
        <v>6.43</v>
      </c>
      <c r="L48" s="2713">
        <v>5.36</v>
      </c>
      <c r="N48" s="2714">
        <f t="shared" ref="N48:O51" si="65">B48/B49-1</f>
        <v>4.1339718365245526E-2</v>
      </c>
      <c r="O48" s="2715">
        <f t="shared" si="65"/>
        <v>4.0324492593776018E-2</v>
      </c>
      <c r="P48" s="2715">
        <f t="shared" ref="P48:Q51" si="66">E48/E49-1</f>
        <v>6.1625555347990968E-2</v>
      </c>
      <c r="Q48" s="2715">
        <f t="shared" si="66"/>
        <v>4.6757569250590603E-2</v>
      </c>
      <c r="R48" s="2668"/>
      <c r="S48" s="2669"/>
      <c r="T48" s="2670"/>
      <c r="U48" s="2670"/>
      <c r="V48" s="2670"/>
      <c r="X48" s="2670"/>
      <c r="Y48" s="2670"/>
      <c r="Z48" s="2670"/>
    </row>
    <row r="49" spans="1:26">
      <c r="A49" s="2657" t="s">
        <v>2611</v>
      </c>
      <c r="B49" s="2671">
        <f t="shared" ref="B49:C51" si="67">B50+(B$48-B$52)*I49/SUM(I$48:I$51)</f>
        <v>180.5366651097618</v>
      </c>
      <c r="C49" s="2671">
        <f t="shared" si="67"/>
        <v>158.60435967302453</v>
      </c>
      <c r="D49" s="2671">
        <f t="shared" si="45"/>
        <v>158.60435967302453</v>
      </c>
      <c r="E49" s="2671">
        <f t="shared" ref="E49:F51" si="68">E50+(E$48-E$52)*K49/SUM(K$48:K$51)</f>
        <v>239.25573260785075</v>
      </c>
      <c r="F49" s="2671">
        <f t="shared" si="68"/>
        <v>141.38899430740037</v>
      </c>
      <c r="G49" s="3533">
        <v>2007</v>
      </c>
      <c r="H49" s="2682">
        <v>3</v>
      </c>
      <c r="I49" s="2682">
        <v>8.65</v>
      </c>
      <c r="J49" s="2682">
        <v>8.06</v>
      </c>
      <c r="K49" s="2682">
        <v>9.94</v>
      </c>
      <c r="L49" s="2683">
        <v>5.8</v>
      </c>
      <c r="N49" s="2714">
        <f t="shared" si="65"/>
        <v>6.940217571740015E-2</v>
      </c>
      <c r="O49" s="2715">
        <f t="shared" si="65"/>
        <v>7.1197482471153428E-2</v>
      </c>
      <c r="P49" s="2715">
        <f t="shared" si="66"/>
        <v>0.10529679922579582</v>
      </c>
      <c r="Q49" s="2715">
        <f t="shared" si="66"/>
        <v>5.3292245059512133E-2</v>
      </c>
      <c r="R49" s="2668"/>
      <c r="S49" s="2666"/>
      <c r="T49" s="2667"/>
      <c r="U49" s="2667"/>
      <c r="V49" s="2667"/>
      <c r="X49" s="2716"/>
      <c r="Y49" s="2716"/>
      <c r="Z49" s="2716"/>
    </row>
    <row r="50" spans="1:26">
      <c r="A50" s="2657" t="s">
        <v>2612</v>
      </c>
      <c r="B50" s="2671">
        <f t="shared" si="67"/>
        <v>168.82017748715555</v>
      </c>
      <c r="C50" s="2671">
        <f t="shared" si="67"/>
        <v>148.06267029972753</v>
      </c>
      <c r="D50" s="2671">
        <f t="shared" si="45"/>
        <v>148.06267029972753</v>
      </c>
      <c r="E50" s="2671">
        <f t="shared" si="68"/>
        <v>216.46288379323747</v>
      </c>
      <c r="F50" s="2671">
        <f t="shared" si="68"/>
        <v>134.23529411764704</v>
      </c>
      <c r="G50" s="3533">
        <v>2007</v>
      </c>
      <c r="H50" s="2662">
        <v>2</v>
      </c>
      <c r="I50" s="2662">
        <v>3.67</v>
      </c>
      <c r="J50" s="2662">
        <v>2.3199999999999998</v>
      </c>
      <c r="K50" s="2662">
        <v>5.0199999999999996</v>
      </c>
      <c r="L50" s="2673">
        <v>6.71</v>
      </c>
      <c r="N50" s="2714">
        <f t="shared" si="65"/>
        <v>3.0339138143848032E-2</v>
      </c>
      <c r="O50" s="2715">
        <f t="shared" si="65"/>
        <v>2.0922341588790472E-2</v>
      </c>
      <c r="P50" s="2715">
        <f t="shared" si="66"/>
        <v>5.6164796592717003E-2</v>
      </c>
      <c r="Q50" s="2715">
        <f t="shared" si="66"/>
        <v>6.5704536723887319E-2</v>
      </c>
      <c r="R50" s="2668"/>
      <c r="S50" s="2666"/>
      <c r="T50" s="2667"/>
      <c r="U50" s="2667"/>
      <c r="V50" s="2667"/>
      <c r="X50" s="2716"/>
      <c r="Y50" s="2716"/>
      <c r="Z50" s="2716"/>
    </row>
    <row r="51" spans="1:26">
      <c r="A51" s="2657" t="s">
        <v>2613</v>
      </c>
      <c r="B51" s="2671">
        <f t="shared" si="67"/>
        <v>163.84913591779542</v>
      </c>
      <c r="C51" s="2671">
        <f t="shared" si="67"/>
        <v>145.0283378746594</v>
      </c>
      <c r="D51" s="2671">
        <f t="shared" si="45"/>
        <v>145.0283378746594</v>
      </c>
      <c r="E51" s="2671">
        <f t="shared" si="68"/>
        <v>204.95180722891567</v>
      </c>
      <c r="F51" s="2671">
        <f t="shared" si="68"/>
        <v>125.95920303605313</v>
      </c>
      <c r="G51" s="3534">
        <v>2007</v>
      </c>
      <c r="H51" s="2661">
        <v>1</v>
      </c>
      <c r="I51" s="2661">
        <v>3.58</v>
      </c>
      <c r="J51" s="2661">
        <v>3.08</v>
      </c>
      <c r="K51" s="2661">
        <v>4.34</v>
      </c>
      <c r="L51" s="2672">
        <v>3.21</v>
      </c>
      <c r="N51" s="2717">
        <f t="shared" si="65"/>
        <v>3.0497710174814063E-2</v>
      </c>
      <c r="O51" s="2718">
        <f t="shared" si="65"/>
        <v>2.8569772160704998E-2</v>
      </c>
      <c r="P51" s="2718">
        <f t="shared" si="66"/>
        <v>5.1034908866234296E-2</v>
      </c>
      <c r="Q51" s="2718">
        <f t="shared" si="66"/>
        <v>3.245248390207478E-2</v>
      </c>
      <c r="R51" s="2668"/>
      <c r="S51" s="2674">
        <f>B51/B52-1</f>
        <v>3.0497710174814063E-2</v>
      </c>
      <c r="T51" s="2675">
        <f>C51/C52-1</f>
        <v>2.8569772160704998E-2</v>
      </c>
      <c r="U51" s="2675">
        <f>E51/E52-1</f>
        <v>5.1034908866234296E-2</v>
      </c>
      <c r="V51" s="2675">
        <f>F51/F52-1</f>
        <v>3.245248390207478E-2</v>
      </c>
      <c r="X51" s="2716"/>
      <c r="Y51" s="2716"/>
      <c r="Z51" s="2716"/>
    </row>
    <row r="52" spans="1:26" ht="13.5" thickBot="1">
      <c r="A52" s="2657" t="s">
        <v>2614</v>
      </c>
      <c r="B52" s="2685">
        <v>159</v>
      </c>
      <c r="C52" s="2685">
        <v>141</v>
      </c>
      <c r="D52" s="2685">
        <f t="shared" si="45"/>
        <v>141</v>
      </c>
      <c r="E52" s="2685">
        <v>195</v>
      </c>
      <c r="F52" s="2686">
        <v>122</v>
      </c>
      <c r="G52" s="3532">
        <v>2006</v>
      </c>
      <c r="H52" s="2677">
        <v>4</v>
      </c>
      <c r="I52" s="2677">
        <v>3.79</v>
      </c>
      <c r="J52" s="2677">
        <v>2.21</v>
      </c>
      <c r="K52" s="2677">
        <v>5.65</v>
      </c>
      <c r="L52" s="2678">
        <v>5.41</v>
      </c>
      <c r="N52" s="2714">
        <f t="shared" ref="N52:O55" si="69">I52/SUM(I$52:I$55)*(B$52/B$56-1)</f>
        <v>7.245466462748526E-2</v>
      </c>
      <c r="O52" s="2715">
        <f t="shared" si="69"/>
        <v>2.3237230038062766E-2</v>
      </c>
      <c r="P52" s="2715">
        <f t="shared" ref="P52:Q55" si="70">K52/SUM(K$52:K$55)*(E$52/E$56-1)</f>
        <v>0.16146893866323722</v>
      </c>
      <c r="Q52" s="2715">
        <f t="shared" si="70"/>
        <v>5.0755230321793784E-2</v>
      </c>
      <c r="R52" s="2668"/>
      <c r="S52" s="2669"/>
      <c r="T52" s="2670"/>
      <c r="U52" s="2670"/>
      <c r="V52" s="2670"/>
      <c r="X52" s="2716"/>
      <c r="Y52" s="2716"/>
      <c r="Z52" s="2716"/>
    </row>
    <row r="53" spans="1:26">
      <c r="A53" s="2657" t="s">
        <v>2615</v>
      </c>
      <c r="B53" s="2671">
        <f t="shared" ref="B53:C55" si="71">B54+(B$52-B$56)*I53/SUM(I$52:I$55)</f>
        <v>149.00125628140702</v>
      </c>
      <c r="C53" s="2671">
        <f t="shared" si="71"/>
        <v>137.95592286501378</v>
      </c>
      <c r="D53" s="2671">
        <f t="shared" si="45"/>
        <v>137.95592286501378</v>
      </c>
      <c r="E53" s="2671">
        <f t="shared" ref="E53:F55" si="72">E54+(E$52-E$56)*K53/SUM(K$52:K$55)</f>
        <v>169.97231450719823</v>
      </c>
      <c r="F53" s="2671">
        <f t="shared" si="72"/>
        <v>116.21390374331551</v>
      </c>
      <c r="G53" s="3533">
        <v>2006</v>
      </c>
      <c r="H53" s="2682">
        <v>3</v>
      </c>
      <c r="I53" s="2682">
        <v>0.92</v>
      </c>
      <c r="J53" s="2682">
        <v>1.08</v>
      </c>
      <c r="K53" s="2682">
        <v>0.73</v>
      </c>
      <c r="L53" s="2683">
        <v>1.08</v>
      </c>
      <c r="N53" s="2714">
        <f t="shared" si="69"/>
        <v>1.7587939698492462E-2</v>
      </c>
      <c r="O53" s="2715">
        <f t="shared" si="69"/>
        <v>1.1355750425840628E-2</v>
      </c>
      <c r="P53" s="2715">
        <f t="shared" si="70"/>
        <v>2.0862358446754544E-2</v>
      </c>
      <c r="Q53" s="2715">
        <f t="shared" si="70"/>
        <v>1.0132282578103011E-2</v>
      </c>
      <c r="R53" s="2668"/>
      <c r="S53" s="2666"/>
      <c r="T53" s="2667"/>
      <c r="U53" s="2667"/>
      <c r="V53" s="2667"/>
      <c r="X53" s="2716"/>
      <c r="Y53" s="2716"/>
      <c r="Z53" s="2716"/>
    </row>
    <row r="54" spans="1:26">
      <c r="A54" s="2657" t="s">
        <v>2616</v>
      </c>
      <c r="B54" s="2671">
        <f t="shared" si="71"/>
        <v>146.57412060301507</v>
      </c>
      <c r="C54" s="2671">
        <f t="shared" si="71"/>
        <v>136.46831955922866</v>
      </c>
      <c r="D54" s="2671">
        <f t="shared" si="45"/>
        <v>136.46831955922866</v>
      </c>
      <c r="E54" s="2671">
        <f t="shared" si="72"/>
        <v>166.73864894795128</v>
      </c>
      <c r="F54" s="2671">
        <f t="shared" si="72"/>
        <v>115.05882352941177</v>
      </c>
      <c r="G54" s="3533">
        <v>2006</v>
      </c>
      <c r="H54" s="2662">
        <v>2</v>
      </c>
      <c r="I54" s="2662">
        <v>0.96</v>
      </c>
      <c r="J54" s="2662">
        <v>0.25</v>
      </c>
      <c r="K54" s="2662">
        <v>1.9</v>
      </c>
      <c r="L54" s="2673">
        <v>0.95</v>
      </c>
      <c r="N54" s="2714">
        <f t="shared" si="69"/>
        <v>1.8352632728861701E-2</v>
      </c>
      <c r="O54" s="2715">
        <f t="shared" si="69"/>
        <v>2.6286459319075526E-3</v>
      </c>
      <c r="P54" s="2715">
        <f t="shared" si="70"/>
        <v>5.4299289107991269E-2</v>
      </c>
      <c r="Q54" s="2715">
        <f t="shared" si="70"/>
        <v>8.9126559714794995E-3</v>
      </c>
      <c r="R54" s="2668"/>
      <c r="S54" s="2666"/>
      <c r="T54" s="2667"/>
      <c r="U54" s="2667"/>
      <c r="V54" s="2667"/>
      <c r="X54" s="2716"/>
      <c r="Y54" s="2716"/>
      <c r="Z54" s="2716"/>
    </row>
    <row r="55" spans="1:26">
      <c r="A55" s="2657" t="s">
        <v>2617</v>
      </c>
      <c r="B55" s="2671">
        <f t="shared" si="71"/>
        <v>144.04145728643215</v>
      </c>
      <c r="C55" s="2671">
        <f t="shared" si="71"/>
        <v>136.12396694214877</v>
      </c>
      <c r="D55" s="2671">
        <f t="shared" si="45"/>
        <v>136.12396694214877</v>
      </c>
      <c r="E55" s="2671">
        <f t="shared" si="72"/>
        <v>158.32225913621264</v>
      </c>
      <c r="F55" s="2671">
        <f t="shared" si="72"/>
        <v>114.04278074866311</v>
      </c>
      <c r="G55" s="3534">
        <v>2006</v>
      </c>
      <c r="H55" s="2661">
        <v>1</v>
      </c>
      <c r="I55" s="2661">
        <v>2.29</v>
      </c>
      <c r="J55" s="2661">
        <v>3.72</v>
      </c>
      <c r="K55" s="2661">
        <v>0.75</v>
      </c>
      <c r="L55" s="2672">
        <v>0.04</v>
      </c>
      <c r="N55" s="2717">
        <f t="shared" si="69"/>
        <v>4.3778675988638847E-2</v>
      </c>
      <c r="O55" s="2718">
        <f t="shared" si="69"/>
        <v>3.9114251466784385E-2</v>
      </c>
      <c r="P55" s="2718">
        <f t="shared" si="70"/>
        <v>2.1433929911049188E-2</v>
      </c>
      <c r="Q55" s="2718">
        <f t="shared" si="70"/>
        <v>3.7526972511492629E-4</v>
      </c>
      <c r="R55" s="2668"/>
      <c r="S55" s="2674">
        <f>B55/B56-1</f>
        <v>4.3778675988638716E-2</v>
      </c>
      <c r="T55" s="2675">
        <f>C55/C56-1</f>
        <v>3.91142514667846E-2</v>
      </c>
      <c r="U55" s="2675">
        <f>E55/E56-1</f>
        <v>2.143392991104931E-2</v>
      </c>
      <c r="V55" s="2675">
        <f>F55/F56-1</f>
        <v>3.7526972511492396E-4</v>
      </c>
      <c r="X55" s="2716"/>
      <c r="Y55" s="2716"/>
      <c r="Z55" s="2716"/>
    </row>
    <row r="56" spans="1:26" ht="13.5" thickBot="1">
      <c r="A56" s="2657" t="s">
        <v>2618</v>
      </c>
      <c r="B56" s="2685">
        <v>138</v>
      </c>
      <c r="C56" s="2685">
        <v>131</v>
      </c>
      <c r="D56" s="2685">
        <f t="shared" si="45"/>
        <v>131</v>
      </c>
      <c r="E56" s="2685">
        <v>155</v>
      </c>
      <c r="F56" s="2686">
        <v>114</v>
      </c>
      <c r="G56" s="3532">
        <v>2005</v>
      </c>
      <c r="H56" s="2677">
        <v>4</v>
      </c>
      <c r="I56" s="2677">
        <v>3.29</v>
      </c>
      <c r="J56" s="2677">
        <v>1.44</v>
      </c>
      <c r="K56" s="2677">
        <v>0.66</v>
      </c>
      <c r="L56" s="2678">
        <v>7.78</v>
      </c>
      <c r="N56" s="2714">
        <f t="shared" ref="N56:O59" si="73">I56/SUM(I$56:I$59)*(B$56/B$60-1)</f>
        <v>9.9404603216919935E-2</v>
      </c>
      <c r="O56" s="2715">
        <f t="shared" si="73"/>
        <v>4.7636550760861554E-2</v>
      </c>
      <c r="P56" s="2715">
        <f t="shared" ref="P56:Q59" si="74">K56/SUM(K$56:K$59)*(E$56/E$60-1)</f>
        <v>8.3756345177664976E-2</v>
      </c>
      <c r="Q56" s="2715">
        <f t="shared" si="74"/>
        <v>5.2148766661559584E-2</v>
      </c>
      <c r="R56" s="2668"/>
      <c r="S56" s="2669"/>
      <c r="T56" s="2670"/>
      <c r="U56" s="2670"/>
      <c r="V56" s="2670"/>
      <c r="X56" s="2716"/>
      <c r="Y56" s="2716"/>
      <c r="Z56" s="2716"/>
    </row>
    <row r="57" spans="1:26">
      <c r="A57" s="2657" t="s">
        <v>2619</v>
      </c>
      <c r="B57" s="2671">
        <f t="shared" ref="B57:C59" si="75">B58+(B$56-B$60)*I57/SUM(I$56:I$59)</f>
        <v>125.9720430107527</v>
      </c>
      <c r="C57" s="2671">
        <f t="shared" si="75"/>
        <v>125.1883408071749</v>
      </c>
      <c r="D57" s="2671">
        <f t="shared" si="45"/>
        <v>125.1883408071749</v>
      </c>
      <c r="E57" s="2671">
        <f t="shared" ref="E57:F59" si="76">E58+(E$56-E$60)*K57/SUM(K$56:K$59)</f>
        <v>144.61421319796952</v>
      </c>
      <c r="F57" s="2671">
        <f t="shared" si="76"/>
        <v>108.42008196721311</v>
      </c>
      <c r="G57" s="3533">
        <v>2005</v>
      </c>
      <c r="H57" s="2682">
        <v>3</v>
      </c>
      <c r="I57" s="2682">
        <v>0.46</v>
      </c>
      <c r="J57" s="2682">
        <v>0.32</v>
      </c>
      <c r="K57" s="2682">
        <v>0.42</v>
      </c>
      <c r="L57" s="2683">
        <v>0.64</v>
      </c>
      <c r="N57" s="2714">
        <f t="shared" si="73"/>
        <v>1.3898515951301874E-2</v>
      </c>
      <c r="O57" s="2715">
        <f t="shared" si="73"/>
        <v>1.0585900169080346E-2</v>
      </c>
      <c r="P57" s="2715">
        <f t="shared" si="74"/>
        <v>5.3299492385786795E-2</v>
      </c>
      <c r="Q57" s="2715">
        <f t="shared" si="74"/>
        <v>4.2898728359123568E-3</v>
      </c>
      <c r="R57" s="2668"/>
      <c r="S57" s="2666"/>
      <c r="T57" s="2667"/>
      <c r="U57" s="2667"/>
      <c r="V57" s="2667"/>
      <c r="X57" s="2716"/>
      <c r="Y57" s="2716"/>
      <c r="Z57" s="2716"/>
    </row>
    <row r="58" spans="1:26">
      <c r="A58" s="2657" t="s">
        <v>2620</v>
      </c>
      <c r="B58" s="2671">
        <f t="shared" si="75"/>
        <v>124.29032258064517</v>
      </c>
      <c r="C58" s="2671">
        <f t="shared" si="75"/>
        <v>123.8968609865471</v>
      </c>
      <c r="D58" s="2671">
        <f t="shared" si="45"/>
        <v>123.8968609865471</v>
      </c>
      <c r="E58" s="2671">
        <f t="shared" si="76"/>
        <v>138.00507614213197</v>
      </c>
      <c r="F58" s="2671">
        <f t="shared" si="76"/>
        <v>107.96106557377048</v>
      </c>
      <c r="G58" s="3533">
        <v>2005</v>
      </c>
      <c r="H58" s="2662">
        <v>2</v>
      </c>
      <c r="I58" s="2662">
        <v>0.47</v>
      </c>
      <c r="J58" s="2662">
        <v>0.1</v>
      </c>
      <c r="K58" s="2662">
        <v>0.52</v>
      </c>
      <c r="L58" s="2673">
        <v>0.79</v>
      </c>
      <c r="N58" s="2714">
        <f t="shared" si="73"/>
        <v>1.420065760241713E-2</v>
      </c>
      <c r="O58" s="2715">
        <f t="shared" si="73"/>
        <v>3.3080938028376083E-3</v>
      </c>
      <c r="P58" s="2715">
        <f t="shared" si="74"/>
        <v>6.598984771573603E-2</v>
      </c>
      <c r="Q58" s="2715">
        <f t="shared" si="74"/>
        <v>5.2953117818293153E-3</v>
      </c>
      <c r="R58" s="2668"/>
      <c r="S58" s="2666"/>
      <c r="T58" s="2667"/>
      <c r="U58" s="2667"/>
      <c r="V58" s="2667"/>
      <c r="X58" s="2716"/>
      <c r="Y58" s="2716"/>
      <c r="Z58" s="2716"/>
    </row>
    <row r="59" spans="1:26">
      <c r="A59" s="2657" t="s">
        <v>2621</v>
      </c>
      <c r="B59" s="2671">
        <f t="shared" si="75"/>
        <v>122.57204301075269</v>
      </c>
      <c r="C59" s="2671">
        <f t="shared" si="75"/>
        <v>123.4932735426009</v>
      </c>
      <c r="D59" s="2671">
        <f t="shared" si="45"/>
        <v>123.4932735426009</v>
      </c>
      <c r="E59" s="2671">
        <f t="shared" si="76"/>
        <v>129.82233502538071</v>
      </c>
      <c r="F59" s="2671">
        <f t="shared" si="76"/>
        <v>107.39446721311475</v>
      </c>
      <c r="G59" s="3534">
        <v>2005</v>
      </c>
      <c r="H59" s="2661">
        <v>1</v>
      </c>
      <c r="I59" s="2661">
        <v>0.43</v>
      </c>
      <c r="J59" s="2661">
        <v>0.37</v>
      </c>
      <c r="K59" s="2661">
        <v>0.37</v>
      </c>
      <c r="L59" s="2672">
        <v>0.55000000000000004</v>
      </c>
      <c r="N59" s="2717">
        <f t="shared" si="73"/>
        <v>1.2992090997956099E-2</v>
      </c>
      <c r="O59" s="2718">
        <f t="shared" si="73"/>
        <v>1.2239947070499151E-2</v>
      </c>
      <c r="P59" s="2718">
        <f t="shared" si="74"/>
        <v>4.6954314720812178E-2</v>
      </c>
      <c r="Q59" s="2718">
        <f t="shared" si="74"/>
        <v>3.6866094683621815E-3</v>
      </c>
      <c r="R59" s="2668"/>
      <c r="S59" s="2674">
        <f>B59/B60-1</f>
        <v>1.2992090997956174E-2</v>
      </c>
      <c r="T59" s="2675">
        <f>C59/C60-1</f>
        <v>1.2239947070499246E-2</v>
      </c>
      <c r="U59" s="2675">
        <f>E59/E60-1</f>
        <v>4.695431472081224E-2</v>
      </c>
      <c r="V59" s="2675">
        <f>F59/F60-1</f>
        <v>3.6866094683620787E-3</v>
      </c>
      <c r="X59" s="2716"/>
      <c r="Y59" s="2716"/>
      <c r="Z59" s="2716"/>
    </row>
    <row r="60" spans="1:26" ht="13.5" thickBot="1">
      <c r="A60" s="2657" t="s">
        <v>2622</v>
      </c>
      <c r="B60" s="2701">
        <v>121</v>
      </c>
      <c r="C60" s="2701">
        <v>122</v>
      </c>
      <c r="D60" s="2701">
        <f t="shared" si="45"/>
        <v>122</v>
      </c>
      <c r="E60" s="2701">
        <v>124</v>
      </c>
      <c r="F60" s="2702">
        <v>107</v>
      </c>
      <c r="G60" s="3532">
        <v>2004</v>
      </c>
      <c r="H60" s="2677">
        <v>4</v>
      </c>
      <c r="I60" s="2677">
        <v>0.33</v>
      </c>
      <c r="J60" s="2677">
        <v>0.5</v>
      </c>
      <c r="K60" s="2677">
        <v>0.5</v>
      </c>
      <c r="L60" s="2678">
        <v>0</v>
      </c>
      <c r="N60" s="2714">
        <f t="shared" ref="N60:O63" si="77">I60/SUM(I$60:I$63)*(B$60/B$64-1)</f>
        <v>1.3391770148526898E-2</v>
      </c>
      <c r="O60" s="2715">
        <f t="shared" si="77"/>
        <v>1.063264221158958E-2</v>
      </c>
      <c r="P60" s="2715">
        <f t="shared" ref="P60:Q63" si="78">K60/SUM(K$60:K$63)*(E$60/E$64-1)</f>
        <v>2.2244466688911134E-2</v>
      </c>
      <c r="Q60" s="2715">
        <f t="shared" si="78"/>
        <v>0</v>
      </c>
      <c r="R60" s="2668"/>
      <c r="S60" s="2669"/>
      <c r="T60" s="2670"/>
      <c r="U60" s="2670"/>
      <c r="V60" s="2670"/>
      <c r="X60" s="2716"/>
      <c r="Y60" s="2716"/>
      <c r="Z60" s="2716"/>
    </row>
    <row r="61" spans="1:26">
      <c r="A61" s="2657" t="s">
        <v>2623</v>
      </c>
      <c r="B61" s="2671">
        <f t="shared" ref="B61:C63" si="79">B62+(B$60-B$64)*I61/SUM(I$60:I$63)</f>
        <v>119.51351351351352</v>
      </c>
      <c r="C61" s="2671">
        <f t="shared" si="79"/>
        <v>120.7878787878788</v>
      </c>
      <c r="D61" s="2671">
        <f t="shared" si="45"/>
        <v>120.7878787878788</v>
      </c>
      <c r="E61" s="2671">
        <f t="shared" ref="E61:F63" si="80">E62+(E$60-E$64)*K61/SUM(K$60:K$63)</f>
        <v>121.5975975975976</v>
      </c>
      <c r="F61" s="2671">
        <f t="shared" si="80"/>
        <v>107</v>
      </c>
      <c r="G61" s="3533">
        <v>2004</v>
      </c>
      <c r="H61" s="2682">
        <v>3</v>
      </c>
      <c r="I61" s="2682">
        <v>0.56000000000000005</v>
      </c>
      <c r="J61" s="2682">
        <v>0.8</v>
      </c>
      <c r="K61" s="2682">
        <v>0.83</v>
      </c>
      <c r="L61" s="2683">
        <v>0.06</v>
      </c>
      <c r="N61" s="2714">
        <f t="shared" si="77"/>
        <v>2.2725428130833527E-2</v>
      </c>
      <c r="O61" s="2715">
        <f t="shared" si="77"/>
        <v>1.7012227538543329E-2</v>
      </c>
      <c r="P61" s="2715">
        <f t="shared" si="78"/>
        <v>3.6925814703592477E-2</v>
      </c>
      <c r="Q61" s="2715">
        <f t="shared" si="78"/>
        <v>2.8846153846153744E-2</v>
      </c>
      <c r="R61" s="2668"/>
      <c r="S61" s="2666"/>
      <c r="T61" s="2667"/>
      <c r="U61" s="2667"/>
      <c r="V61" s="2667"/>
      <c r="X61" s="2716"/>
      <c r="Y61" s="2716"/>
      <c r="Z61" s="2716"/>
    </row>
    <row r="62" spans="1:26">
      <c r="A62" s="2657" t="s">
        <v>2624</v>
      </c>
      <c r="B62" s="2671">
        <f t="shared" si="79"/>
        <v>116.99099099099099</v>
      </c>
      <c r="C62" s="2671">
        <f t="shared" si="79"/>
        <v>118.84848484848486</v>
      </c>
      <c r="D62" s="2671">
        <f t="shared" si="45"/>
        <v>118.84848484848486</v>
      </c>
      <c r="E62" s="2671">
        <f t="shared" si="80"/>
        <v>117.60960960960961</v>
      </c>
      <c r="F62" s="2671">
        <f t="shared" si="80"/>
        <v>104</v>
      </c>
      <c r="G62" s="3533">
        <v>2004</v>
      </c>
      <c r="H62" s="2662">
        <v>2</v>
      </c>
      <c r="I62" s="2662">
        <v>1</v>
      </c>
      <c r="J62" s="2662">
        <v>1.5</v>
      </c>
      <c r="K62" s="2662">
        <v>1.5</v>
      </c>
      <c r="L62" s="2673">
        <v>0</v>
      </c>
      <c r="N62" s="2714">
        <f t="shared" si="77"/>
        <v>4.0581121662202721E-2</v>
      </c>
      <c r="O62" s="2715">
        <f t="shared" si="77"/>
        <v>3.1897926634768738E-2</v>
      </c>
      <c r="P62" s="2715">
        <f t="shared" si="78"/>
        <v>6.6733400066733395E-2</v>
      </c>
      <c r="Q62" s="2715">
        <f t="shared" si="78"/>
        <v>0</v>
      </c>
      <c r="R62" s="2668"/>
      <c r="S62" s="2666"/>
      <c r="T62" s="2667"/>
      <c r="U62" s="2667"/>
      <c r="V62" s="2667"/>
      <c r="X62" s="2716"/>
      <c r="Y62" s="2716"/>
      <c r="Z62" s="2716"/>
    </row>
    <row r="63" spans="1:26" s="2707" customFormat="1" ht="13.5" thickBot="1">
      <c r="A63" s="2657" t="s">
        <v>2625</v>
      </c>
      <c r="B63" s="2704">
        <f t="shared" si="79"/>
        <v>112.48648648648648</v>
      </c>
      <c r="C63" s="2704">
        <f t="shared" si="79"/>
        <v>115.21212121212122</v>
      </c>
      <c r="D63" s="2704">
        <f t="shared" si="45"/>
        <v>115.21212121212122</v>
      </c>
      <c r="E63" s="2704">
        <f t="shared" si="80"/>
        <v>110.4024024024024</v>
      </c>
      <c r="F63" s="2704">
        <f t="shared" si="80"/>
        <v>104</v>
      </c>
      <c r="G63" s="3534">
        <v>2004</v>
      </c>
      <c r="H63" s="2705">
        <v>1</v>
      </c>
      <c r="I63" s="2705">
        <v>0.33</v>
      </c>
      <c r="J63" s="2705">
        <v>0.5</v>
      </c>
      <c r="K63" s="2705">
        <v>0.5</v>
      </c>
      <c r="L63" s="2706">
        <v>0</v>
      </c>
      <c r="N63" s="2719">
        <f t="shared" si="77"/>
        <v>1.3391770148526898E-2</v>
      </c>
      <c r="O63" s="2720">
        <f t="shared" si="77"/>
        <v>1.063264221158958E-2</v>
      </c>
      <c r="P63" s="2720">
        <f t="shared" si="78"/>
        <v>2.2244466688911134E-2</v>
      </c>
      <c r="Q63" s="2720">
        <f t="shared" si="78"/>
        <v>0</v>
      </c>
      <c r="R63" s="2710"/>
      <c r="S63" s="2708">
        <f>B63/B64-1</f>
        <v>1.3391770148526883E-2</v>
      </c>
      <c r="T63" s="2709">
        <f>C63/C64-1</f>
        <v>1.063264221158966E-2</v>
      </c>
      <c r="U63" s="2709">
        <f>E63/E64-1</f>
        <v>2.2244466688911224E-2</v>
      </c>
      <c r="V63" s="2709">
        <f>F63/F64-1</f>
        <v>0</v>
      </c>
      <c r="X63" s="2721"/>
      <c r="Y63" s="2721"/>
      <c r="Z63" s="2721"/>
    </row>
    <row r="64" spans="1:26" ht="13.5" thickBot="1">
      <c r="A64" s="2657" t="s">
        <v>2626</v>
      </c>
      <c r="B64" s="2722">
        <v>111</v>
      </c>
      <c r="C64" s="2722">
        <v>114</v>
      </c>
      <c r="D64" s="2722">
        <f t="shared" si="45"/>
        <v>114</v>
      </c>
      <c r="E64" s="2722">
        <v>108</v>
      </c>
      <c r="F64" s="2723">
        <v>104</v>
      </c>
      <c r="G64" s="3532">
        <v>2003</v>
      </c>
      <c r="H64" s="2712">
        <v>4</v>
      </c>
      <c r="I64" s="2724"/>
      <c r="J64" s="2724"/>
      <c r="K64" s="2724"/>
      <c r="L64" s="2724"/>
      <c r="N64" s="2725"/>
      <c r="O64" s="2724"/>
      <c r="P64" s="2724"/>
      <c r="Q64" s="2724"/>
      <c r="S64" s="2725"/>
      <c r="T64" s="2724"/>
      <c r="U64" s="2724"/>
      <c r="V64" s="2724"/>
      <c r="X64" s="2716"/>
      <c r="Y64" s="2716"/>
      <c r="Z64" s="2716"/>
    </row>
    <row r="65" spans="1:26">
      <c r="A65" s="2657" t="s">
        <v>2627</v>
      </c>
      <c r="B65" s="2726">
        <f t="shared" ref="B65:C67" si="81">B66+(B$64-B$68)/4</f>
        <v>109.75</v>
      </c>
      <c r="C65" s="2726">
        <f t="shared" si="81"/>
        <v>112.25</v>
      </c>
      <c r="D65" s="2726">
        <f t="shared" si="45"/>
        <v>112.25</v>
      </c>
      <c r="E65" s="2726">
        <f t="shared" ref="E65:F67" si="82">E66+(E$64-E$68)/4</f>
        <v>107.25</v>
      </c>
      <c r="F65" s="2726">
        <f t="shared" si="82"/>
        <v>103.5</v>
      </c>
      <c r="G65" s="3533">
        <v>2003</v>
      </c>
      <c r="H65" s="2682">
        <v>3</v>
      </c>
      <c r="I65" s="2724"/>
      <c r="J65" s="2724"/>
      <c r="K65" s="2724"/>
      <c r="L65" s="2724"/>
      <c r="X65" s="2716"/>
      <c r="Y65" s="2716"/>
      <c r="Z65" s="2716"/>
    </row>
    <row r="66" spans="1:26">
      <c r="A66" s="2657" t="s">
        <v>2628</v>
      </c>
      <c r="B66" s="2726">
        <f t="shared" si="81"/>
        <v>108.5</v>
      </c>
      <c r="C66" s="2726">
        <f t="shared" si="81"/>
        <v>110.5</v>
      </c>
      <c r="D66" s="2726">
        <f t="shared" si="45"/>
        <v>110.5</v>
      </c>
      <c r="E66" s="2726">
        <f t="shared" si="82"/>
        <v>106.5</v>
      </c>
      <c r="F66" s="2726">
        <f t="shared" si="82"/>
        <v>103</v>
      </c>
      <c r="G66" s="3533">
        <v>2003</v>
      </c>
      <c r="H66" s="2662">
        <v>2</v>
      </c>
      <c r="I66" s="2724"/>
      <c r="J66" s="2724"/>
      <c r="K66" s="2724"/>
      <c r="L66" s="2724"/>
      <c r="X66" s="2716"/>
      <c r="Y66" s="2716"/>
      <c r="Z66" s="2716"/>
    </row>
    <row r="67" spans="1:26" ht="13.5" thickBot="1">
      <c r="A67" s="2657" t="s">
        <v>2629</v>
      </c>
      <c r="B67" s="2726">
        <f t="shared" si="81"/>
        <v>107.25</v>
      </c>
      <c r="C67" s="2726">
        <f t="shared" si="81"/>
        <v>108.75</v>
      </c>
      <c r="D67" s="2726">
        <f t="shared" si="45"/>
        <v>108.75</v>
      </c>
      <c r="E67" s="2726">
        <f t="shared" si="82"/>
        <v>105.75</v>
      </c>
      <c r="F67" s="2726">
        <f t="shared" si="82"/>
        <v>102.5</v>
      </c>
      <c r="G67" s="3534">
        <v>2003</v>
      </c>
      <c r="H67" s="2727">
        <v>1</v>
      </c>
      <c r="I67" s="2724"/>
      <c r="J67" s="2724"/>
      <c r="K67" s="2724"/>
      <c r="L67" s="2724"/>
      <c r="S67" s="2666"/>
      <c r="T67" s="2667"/>
      <c r="U67" s="2667"/>
      <c r="X67" s="2716"/>
      <c r="Y67" s="2716"/>
      <c r="Z67" s="2716"/>
    </row>
    <row r="68" spans="1:26" ht="13.5" thickBot="1">
      <c r="A68" s="2657" t="s">
        <v>2630</v>
      </c>
      <c r="B68" s="2728">
        <v>106</v>
      </c>
      <c r="C68" s="2728">
        <v>107</v>
      </c>
      <c r="D68" s="2728">
        <f t="shared" si="45"/>
        <v>107</v>
      </c>
      <c r="E68" s="2728">
        <v>105</v>
      </c>
      <c r="F68" s="2729">
        <v>102</v>
      </c>
      <c r="G68" s="3532">
        <v>2002</v>
      </c>
      <c r="H68" s="2677">
        <v>4</v>
      </c>
      <c r="I68" s="2724"/>
      <c r="J68" s="2724"/>
      <c r="K68" s="2724"/>
      <c r="L68" s="2724"/>
      <c r="N68" s="2725"/>
      <c r="O68" s="2724"/>
      <c r="P68" s="2724"/>
      <c r="Q68" s="2724"/>
      <c r="S68" s="2725"/>
      <c r="T68" s="2724"/>
      <c r="U68" s="2724"/>
      <c r="V68" s="2724"/>
      <c r="X68" s="2716"/>
      <c r="Y68" s="2716"/>
      <c r="Z68" s="2716"/>
    </row>
    <row r="69" spans="1:26">
      <c r="A69" s="2657" t="s">
        <v>2631</v>
      </c>
      <c r="B69" s="2726">
        <f t="shared" ref="B69:C71" si="83">B70+(B$68-B$72)/4</f>
        <v>105</v>
      </c>
      <c r="C69" s="2726">
        <f t="shared" si="83"/>
        <v>106</v>
      </c>
      <c r="D69" s="2726">
        <f t="shared" si="45"/>
        <v>106</v>
      </c>
      <c r="E69" s="2726">
        <f t="shared" ref="E69:F71" si="84">E70+(E$68-E$72)/4</f>
        <v>104.5</v>
      </c>
      <c r="F69" s="2726">
        <f t="shared" si="84"/>
        <v>101.5</v>
      </c>
      <c r="G69" s="3533">
        <v>2002</v>
      </c>
      <c r="H69" s="2682">
        <v>3</v>
      </c>
      <c r="I69" s="2724"/>
      <c r="J69" s="2724"/>
      <c r="K69" s="2724"/>
      <c r="L69" s="2724"/>
      <c r="X69" s="2716"/>
      <c r="Y69" s="2716"/>
      <c r="Z69" s="2716"/>
    </row>
    <row r="70" spans="1:26">
      <c r="A70" s="2657" t="s">
        <v>2632</v>
      </c>
      <c r="B70" s="2726">
        <f t="shared" si="83"/>
        <v>104</v>
      </c>
      <c r="C70" s="2726">
        <f t="shared" si="83"/>
        <v>105</v>
      </c>
      <c r="D70" s="2726">
        <f t="shared" si="45"/>
        <v>105</v>
      </c>
      <c r="E70" s="2726">
        <f t="shared" si="84"/>
        <v>104</v>
      </c>
      <c r="F70" s="2726">
        <f t="shared" si="84"/>
        <v>101</v>
      </c>
      <c r="G70" s="3533">
        <v>2002</v>
      </c>
      <c r="H70" s="2662">
        <v>2</v>
      </c>
      <c r="I70" s="2724"/>
      <c r="J70" s="2724"/>
      <c r="K70" s="2724"/>
      <c r="L70" s="2724"/>
      <c r="X70" s="2716"/>
      <c r="Y70" s="2716"/>
      <c r="Z70" s="2716"/>
    </row>
    <row r="71" spans="1:26" s="2693" customFormat="1" ht="13.5" thickBot="1">
      <c r="A71" s="2689" t="s">
        <v>2633</v>
      </c>
      <c r="B71" s="2730">
        <f t="shared" si="83"/>
        <v>103</v>
      </c>
      <c r="C71" s="2730">
        <f t="shared" si="83"/>
        <v>104</v>
      </c>
      <c r="D71" s="2730">
        <f t="shared" si="45"/>
        <v>104</v>
      </c>
      <c r="E71" s="2730">
        <f t="shared" si="84"/>
        <v>103.5</v>
      </c>
      <c r="F71" s="2730">
        <f t="shared" si="84"/>
        <v>100.5</v>
      </c>
      <c r="G71" s="3534">
        <v>2002</v>
      </c>
      <c r="H71" s="2731">
        <v>1</v>
      </c>
      <c r="I71" s="2732"/>
      <c r="J71" s="2732"/>
      <c r="K71" s="2732"/>
      <c r="L71" s="2732"/>
      <c r="N71" s="2733"/>
      <c r="S71" s="2733"/>
      <c r="X71" s="2734"/>
      <c r="Y71" s="2734"/>
      <c r="Z71" s="2734"/>
    </row>
    <row r="72" spans="1:26" ht="13.5" thickBot="1">
      <c r="B72" s="2735">
        <v>102</v>
      </c>
      <c r="C72" s="2736">
        <v>103</v>
      </c>
      <c r="D72" s="2736">
        <f t="shared" si="45"/>
        <v>103</v>
      </c>
      <c r="E72" s="2736">
        <v>103</v>
      </c>
      <c r="F72" s="2737">
        <v>100</v>
      </c>
      <c r="I72" s="2724"/>
      <c r="J72" s="2724"/>
      <c r="K72" s="2724"/>
      <c r="L72" s="2724"/>
      <c r="N72" s="2725"/>
      <c r="O72" s="2724"/>
      <c r="P72" s="2724"/>
      <c r="Q72" s="2724"/>
      <c r="S72" s="2725"/>
      <c r="T72" s="2724"/>
      <c r="U72" s="2724"/>
      <c r="V72" s="2724"/>
      <c r="X72" s="2670"/>
      <c r="Y72" s="2670"/>
      <c r="Z72" s="2670"/>
    </row>
    <row r="74" spans="1:26" s="2739" customFormat="1">
      <c r="A74" s="2738" t="s">
        <v>2634</v>
      </c>
      <c r="G74" s="2740"/>
      <c r="N74" s="2740"/>
      <c r="S74" s="2740"/>
    </row>
    <row r="75" spans="1:26" s="2739" customFormat="1">
      <c r="A75" s="2739" t="s">
        <v>2635</v>
      </c>
      <c r="G75" s="2740"/>
      <c r="N75" s="2740"/>
      <c r="S75" s="2740"/>
    </row>
    <row r="76" spans="1:26" s="2739" customFormat="1">
      <c r="A76" s="2739" t="s">
        <v>2636</v>
      </c>
      <c r="G76" s="2740"/>
      <c r="I76" s="2741"/>
      <c r="J76" s="2741"/>
      <c r="K76" s="2741"/>
      <c r="L76" s="2741"/>
      <c r="N76" s="2742"/>
      <c r="O76" s="2741"/>
      <c r="P76" s="2741"/>
      <c r="Q76" s="2741"/>
      <c r="S76" s="2742"/>
      <c r="T76" s="2741"/>
      <c r="U76" s="2741"/>
      <c r="V76" s="2741"/>
    </row>
    <row r="77" spans="1:26" s="2739" customFormat="1">
      <c r="A77" s="2739" t="s">
        <v>2637</v>
      </c>
      <c r="G77" s="2740"/>
      <c r="N77" s="2740"/>
      <c r="S77" s="2740"/>
    </row>
    <row r="84" spans="7:22" ht="13.5" thickBot="1"/>
    <row r="85" spans="7:22">
      <c r="G85" s="2665"/>
      <c r="S85" s="2743" t="s">
        <v>2638</v>
      </c>
      <c r="T85" s="2744" t="s">
        <v>2639</v>
      </c>
      <c r="U85" s="2744" t="s">
        <v>2640</v>
      </c>
      <c r="V85" s="2744" t="s">
        <v>2641</v>
      </c>
    </row>
    <row r="86" spans="7:22">
      <c r="G86" s="2665"/>
      <c r="N86" s="2669"/>
      <c r="O86" s="2670"/>
      <c r="P86" s="2670"/>
      <c r="Q86" s="2670"/>
      <c r="S86" s="2745">
        <v>2006</v>
      </c>
      <c r="T86" s="2746">
        <v>15.1</v>
      </c>
      <c r="U86" s="2746">
        <v>7.43</v>
      </c>
      <c r="V86" s="2746">
        <v>26.26</v>
      </c>
    </row>
    <row r="87" spans="7:22">
      <c r="G87" s="2665"/>
      <c r="N87" s="2669"/>
      <c r="O87" s="2670"/>
      <c r="P87" s="2670"/>
      <c r="Q87" s="2670"/>
      <c r="S87" s="2748">
        <v>2005</v>
      </c>
      <c r="T87" s="2747">
        <v>13.9</v>
      </c>
      <c r="U87" s="2747">
        <v>7.49</v>
      </c>
      <c r="V87" s="2747">
        <v>24.92</v>
      </c>
    </row>
    <row r="88" spans="7:22">
      <c r="G88" s="2665"/>
      <c r="N88" s="2669"/>
      <c r="O88" s="2670"/>
      <c r="P88" s="2670"/>
      <c r="Q88" s="2670"/>
      <c r="S88" s="2745">
        <v>2004</v>
      </c>
      <c r="T88" s="2746">
        <v>9.48</v>
      </c>
      <c r="U88" s="2746">
        <v>7.2</v>
      </c>
      <c r="V88" s="2746">
        <v>14.68</v>
      </c>
    </row>
    <row r="89" spans="7:22">
      <c r="G89" s="2665"/>
      <c r="N89" s="2669"/>
      <c r="O89" s="2670"/>
      <c r="P89" s="2670"/>
      <c r="Q89" s="2670"/>
      <c r="S89" s="2748">
        <v>2003</v>
      </c>
      <c r="T89" s="2747">
        <v>4.5</v>
      </c>
      <c r="U89" s="2747">
        <v>6.12</v>
      </c>
      <c r="V89" s="2747">
        <v>2.34</v>
      </c>
    </row>
    <row r="90" spans="7:22" ht="13.5" thickBot="1">
      <c r="G90" s="2665"/>
      <c r="N90" s="2669"/>
      <c r="O90" s="2670"/>
      <c r="P90" s="2670"/>
      <c r="Q90" s="2670"/>
      <c r="S90" s="2749">
        <v>2002</v>
      </c>
      <c r="T90" s="2750">
        <v>3.59</v>
      </c>
      <c r="U90" s="2750">
        <v>4.54</v>
      </c>
      <c r="V90" s="2750">
        <v>2.5499999999999998</v>
      </c>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5"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A4" sqref="A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c r="D1" s="3125" t="s">
        <v>952</v>
      </c>
      <c r="E1" s="2389" t="s">
        <v>2377</v>
      </c>
      <c r="F1" s="2390">
        <f ca="1">J53</f>
        <v>0</v>
      </c>
      <c r="G1" s="774">
        <f>MATCH(C1,'数据-取费表'!A6:A16,0)+5</f>
        <v>8</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t="e">
        <f ca="1">C40+J29+L46</f>
        <v>#DIV/0!</v>
      </c>
      <c r="C2" s="2059"/>
      <c r="D2" s="2057"/>
      <c r="E2" s="2058"/>
      <c r="F2" s="2058"/>
      <c r="G2" s="1591"/>
      <c r="H2" s="2059"/>
      <c r="I2" s="2059"/>
      <c r="J2" s="2059"/>
      <c r="K2" s="2060"/>
      <c r="L2" s="2059"/>
      <c r="M2" s="2059"/>
    </row>
    <row r="3" spans="1:33" ht="18" customHeight="1" thickBot="1">
      <c r="A3" s="833" t="s">
        <v>1728</v>
      </c>
      <c r="B3" s="834">
        <f ca="1">IF(ISERROR(B2*10000/F43),0,ROUND(B2*10000/F43,0))</f>
        <v>0</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0</v>
      </c>
      <c r="D5" s="2498" t="s">
        <v>2464</v>
      </c>
      <c r="E5" s="2492"/>
      <c r="F5" s="2493"/>
      <c r="G5" s="1593"/>
      <c r="H5" s="781">
        <v>1</v>
      </c>
      <c r="I5" s="782" t="s">
        <v>2461</v>
      </c>
      <c r="J5" s="55">
        <f ca="1">J6+J10+J12</f>
        <v>0</v>
      </c>
      <c r="K5" s="2498" t="s">
        <v>2464</v>
      </c>
      <c r="L5" s="2492"/>
      <c r="M5" s="2493"/>
    </row>
    <row r="6" spans="1:33" ht="18" customHeight="1">
      <c r="A6" s="1832" t="s">
        <v>1825</v>
      </c>
      <c r="B6" s="3526" t="s">
        <v>2466</v>
      </c>
      <c r="C6" s="783">
        <f ca="1">ROUND(F6*F8*F7*(1-F9)/10000,0)</f>
        <v>0</v>
      </c>
      <c r="D6" s="2499" t="s">
        <v>2465</v>
      </c>
      <c r="E6" s="784" t="s">
        <v>1739</v>
      </c>
      <c r="F6" s="785">
        <f ca="1">INDIRECT("'数据-取费表'!u"&amp;$G$1)</f>
        <v>0</v>
      </c>
      <c r="G6" s="1593"/>
      <c r="H6" s="2506" t="s">
        <v>2471</v>
      </c>
      <c r="I6" s="3526" t="s">
        <v>2466</v>
      </c>
      <c r="J6" s="783">
        <f ca="1">ROUND(M6*M8*M7*(1-M9)/10000,0)</f>
        <v>0</v>
      </c>
      <c r="K6" s="341" t="s">
        <v>1738</v>
      </c>
      <c r="L6" s="784" t="s">
        <v>1739</v>
      </c>
      <c r="M6" s="785">
        <f ca="1">INDIRECT("'数据-取费表'!z"&amp;$G$1)</f>
        <v>0</v>
      </c>
    </row>
    <row r="7" spans="1:33" ht="18" customHeight="1">
      <c r="A7" s="2502"/>
      <c r="B7" s="3527"/>
      <c r="C7" s="788"/>
      <c r="D7" s="789"/>
      <c r="E7" s="784" t="s">
        <v>1740</v>
      </c>
      <c r="F7" s="785">
        <f ca="1">IF(INDIRECT("'数据-取费表'!ah"&amp;$G$1)="",INDIRECT("'数据-取费表'!k"&amp;$G$1),INDIRECT("'数据-取费表'!ah"&amp;$G$1))</f>
        <v>0</v>
      </c>
      <c r="G7" s="1593"/>
      <c r="H7" s="2491"/>
      <c r="I7" s="3527"/>
      <c r="J7" s="788"/>
      <c r="K7" s="789"/>
      <c r="L7" s="784" t="s">
        <v>1740</v>
      </c>
      <c r="M7" s="785">
        <f ca="1">F7</f>
        <v>0</v>
      </c>
    </row>
    <row r="8" spans="1:33" ht="18" customHeight="1">
      <c r="A8" s="2495"/>
      <c r="B8" s="3528"/>
      <c r="C8" s="788"/>
      <c r="D8" s="789"/>
      <c r="E8" s="784" t="s">
        <v>1741</v>
      </c>
      <c r="F8" s="785">
        <f ca="1">INDIRECT("'数据-取费表'!ai"&amp;$G$1)</f>
        <v>0</v>
      </c>
      <c r="G8" s="1593"/>
      <c r="H8" s="2491"/>
      <c r="I8" s="3528"/>
      <c r="J8" s="788"/>
      <c r="K8" s="789"/>
      <c r="L8" s="784" t="s">
        <v>1741</v>
      </c>
      <c r="M8" s="785">
        <f ca="1">INDIRECT("'数据-取费表'!ai"&amp;$G$1)</f>
        <v>0</v>
      </c>
    </row>
    <row r="9" spans="1:33" ht="18" customHeight="1">
      <c r="A9" s="786"/>
      <c r="B9" s="3529"/>
      <c r="C9" s="788"/>
      <c r="D9" s="789"/>
      <c r="E9" s="784" t="s">
        <v>1742</v>
      </c>
      <c r="F9" s="794">
        <f ca="1">INDIRECT("'数据-取费表'!w"&amp;$G$1)</f>
        <v>0</v>
      </c>
      <c r="G9" s="1593"/>
      <c r="H9" s="2507"/>
      <c r="I9" s="3528"/>
      <c r="J9" s="788"/>
      <c r="K9" s="789"/>
      <c r="L9" s="795" t="s">
        <v>1742</v>
      </c>
      <c r="M9" s="796">
        <f ca="1">INDIRECT("'数据-取费表'!ab"&amp;$G$1)</f>
        <v>0</v>
      </c>
    </row>
    <row r="10" spans="1:33" ht="18" customHeight="1">
      <c r="A10" s="1832" t="s">
        <v>2469</v>
      </c>
      <c r="B10" s="2496" t="s">
        <v>2462</v>
      </c>
      <c r="C10" s="799">
        <f ca="1">ROUND(IF(F10="押一",C6/12*F11,IF(F10="押二",C6/12*2*F11,IF(F10="押三",C6/12*3*F11,C11*F11))),0)</f>
        <v>0</v>
      </c>
      <c r="D10" s="2503" t="s">
        <v>2975</v>
      </c>
      <c r="E10" s="2500" t="s">
        <v>2467</v>
      </c>
      <c r="F10" s="2623"/>
      <c r="G10" s="1593"/>
      <c r="H10" s="2563" t="s">
        <v>2472</v>
      </c>
      <c r="I10" s="2568" t="s">
        <v>2462</v>
      </c>
      <c r="J10" s="783">
        <f ca="1">ROUND(IF(M10="押一",J6/12*M11,IF(M10="押二",J6/12*2*M11,IF(M10="押三",J6/12*3*M11,J11*M11))),0)</f>
        <v>0</v>
      </c>
      <c r="K10" s="2503" t="s">
        <v>2975</v>
      </c>
      <c r="L10" s="2500" t="s">
        <v>2467</v>
      </c>
      <c r="M10" s="2623"/>
    </row>
    <row r="11" spans="1:33" ht="18" customHeight="1">
      <c r="A11" s="790"/>
      <c r="B11" s="2497" t="s">
        <v>2576</v>
      </c>
      <c r="C11" s="2501"/>
      <c r="D11" s="789"/>
      <c r="E11" s="2500" t="s">
        <v>2468</v>
      </c>
      <c r="F11" s="796">
        <f ca="1">'数据-取费表'!B39</f>
        <v>1.4999999999999999E-2</v>
      </c>
      <c r="G11" s="1593"/>
      <c r="H11" s="2564"/>
      <c r="I11" s="2497" t="s">
        <v>2576</v>
      </c>
      <c r="J11" s="2501"/>
      <c r="K11" s="2565"/>
      <c r="L11" s="2500" t="s">
        <v>2468</v>
      </c>
      <c r="M11" s="2494">
        <f ca="1">'数据-取费表'!B39</f>
        <v>1.4999999999999999E-2</v>
      </c>
    </row>
    <row r="12" spans="1:33" ht="18" customHeight="1" thickBot="1">
      <c r="A12" s="2539" t="s">
        <v>2470</v>
      </c>
      <c r="B12" s="2540" t="s">
        <v>2463</v>
      </c>
      <c r="C12" s="2541"/>
      <c r="D12" s="2542"/>
      <c r="E12" s="2543"/>
      <c r="F12" s="2544"/>
      <c r="G12" s="1593"/>
      <c r="H12" s="2553" t="s">
        <v>2473</v>
      </c>
      <c r="I12" s="2566" t="s">
        <v>2463</v>
      </c>
      <c r="J12" s="2567"/>
      <c r="K12" s="2542"/>
      <c r="L12" s="2543"/>
      <c r="M12" s="2556"/>
    </row>
    <row r="13" spans="1:33" ht="18" customHeight="1" thickTop="1">
      <c r="A13" s="1831">
        <v>2</v>
      </c>
      <c r="B13" s="1829" t="s">
        <v>1743</v>
      </c>
      <c r="C13" s="792">
        <f ca="1">ROUND(C29*F13,0)</f>
        <v>0</v>
      </c>
      <c r="D13" s="1836" t="s">
        <v>2300</v>
      </c>
      <c r="E13" s="1836" t="s">
        <v>1745</v>
      </c>
      <c r="F13" s="2538">
        <f ca="1">INDIRECT("'数据-取费表'!y"&amp;$G$1)</f>
        <v>0</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0</v>
      </c>
      <c r="D14" s="1981" t="s">
        <v>1746</v>
      </c>
      <c r="E14" s="1982"/>
      <c r="F14" s="805"/>
      <c r="G14" s="1593"/>
      <c r="H14" s="1650" t="s">
        <v>1831</v>
      </c>
      <c r="I14" s="2233" t="s">
        <v>2828</v>
      </c>
      <c r="J14" s="53">
        <f ca="1">C29</f>
        <v>0</v>
      </c>
      <c r="K14" s="26"/>
      <c r="L14" s="801"/>
      <c r="M14" s="802"/>
    </row>
    <row r="15" spans="1:33" s="2066" customFormat="1" ht="18" customHeight="1" thickBot="1">
      <c r="A15" s="1649" t="s">
        <v>1886</v>
      </c>
      <c r="B15" s="784" t="s">
        <v>647</v>
      </c>
      <c r="C15" s="53">
        <f ca="1">ROUND(C14*F15,0)</f>
        <v>0</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0</v>
      </c>
      <c r="K16" s="1823" t="s">
        <v>1751</v>
      </c>
      <c r="L16" s="2488"/>
      <c r="M16" s="2493"/>
    </row>
    <row r="17" spans="1:33" s="2066" customFormat="1" ht="18" customHeight="1">
      <c r="A17" s="1649" t="s">
        <v>1888</v>
      </c>
      <c r="B17" s="784" t="s">
        <v>653</v>
      </c>
      <c r="C17" s="53">
        <f ca="1">ROUND(F17*(F43+INDIRECT("'数据-取费表'!S"&amp;$G$1))/10000,0)</f>
        <v>0</v>
      </c>
      <c r="D17" s="784" t="s">
        <v>1752</v>
      </c>
      <c r="E17" s="784" t="s">
        <v>1753</v>
      </c>
      <c r="F17" s="56">
        <f>'数据-取费表'!B35</f>
        <v>200</v>
      </c>
      <c r="G17" s="1594"/>
      <c r="H17" s="1650" t="s">
        <v>1831</v>
      </c>
      <c r="I17" s="784" t="s">
        <v>656</v>
      </c>
      <c r="J17" s="53">
        <f ca="1">ROUND(IF(项目基本情况!B11="自然人",J5*M17,J18+J19+J20),0)</f>
        <v>0</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0</v>
      </c>
      <c r="D19" s="261" t="s">
        <v>1758</v>
      </c>
      <c r="E19" s="1984"/>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6" customFormat="1" ht="18" customHeight="1">
      <c r="A20" s="1650" t="s">
        <v>1890</v>
      </c>
      <c r="B20" s="784" t="s">
        <v>666</v>
      </c>
      <c r="C20" s="53">
        <f ca="1">ROUND(C19*F20,0)</f>
        <v>0</v>
      </c>
      <c r="D20" s="812" t="s">
        <v>1760</v>
      </c>
      <c r="E20" s="784" t="s">
        <v>1748</v>
      </c>
      <c r="F20" s="809">
        <f>'数据-取费表'!B37</f>
        <v>0.01</v>
      </c>
      <c r="G20" s="1594"/>
      <c r="H20" s="1652" t="s">
        <v>1881</v>
      </c>
      <c r="I20" s="341" t="s">
        <v>1761</v>
      </c>
      <c r="J20" s="54">
        <f ca="1">ROUND(M20*M21/10000,0)</f>
        <v>0</v>
      </c>
      <c r="K20" s="814" t="s">
        <v>1762</v>
      </c>
      <c r="L20" s="784" t="s">
        <v>1763</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0.01</v>
      </c>
      <c r="G21" s="1594"/>
      <c r="H21" s="2508"/>
      <c r="I21" s="793"/>
      <c r="J21" s="69"/>
      <c r="K21" s="816"/>
      <c r="L21" s="784" t="s">
        <v>1767</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单利计息。建造成本、管理费用、销售费用产生的利息。</v>
      </c>
      <c r="E22" s="1984"/>
      <c r="F22" s="56"/>
      <c r="G22" s="1593"/>
      <c r="H22" s="1650" t="s">
        <v>1890</v>
      </c>
      <c r="I22" s="784" t="s">
        <v>1769</v>
      </c>
      <c r="J22" s="53">
        <f ca="1">ROUND(J14*M22,0)</f>
        <v>0</v>
      </c>
      <c r="K22" s="2486" t="s">
        <v>1770</v>
      </c>
      <c r="L22" s="784" t="s">
        <v>1748</v>
      </c>
      <c r="M22" s="817">
        <f ca="1">INDIRECT("'数据-取费表'!Ak"&amp;$G$1)</f>
        <v>0</v>
      </c>
    </row>
    <row r="23" spans="1:33" s="2066" customFormat="1" ht="18" customHeight="1">
      <c r="A23" s="1649" t="s">
        <v>1832</v>
      </c>
      <c r="B23" s="784" t="s">
        <v>2538</v>
      </c>
      <c r="C23" s="53">
        <f ca="1">ROUND(IF('数据-取费表'!B22&lt;=1,(C19+C20)*F24*F23/2,(C19+C20)*(POWER((1+F24),F23/2)-1)),0)</f>
        <v>0</v>
      </c>
      <c r="D23" s="2573" t="str">
        <f>IF(F23&lt;=1,"(建造成本+管理费用)×利率×(建设周期÷2)","(建造成本+管理费用)×((1+利率)^(建设周期÷2)-1)")</f>
        <v>(建造成本+管理费用)×利率×(建设周期÷2)</v>
      </c>
      <c r="E23" s="784" t="s">
        <v>1771</v>
      </c>
      <c r="F23" s="640">
        <f>'数据-取费表'!B20</f>
        <v>1</v>
      </c>
      <c r="G23" s="1594"/>
      <c r="H23" s="1650" t="s">
        <v>1891</v>
      </c>
      <c r="I23" s="784" t="s">
        <v>679</v>
      </c>
      <c r="J23" s="53">
        <f ca="1">ROUND(J13*M23,0)</f>
        <v>0</v>
      </c>
      <c r="K23" s="2486" t="s">
        <v>1772</v>
      </c>
      <c r="L23" s="784" t="s">
        <v>1748</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2.0000000000000001E-4</v>
      </c>
      <c r="D24" s="2573" t="str">
        <f>IF(F23&lt;=1,"销售费用×利率×(建设周期÷2)","销售费用×((1+利率)^(建设周期÷2)-1)")</f>
        <v>销售费用×利率×(建设周期÷2)</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2" t="s">
        <v>2824</v>
      </c>
      <c r="J25" s="792">
        <f ca="1">J5-J16</f>
        <v>0</v>
      </c>
      <c r="K25" s="2550" t="s">
        <v>1778</v>
      </c>
      <c r="L25" s="2551"/>
      <c r="M25" s="2552"/>
    </row>
    <row r="26" spans="1:33" ht="18" customHeight="1">
      <c r="A26" s="1649" t="s">
        <v>1832</v>
      </c>
      <c r="B26" s="784" t="s">
        <v>2441</v>
      </c>
      <c r="C26" s="53">
        <f ca="1">ROUND((C19+C20)*F26,0)</f>
        <v>0</v>
      </c>
      <c r="D26" s="812" t="s">
        <v>1779</v>
      </c>
      <c r="E26" s="795" t="s">
        <v>1780</v>
      </c>
      <c r="F26" s="794">
        <f ca="1">INDIRECT("'数据-取费表'!q"&amp;$G$1)</f>
        <v>0</v>
      </c>
      <c r="G26" s="1593"/>
      <c r="H26" s="2504" t="s">
        <v>1781</v>
      </c>
      <c r="I26" s="2234" t="s">
        <v>2829</v>
      </c>
      <c r="J26" s="783">
        <f ca="1">IF(J5&lt;&gt;0,ROUND(J25*(1-((1+M28)/(1+M26))^M27)/(M26-M28),0),0)</f>
        <v>0</v>
      </c>
      <c r="K26" s="814" t="s">
        <v>1782</v>
      </c>
      <c r="L26" s="784" t="s">
        <v>2422</v>
      </c>
      <c r="M26" s="794">
        <f ca="1">INDIRECT("'数据-取费表'!I"&amp;$G$1)</f>
        <v>0</v>
      </c>
    </row>
    <row r="27" spans="1:33" ht="18" customHeight="1">
      <c r="A27" s="1649" t="s">
        <v>1833</v>
      </c>
      <c r="B27" s="784" t="s">
        <v>686</v>
      </c>
      <c r="C27" s="53">
        <f ca="1">ROUND(F21*F26,4)</f>
        <v>0</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5.2400000000000002E-2</v>
      </c>
      <c r="D28" s="812" t="s">
        <v>2302</v>
      </c>
      <c r="E28" s="784" t="s">
        <v>1786</v>
      </c>
      <c r="F28" s="809">
        <f>'数据-取费表'!B41</f>
        <v>5.5000000000000007E-2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f ca="1">ROUND((C19+C20+C23+C26)/(1-F21-C24-C27-C28),0)</f>
        <v>0</v>
      </c>
      <c r="D29" s="2547"/>
      <c r="E29" s="2548"/>
      <c r="F29" s="2549"/>
      <c r="G29" s="1594"/>
      <c r="H29" s="823" t="s">
        <v>1788</v>
      </c>
      <c r="I29" s="824" t="s">
        <v>1789</v>
      </c>
      <c r="J29" s="825">
        <f ca="1">ROUND(J26/(1+F40)^F41,0)</f>
        <v>0</v>
      </c>
      <c r="K29" s="826" t="s">
        <v>1790</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0</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0</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0</v>
      </c>
      <c r="D32" s="1979" t="s">
        <v>1796</v>
      </c>
      <c r="E32" s="784" t="s">
        <v>1797</v>
      </c>
      <c r="F32" s="809">
        <f>'数据-取费表'!B41</f>
        <v>5.5000000000000007E-2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4"/>
      <c r="H33" s="2079"/>
      <c r="I33" s="2079"/>
      <c r="J33" s="2079"/>
      <c r="K33" s="2080"/>
      <c r="L33" s="2079"/>
      <c r="M33" s="2079"/>
    </row>
    <row r="34" spans="1:18" ht="18" customHeight="1">
      <c r="A34" s="1652" t="s">
        <v>1834</v>
      </c>
      <c r="B34" s="341" t="s">
        <v>1799</v>
      </c>
      <c r="C34" s="54">
        <f ca="1">ROUND(F34*F35/10000,1)</f>
        <v>0</v>
      </c>
      <c r="D34" s="814" t="s">
        <v>1800</v>
      </c>
      <c r="E34" s="784" t="s">
        <v>1801</v>
      </c>
      <c r="F34" s="640">
        <f>'数据-取费表'!B52</f>
        <v>1.5</v>
      </c>
      <c r="G34" s="2064"/>
      <c r="H34" s="2067"/>
      <c r="I34" s="835" t="s">
        <v>1814</v>
      </c>
      <c r="J34" s="836"/>
      <c r="K34" s="2082"/>
      <c r="L34" s="2081"/>
      <c r="M34" s="2081"/>
    </row>
    <row r="35" spans="1:18" ht="18" customHeight="1">
      <c r="A35" s="815"/>
      <c r="B35" s="793"/>
      <c r="C35" s="69"/>
      <c r="D35" s="816"/>
      <c r="E35" s="784" t="s">
        <v>1802</v>
      </c>
      <c r="F35" s="785">
        <f ca="1">INDIRECT("'数据-取费表'!r"&amp;$G$1)</f>
        <v>0</v>
      </c>
      <c r="G35" s="2064"/>
      <c r="H35" s="2067"/>
      <c r="I35" s="837" t="s">
        <v>1815</v>
      </c>
      <c r="J35" s="838">
        <f ca="1">ROUND(C13*J36,0)</f>
        <v>0</v>
      </c>
      <c r="K35" s="2080"/>
      <c r="L35" s="2079"/>
      <c r="M35" s="2079"/>
    </row>
    <row r="36" spans="1:18" ht="18" customHeight="1">
      <c r="A36" s="1650" t="s">
        <v>1890</v>
      </c>
      <c r="B36" s="784" t="s">
        <v>1803</v>
      </c>
      <c r="C36" s="53">
        <f ca="1">ROUND(C29*F36,1)</f>
        <v>0</v>
      </c>
      <c r="D36" s="1979" t="s">
        <v>1804</v>
      </c>
      <c r="E36" s="784" t="s">
        <v>1797</v>
      </c>
      <c r="F36" s="817">
        <f ca="1">INDIRECT("'数据-取费表'!Ak"&amp;$G$1)</f>
        <v>0</v>
      </c>
      <c r="G36" s="2064"/>
      <c r="H36" s="2079"/>
      <c r="I36" s="839" t="s">
        <v>1816</v>
      </c>
      <c r="J36" s="840">
        <f ca="1">INDIRECT("'数据-取费表'!j"&amp;$G$1)</f>
        <v>0</v>
      </c>
      <c r="K36" s="2084"/>
      <c r="L36" s="2079"/>
      <c r="M36" s="2079"/>
    </row>
    <row r="37" spans="1:18" ht="18" customHeight="1">
      <c r="A37" s="1650" t="s">
        <v>1891</v>
      </c>
      <c r="B37" s="784" t="s">
        <v>679</v>
      </c>
      <c r="C37" s="53">
        <f ca="1">ROUND(C13*F37,1)</f>
        <v>0</v>
      </c>
      <c r="D37" s="1979" t="s">
        <v>1805</v>
      </c>
      <c r="E37" s="784" t="s">
        <v>1797</v>
      </c>
      <c r="F37" s="818">
        <f ca="1">INDIRECT("'数据-取费表'!Al"&amp;$G$1)</f>
        <v>0</v>
      </c>
      <c r="G37" s="2064"/>
      <c r="H37" s="2079"/>
      <c r="I37" s="841" t="s">
        <v>1817</v>
      </c>
      <c r="J37" s="842"/>
      <c r="K37" s="2084"/>
      <c r="L37" s="2079"/>
      <c r="M37" s="2079"/>
    </row>
    <row r="38" spans="1:18" ht="18" customHeight="1" thickBot="1">
      <c r="A38" s="2553" t="s">
        <v>1892</v>
      </c>
      <c r="B38" s="2548" t="s">
        <v>666</v>
      </c>
      <c r="C38" s="2546">
        <f ca="1">ROUND(C5*F38,1)</f>
        <v>0</v>
      </c>
      <c r="D38" s="2547" t="s">
        <v>1806</v>
      </c>
      <c r="E38" s="2548" t="s">
        <v>1797</v>
      </c>
      <c r="F38" s="2544">
        <f ca="1">INDIRECT("'数据-取费表'!Am"&amp;$G$1)</f>
        <v>0</v>
      </c>
      <c r="G38" s="2064"/>
      <c r="H38" s="2079"/>
      <c r="I38" s="843" t="s">
        <v>1818</v>
      </c>
      <c r="J38" s="844"/>
      <c r="K38" s="2085"/>
      <c r="L38" s="2079"/>
      <c r="M38" s="2079"/>
    </row>
    <row r="39" spans="1:18" ht="24.6" customHeight="1" thickTop="1">
      <c r="A39" s="1831" t="s">
        <v>1895</v>
      </c>
      <c r="B39" s="3012" t="s">
        <v>2824</v>
      </c>
      <c r="C39" s="792">
        <f ca="1">C5-C30</f>
        <v>0</v>
      </c>
      <c r="D39" s="2550" t="s">
        <v>1807</v>
      </c>
      <c r="E39" s="2551"/>
      <c r="F39" s="2552"/>
      <c r="G39" s="2064"/>
      <c r="H39" s="2079"/>
      <c r="I39" s="837" t="s">
        <v>1819</v>
      </c>
      <c r="J39" s="845" t="e">
        <f ca="1">ROUND(J35/C39,3)</f>
        <v>#DIV/0!</v>
      </c>
      <c r="K39" s="2085"/>
      <c r="L39" s="2079"/>
      <c r="M39" s="2079"/>
    </row>
    <row r="40" spans="1:18" ht="18" customHeight="1">
      <c r="A40" s="781" t="s">
        <v>1896</v>
      </c>
      <c r="B40" s="2234" t="s">
        <v>2304</v>
      </c>
      <c r="C40" s="783" t="e">
        <f ca="1">ROUND(C39*(1-((1+F42)/(1+F40))^F41)/(F40-F42),0)</f>
        <v>#DIV/0!</v>
      </c>
      <c r="D40" s="814" t="s">
        <v>1808</v>
      </c>
      <c r="E40" s="784" t="s">
        <v>2422</v>
      </c>
      <c r="F40" s="794">
        <f ca="1">INDIRECT("'数据-取费表'!I"&amp;$G$1)</f>
        <v>0</v>
      </c>
      <c r="G40" s="2064"/>
      <c r="H40" s="2064"/>
      <c r="I40" s="837" t="s">
        <v>1820</v>
      </c>
      <c r="J40" s="845" t="e">
        <f ca="1">1-J39</f>
        <v>#DIV/0!</v>
      </c>
      <c r="K40" s="2085"/>
      <c r="L40" s="2064"/>
      <c r="M40" s="2064"/>
    </row>
    <row r="41" spans="1:18" ht="18" customHeight="1">
      <c r="A41" s="786"/>
      <c r="B41" s="787"/>
      <c r="C41" s="788"/>
      <c r="D41" s="821" t="s">
        <v>1809</v>
      </c>
      <c r="E41" s="784" t="s">
        <v>2965</v>
      </c>
      <c r="F41" s="822">
        <f ca="1">IF(INDIRECT("'数据-取费表'!af"&amp;$G$1)=0,INDIRECT("'数据-取费表'!ae"&amp;$G$1),INDIRECT("'数据-取费表'!af"&amp;$G$1))</f>
        <v>0</v>
      </c>
      <c r="G41" s="2064"/>
      <c r="H41" s="1990"/>
      <c r="I41" s="843" t="s">
        <v>1821</v>
      </c>
      <c r="J41" s="846"/>
      <c r="K41" s="2084"/>
      <c r="L41" s="1990"/>
      <c r="M41" s="1990"/>
    </row>
    <row r="42" spans="1:18" ht="18" customHeight="1">
      <c r="A42" s="790"/>
      <c r="B42" s="791"/>
      <c r="C42" s="792"/>
      <c r="D42" s="816"/>
      <c r="E42" s="784" t="s">
        <v>1810</v>
      </c>
      <c r="F42" s="794">
        <f ca="1">INDIRECT("'数据-取费表'!v"&amp;$G$1)</f>
        <v>0</v>
      </c>
      <c r="G42" s="2064"/>
      <c r="H42" s="1990"/>
      <c r="I42" s="847" t="s">
        <v>1822</v>
      </c>
      <c r="J42" s="845" t="e">
        <f ca="1">ROUND(C13/C40,3)</f>
        <v>#DIV/0!</v>
      </c>
      <c r="K42" s="2084"/>
      <c r="L42" s="1990"/>
      <c r="M42" s="1990"/>
    </row>
    <row r="43" spans="1:18" ht="18" customHeight="1" thickBot="1">
      <c r="A43" s="823" t="s">
        <v>1788</v>
      </c>
      <c r="B43" s="824" t="s">
        <v>1811</v>
      </c>
      <c r="C43" s="825" t="e">
        <f ca="1">ROUND(C40*10000/F43,0)</f>
        <v>#DIV/0!</v>
      </c>
      <c r="D43" s="826" t="s">
        <v>1812</v>
      </c>
      <c r="E43" s="827" t="s">
        <v>1813</v>
      </c>
      <c r="F43" s="828">
        <f ca="1">INDIRECT("'数据-取费表'!k"&amp;$G$1)</f>
        <v>0</v>
      </c>
      <c r="G43" s="2064"/>
      <c r="H43" s="1990"/>
      <c r="I43" s="847" t="s">
        <v>1823</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t="e">
        <f ca="1">C67-C40</f>
        <v>#DIV/0!</v>
      </c>
      <c r="D46" s="2087"/>
      <c r="E46" s="2087"/>
      <c r="F46" s="2087"/>
      <c r="I46" s="2380" t="s">
        <v>2346</v>
      </c>
      <c r="J46" s="2381"/>
      <c r="K46" s="2382"/>
      <c r="L46" s="3160" t="e">
        <f ca="1">IF(OR(M47="住宅",D1="土地（套用方法）"),0,IF(L48&gt;J51,L60,J60))</f>
        <v>#DIV/0!</v>
      </c>
      <c r="O46" s="2396" t="s">
        <v>2413</v>
      </c>
      <c r="P46" s="1593"/>
      <c r="Q46" s="1605"/>
      <c r="R46" s="1593"/>
    </row>
    <row r="47" spans="1:18" s="2061" customFormat="1" ht="18" customHeight="1" thickBot="1">
      <c r="A47" s="2374">
        <v>1</v>
      </c>
      <c r="B47" s="2375" t="s">
        <v>635</v>
      </c>
      <c r="C47" s="2576">
        <f ca="1">C48+C52+C54</f>
        <v>0</v>
      </c>
      <c r="D47" s="2087"/>
      <c r="E47" s="2087"/>
      <c r="F47" s="2087"/>
      <c r="I47" s="3150" t="s">
        <v>2347</v>
      </c>
      <c r="J47" s="2383"/>
      <c r="K47" s="3157" t="s">
        <v>2352</v>
      </c>
      <c r="L47" s="3161">
        <f ca="1">INDIRECT("'数据-取费表'!d"&amp;$G$1)</f>
        <v>0</v>
      </c>
      <c r="M47" s="1605" t="str">
        <f>IF(ISNUMBER(FIND("住宅",C1)),"住宅","非住宅")</f>
        <v>非住宅</v>
      </c>
      <c r="O47" s="2397" t="s">
        <v>2378</v>
      </c>
      <c r="P47" s="2398" t="s">
        <v>2379</v>
      </c>
      <c r="Q47" s="2399" t="s">
        <v>2380</v>
      </c>
      <c r="R47" s="2398" t="s">
        <v>2381</v>
      </c>
    </row>
    <row r="48" spans="1:18" s="2061" customFormat="1" ht="18" customHeight="1" thickBot="1">
      <c r="A48" s="2644" t="s">
        <v>2540</v>
      </c>
      <c r="B48" s="2645" t="s">
        <v>2541</v>
      </c>
      <c r="C48" s="2376">
        <f ca="1">ROUND(F48*F50*F49*(1-F51)/10000,0)</f>
        <v>0</v>
      </c>
      <c r="D48" s="2377" t="s">
        <v>636</v>
      </c>
      <c r="E48" s="2378" t="s">
        <v>2299</v>
      </c>
      <c r="F48" s="2379"/>
      <c r="G48" s="2092"/>
      <c r="I48" s="3126" t="s">
        <v>2348</v>
      </c>
      <c r="J48" s="2384"/>
      <c r="K48" s="3158" t="s">
        <v>2354</v>
      </c>
      <c r="L48" s="1910">
        <f ca="1">INDIRECT("'数据-取费表'!f"&amp;$G$1)</f>
        <v>0</v>
      </c>
      <c r="O48" s="2400" t="s">
        <v>2382</v>
      </c>
      <c r="P48" s="2401" t="s">
        <v>2408</v>
      </c>
      <c r="Q48" s="2402" t="e">
        <f ca="1">C40+J29</f>
        <v>#DIV/0!</v>
      </c>
      <c r="R48" s="2401" t="s">
        <v>2383</v>
      </c>
    </row>
    <row r="49" spans="1:18" s="2061" customFormat="1" ht="18" customHeight="1" thickBot="1">
      <c r="A49" s="786"/>
      <c r="B49" s="787"/>
      <c r="C49" s="788"/>
      <c r="D49" s="789"/>
      <c r="E49" s="784" t="s">
        <v>1740</v>
      </c>
      <c r="F49" s="785">
        <f ca="1">F7</f>
        <v>0</v>
      </c>
      <c r="G49" s="2092"/>
      <c r="H49" s="2095"/>
      <c r="I49" s="3126" t="s">
        <v>2349</v>
      </c>
      <c r="J49" s="2385"/>
      <c r="K49" s="3159" t="s">
        <v>2355</v>
      </c>
      <c r="L49" s="2386"/>
      <c r="O49" s="2400" t="s">
        <v>2384</v>
      </c>
      <c r="P49" s="2401" t="s">
        <v>2409</v>
      </c>
      <c r="Q49" s="2402" t="e">
        <f ca="1">J60</f>
        <v>#DIV/0!</v>
      </c>
      <c r="R49" s="2401" t="s">
        <v>2385</v>
      </c>
    </row>
    <row r="50" spans="1:18" s="2061" customFormat="1" ht="18" customHeight="1" thickBot="1">
      <c r="A50" s="786"/>
      <c r="B50" s="787"/>
      <c r="C50" s="788"/>
      <c r="D50" s="789"/>
      <c r="E50" s="784" t="s">
        <v>1741</v>
      </c>
      <c r="F50" s="785">
        <f ca="1">F8</f>
        <v>0</v>
      </c>
      <c r="G50" s="2097"/>
      <c r="H50" s="2095"/>
      <c r="I50" s="3126" t="s">
        <v>2350</v>
      </c>
      <c r="J50" s="3154">
        <f>SUMPRODUCT((I63:I65=J47)*(J62:L62=J48)*(J63:L65))</f>
        <v>0</v>
      </c>
      <c r="K50" s="3159" t="s">
        <v>2356</v>
      </c>
      <c r="L50" s="2386"/>
      <c r="O50" s="2403" t="s">
        <v>2386</v>
      </c>
      <c r="P50" s="2401" t="s">
        <v>2410</v>
      </c>
      <c r="Q50" s="2402">
        <f ca="1">C29</f>
        <v>0</v>
      </c>
      <c r="R50" s="2401" t="s">
        <v>2383</v>
      </c>
    </row>
    <row r="51" spans="1:18" s="2061" customFormat="1" ht="18" customHeight="1" thickBot="1">
      <c r="A51" s="786"/>
      <c r="B51" s="787"/>
      <c r="C51" s="788"/>
      <c r="D51" s="789"/>
      <c r="E51" s="784" t="s">
        <v>640</v>
      </c>
      <c r="F51" s="2373"/>
      <c r="H51" s="2095"/>
      <c r="I51" s="3151" t="s">
        <v>2351</v>
      </c>
      <c r="J51" s="3155">
        <f>IF(J49="",J50,J49+J50-YEAR('数据-取费表'!B2))</f>
        <v>0</v>
      </c>
      <c r="K51" s="3126" t="s">
        <v>2357</v>
      </c>
      <c r="L51" s="3162">
        <f ca="1">ROUND(-PV(INDIRECT("'数据-取费表'!h"&amp;$G$1),L48,(C39-C13*J36),0),0)</f>
        <v>0</v>
      </c>
      <c r="O51" s="2403" t="s">
        <v>2387</v>
      </c>
      <c r="P51" s="2401" t="s">
        <v>2388</v>
      </c>
      <c r="Q51" s="2404" t="e">
        <f ca="1">J58</f>
        <v>#DIV/0!</v>
      </c>
      <c r="R51" s="2405"/>
    </row>
    <row r="52" spans="1:18" s="2061" customFormat="1" ht="18" customHeight="1" thickBot="1">
      <c r="A52" s="781" t="s">
        <v>2539</v>
      </c>
      <c r="B52" s="2496" t="s">
        <v>2462</v>
      </c>
      <c r="C52" s="799">
        <f ca="1">ROUND(IF(F52="押一",C48/12*F11,IF(F52="押二",C48/12*2*F11,IF(F52="押三",C48/12*3*F11,C53*F11))),0)</f>
        <v>0</v>
      </c>
      <c r="D52" s="2503" t="s">
        <v>2976</v>
      </c>
      <c r="E52" s="2500" t="s">
        <v>2467</v>
      </c>
      <c r="F52" s="2623"/>
      <c r="I52" s="3152" t="s">
        <v>2424</v>
      </c>
      <c r="J52" s="2387"/>
      <c r="K52" s="3152" t="s">
        <v>2423</v>
      </c>
      <c r="L52" s="2387"/>
      <c r="O52" s="2403" t="s">
        <v>2389</v>
      </c>
      <c r="P52" s="2401" t="s">
        <v>2390</v>
      </c>
      <c r="Q52" s="2404">
        <f>J52</f>
        <v>0</v>
      </c>
      <c r="R52" s="2405"/>
    </row>
    <row r="53" spans="1:18" s="2061" customFormat="1" ht="39.75" customHeight="1" thickBot="1">
      <c r="A53" s="786"/>
      <c r="B53" s="2497" t="s">
        <v>2576</v>
      </c>
      <c r="C53" s="2501"/>
      <c r="D53" s="2503"/>
      <c r="E53" s="2500"/>
      <c r="F53" s="800"/>
      <c r="I53" s="3153" t="s">
        <v>2980</v>
      </c>
      <c r="J53" s="3156">
        <f ca="1">IF(M47="住宅",IF(D1="——",MAX(J51,L48),MAX(J51,L48-'数据-取费表'!B20)),IF(D1="——",MIN(J51,L48),MIN(J51,L48-'数据-取费表'!B20)))</f>
        <v>0</v>
      </c>
      <c r="K53" s="3542" t="s">
        <v>2967</v>
      </c>
      <c r="L53" s="3543"/>
      <c r="O53" s="2403" t="s">
        <v>2391</v>
      </c>
      <c r="P53" s="2401" t="s">
        <v>2392</v>
      </c>
      <c r="Q53" s="2402">
        <f ca="1">J53</f>
        <v>0</v>
      </c>
      <c r="R53" s="2401" t="s">
        <v>2393</v>
      </c>
    </row>
    <row r="54" spans="1:18" s="2061" customFormat="1" ht="18" customHeight="1" thickBot="1">
      <c r="A54" s="2539" t="s">
        <v>2470</v>
      </c>
      <c r="B54" s="2540" t="s">
        <v>2463</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2394</v>
      </c>
      <c r="P54" s="2401" t="s">
        <v>2411</v>
      </c>
      <c r="Q54" s="2402" t="e">
        <f ca="1">Q48+Q49</f>
        <v>#DIV/0!</v>
      </c>
      <c r="R54" s="2405" t="s">
        <v>2395</v>
      </c>
    </row>
    <row r="55" spans="1:18" s="2061" customFormat="1" ht="18" customHeight="1" thickTop="1" thickBot="1">
      <c r="A55" s="797">
        <v>2</v>
      </c>
      <c r="B55" s="798" t="s">
        <v>644</v>
      </c>
      <c r="C55" s="799">
        <f ca="1">C13</f>
        <v>0</v>
      </c>
      <c r="D55" s="795"/>
      <c r="E55" s="795"/>
      <c r="F55" s="800"/>
      <c r="I55" s="3165" t="s">
        <v>2358</v>
      </c>
      <c r="J55" s="3101" t="e">
        <f ca="1">ROUND(IF(J47="钢混",J57/J50,1-(1-2%)*(J50-J57)/J50),3)</f>
        <v>#DIV/0!</v>
      </c>
      <c r="K55" s="3166" t="s">
        <v>2359</v>
      </c>
      <c r="L55" s="2388"/>
      <c r="O55" s="2406" t="s">
        <v>2414</v>
      </c>
      <c r="P55" s="1593"/>
      <c r="Q55" s="1605"/>
      <c r="R55" s="1593"/>
    </row>
    <row r="56" spans="1:18" s="2061" customFormat="1" ht="42.75" customHeight="1" thickBot="1">
      <c r="A56" s="1651"/>
      <c r="B56" s="2233" t="s">
        <v>2305</v>
      </c>
      <c r="C56" s="53">
        <f ca="1">C29</f>
        <v>0</v>
      </c>
      <c r="D56" s="2641"/>
      <c r="E56" s="784"/>
      <c r="F56" s="809"/>
      <c r="I56" s="3167" t="s">
        <v>2360</v>
      </c>
      <c r="J56" s="3177"/>
      <c r="K56" s="3126" t="s">
        <v>2365</v>
      </c>
      <c r="L56" s="1910">
        <f ca="1">IF(L48&lt;J51,"——",L48-J51)</f>
        <v>0</v>
      </c>
      <c r="O56" s="2397" t="s">
        <v>2378</v>
      </c>
      <c r="P56" s="2398" t="s">
        <v>2379</v>
      </c>
      <c r="Q56" s="2399" t="s">
        <v>2380</v>
      </c>
      <c r="R56" s="2398" t="s">
        <v>2381</v>
      </c>
    </row>
    <row r="57" spans="1:18" s="2061" customFormat="1" ht="28.5" customHeight="1" thickBot="1">
      <c r="A57" s="797" t="s">
        <v>1749</v>
      </c>
      <c r="B57" s="798" t="s">
        <v>651</v>
      </c>
      <c r="C57" s="799">
        <f ca="1">ROUND(C58+C63+C64+C65,0)</f>
        <v>0</v>
      </c>
      <c r="D57" s="26" t="s">
        <v>1751</v>
      </c>
      <c r="E57" s="2642"/>
      <c r="F57" s="56"/>
      <c r="I57" s="3168" t="s">
        <v>2361</v>
      </c>
      <c r="J57" s="3169">
        <f ca="1">IF(OR(M47="住宅",J51&lt;L48,J56="是"),"——",J51-L48)</f>
        <v>0</v>
      </c>
      <c r="K57" s="3126" t="s">
        <v>2366</v>
      </c>
      <c r="L57" s="1910">
        <f ca="1">IF(L48&lt;J51,"——",IF(L55="比较法",L49,IF(L55="基准地价",L50,L51)))</f>
        <v>0</v>
      </c>
      <c r="O57" s="2400" t="s">
        <v>2382</v>
      </c>
      <c r="P57" s="2401" t="s">
        <v>2412</v>
      </c>
      <c r="Q57" s="2402" t="e">
        <f ca="1">C40+J29</f>
        <v>#DIV/0!</v>
      </c>
      <c r="R57" s="2401" t="s">
        <v>2383</v>
      </c>
    </row>
    <row r="58" spans="1:18" s="2061" customFormat="1" ht="28.5" customHeight="1" thickBot="1">
      <c r="A58" s="1650" t="s">
        <v>1825</v>
      </c>
      <c r="B58" s="784" t="s">
        <v>656</v>
      </c>
      <c r="C58" s="53">
        <f ca="1">ROUND(IF(项目基本情况!B11="自然人",C47*F58,C59+C60+C61),1)</f>
        <v>0</v>
      </c>
      <c r="D58" s="2640" t="s">
        <v>657</v>
      </c>
      <c r="E58" s="2641" t="s">
        <v>690</v>
      </c>
      <c r="F58" s="810" t="str">
        <f ca="1">IF(项目基本情况!B11="企业","",IF(INDIRECT("'数据-取费表'!c"&amp;$G$1)="住宅",5%,IF(F48*F49*F50/12/(1+'数据-取费表'!C42)&gt;20000,12%,7%)))</f>
        <v/>
      </c>
      <c r="I58" s="3168" t="s">
        <v>2362</v>
      </c>
      <c r="J58" s="3102" t="e">
        <f ca="1">IF(J55&lt;0.4,0.4,J55)</f>
        <v>#DIV/0!</v>
      </c>
      <c r="K58" s="3126" t="s">
        <v>2367</v>
      </c>
      <c r="L58" s="1910" t="e">
        <f ca="1">ROUND(POWER(1+L52,L47-L48)*(POWER(1+L52,L48)-1)/(POWER(1+L52,L47)-1),4)</f>
        <v>#DIV/0!</v>
      </c>
      <c r="O58" s="2400" t="s">
        <v>2384</v>
      </c>
      <c r="P58" s="2401" t="s">
        <v>2415</v>
      </c>
      <c r="Q58" s="2402" t="e">
        <f ca="1">L60</f>
        <v>#DIV/0!</v>
      </c>
      <c r="R58" s="2405" t="s">
        <v>2417</v>
      </c>
    </row>
    <row r="59" spans="1:18" s="2061" customFormat="1" ht="28.5" customHeight="1" thickBot="1">
      <c r="A59" s="1649" t="s">
        <v>1832</v>
      </c>
      <c r="B59" s="784" t="s">
        <v>660</v>
      </c>
      <c r="C59" s="53">
        <f ca="1">ROUND(C47*F59/1.05,1)</f>
        <v>0</v>
      </c>
      <c r="D59" s="2641" t="s">
        <v>1757</v>
      </c>
      <c r="E59" s="784" t="s">
        <v>1748</v>
      </c>
      <c r="F59" s="809">
        <f t="shared" ref="F59:F65" si="0">F32</f>
        <v>5.5000000000000007E-2</v>
      </c>
      <c r="I59" s="3168" t="s">
        <v>2363</v>
      </c>
      <c r="J59" s="3169" t="e">
        <f ca="1">IF(OR(M47="住宅",J51&lt;L48,J56="是"),"——",ROUND(C29*J58,0))</f>
        <v>#DIV/0!</v>
      </c>
      <c r="K59" s="3126"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按房产原值计税</v>
      </c>
      <c r="E60" s="784" t="s">
        <v>1748</v>
      </c>
      <c r="F60" s="809">
        <f t="shared" si="0"/>
        <v>1.2E-2</v>
      </c>
      <c r="I60" s="3170" t="s">
        <v>2364</v>
      </c>
      <c r="J60" s="3171" t="e">
        <f ca="1">IF(OR(M47="住宅",J51&lt;L48,J56="是"),"0",ROUND(J59/(1+J52)^J53,0))</f>
        <v>#DIV/0!</v>
      </c>
      <c r="K60" s="3172" t="s">
        <v>2369</v>
      </c>
      <c r="L60" s="3171" t="e">
        <f ca="1">IF(OR(M47="住宅",L48&lt;J51),0,ROUND(L57*(L58/L59-1),0))</f>
        <v>#DIV/0!</v>
      </c>
      <c r="O60" s="2403" t="s">
        <v>2387</v>
      </c>
      <c r="P60" s="2401" t="s">
        <v>2396</v>
      </c>
      <c r="Q60" s="2404">
        <f>L52</f>
        <v>0</v>
      </c>
      <c r="R60" s="2405"/>
    </row>
    <row r="61" spans="1:18" s="2061" customFormat="1" ht="18" customHeight="1" thickBot="1">
      <c r="A61" s="1652" t="s">
        <v>1834</v>
      </c>
      <c r="B61" s="341" t="s">
        <v>668</v>
      </c>
      <c r="C61" s="54">
        <f ca="1">ROUND(F61*F62/10000,1)</f>
        <v>0</v>
      </c>
      <c r="D61" s="814" t="s">
        <v>669</v>
      </c>
      <c r="E61" s="784" t="s">
        <v>670</v>
      </c>
      <c r="F61" s="640">
        <f t="shared" si="0"/>
        <v>1.5</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0</v>
      </c>
      <c r="I62" s="3173" t="s">
        <v>2370</v>
      </c>
      <c r="J62" s="3174" t="s">
        <v>2371</v>
      </c>
      <c r="K62" s="3174" t="s">
        <v>2372</v>
      </c>
      <c r="L62" s="3174" t="s">
        <v>2353</v>
      </c>
      <c r="M62" s="3175" t="s">
        <v>2943</v>
      </c>
      <c r="O62" s="2403" t="s">
        <v>2391</v>
      </c>
      <c r="P62" s="2401" t="str">
        <f>K59</f>
        <v>建筑物剩余耐用年限下的土地年期修正系数Kn</v>
      </c>
      <c r="Q62" s="2402" t="e">
        <f ca="1">L59</f>
        <v>#DIV/0!</v>
      </c>
      <c r="R62" s="2405" t="s">
        <v>2400</v>
      </c>
    </row>
    <row r="63" spans="1:18" s="2061" customFormat="1" ht="15.75" thickBot="1">
      <c r="A63" s="1650" t="s">
        <v>1890</v>
      </c>
      <c r="B63" s="784" t="s">
        <v>676</v>
      </c>
      <c r="C63" s="53">
        <f ca="1">ROUND(C56*F63,1)</f>
        <v>0</v>
      </c>
      <c r="D63" s="2641" t="s">
        <v>1804</v>
      </c>
      <c r="E63" s="784" t="s">
        <v>1748</v>
      </c>
      <c r="F63" s="817">
        <f t="shared" ca="1" si="0"/>
        <v>0</v>
      </c>
      <c r="I63" s="3173" t="s">
        <v>2373</v>
      </c>
      <c r="J63" s="3174">
        <v>70</v>
      </c>
      <c r="K63" s="3174">
        <v>50</v>
      </c>
      <c r="L63" s="3174">
        <v>80</v>
      </c>
      <c r="M63" s="3176">
        <v>0.02</v>
      </c>
      <c r="O63" s="2400" t="s">
        <v>2394</v>
      </c>
      <c r="P63" s="2401" t="s">
        <v>2411</v>
      </c>
      <c r="Q63" s="2402" t="e">
        <f ca="1">Q57+Q58</f>
        <v>#DIV/0!</v>
      </c>
      <c r="R63" s="2405" t="s">
        <v>2395</v>
      </c>
    </row>
    <row r="64" spans="1:18" s="2061" customFormat="1" ht="16.5" thickBot="1">
      <c r="A64" s="1650" t="s">
        <v>1891</v>
      </c>
      <c r="B64" s="784" t="s">
        <v>679</v>
      </c>
      <c r="C64" s="53">
        <f ca="1">ROUND(C55*F64,1)</f>
        <v>0</v>
      </c>
      <c r="D64" s="2641" t="s">
        <v>680</v>
      </c>
      <c r="E64" s="784" t="s">
        <v>1748</v>
      </c>
      <c r="F64" s="818">
        <f t="shared" ca="1" si="0"/>
        <v>0</v>
      </c>
      <c r="I64" s="3173" t="s">
        <v>2374</v>
      </c>
      <c r="J64" s="3174">
        <v>50</v>
      </c>
      <c r="K64" s="3174">
        <v>35</v>
      </c>
      <c r="L64" s="3174">
        <v>60</v>
      </c>
      <c r="M64" s="846">
        <v>0</v>
      </c>
      <c r="O64" s="2406" t="s">
        <v>2418</v>
      </c>
      <c r="P64" s="1593"/>
      <c r="Q64" s="1605"/>
      <c r="R64" s="1593"/>
    </row>
    <row r="65" spans="1:18" s="2061" customFormat="1" ht="15.75" thickBot="1">
      <c r="A65" s="1650" t="s">
        <v>1892</v>
      </c>
      <c r="B65" s="784" t="s">
        <v>666</v>
      </c>
      <c r="C65" s="53">
        <f ca="1">ROUND(C47*F65,1)</f>
        <v>0</v>
      </c>
      <c r="D65" s="2641" t="s">
        <v>683</v>
      </c>
      <c r="E65" s="784" t="s">
        <v>1748</v>
      </c>
      <c r="F65" s="794">
        <f t="shared" ca="1" si="0"/>
        <v>0</v>
      </c>
      <c r="I65" s="3173" t="s">
        <v>2375</v>
      </c>
      <c r="J65" s="3174">
        <v>40</v>
      </c>
      <c r="K65" s="3174">
        <v>30</v>
      </c>
      <c r="L65" s="3174">
        <v>50</v>
      </c>
      <c r="M65" s="3176">
        <v>0.02</v>
      </c>
      <c r="O65" s="2397" t="s">
        <v>2378</v>
      </c>
      <c r="P65" s="2398" t="s">
        <v>2379</v>
      </c>
      <c r="Q65" s="2399" t="s">
        <v>2380</v>
      </c>
      <c r="R65" s="2398" t="s">
        <v>2381</v>
      </c>
    </row>
    <row r="66" spans="1:18" s="2061" customFormat="1" ht="24.75" thickBot="1">
      <c r="A66" s="797" t="s">
        <v>1777</v>
      </c>
      <c r="B66" s="3013" t="s">
        <v>2824</v>
      </c>
      <c r="C66" s="799">
        <f ca="1">C47-C57</f>
        <v>0</v>
      </c>
      <c r="D66" s="2640" t="s">
        <v>700</v>
      </c>
      <c r="E66" s="2639"/>
      <c r="F66" s="820"/>
      <c r="K66" s="2088"/>
      <c r="O66" s="2400" t="s">
        <v>2382</v>
      </c>
      <c r="P66" s="2401" t="s">
        <v>2412</v>
      </c>
      <c r="Q66" s="2402" t="e">
        <f ca="1">C40+J29</f>
        <v>#DIV/0!</v>
      </c>
      <c r="R66" s="2401" t="s">
        <v>2383</v>
      </c>
    </row>
    <row r="67" spans="1:18" s="2061" customFormat="1" ht="20.25" thickBot="1">
      <c r="A67" s="781" t="s">
        <v>1781</v>
      </c>
      <c r="B67" s="2234" t="s">
        <v>2304</v>
      </c>
      <c r="C67" s="783" t="e">
        <f ca="1">ROUND(C66*(1-((1+F69)/(1+F67))^F68)/(F67-F69),0)</f>
        <v>#DIV/0!</v>
      </c>
      <c r="D67" s="814" t="s">
        <v>704</v>
      </c>
      <c r="E67" s="784" t="s">
        <v>705</v>
      </c>
      <c r="F67" s="794">
        <f ca="1">F40</f>
        <v>0</v>
      </c>
      <c r="K67" s="2088"/>
      <c r="O67" s="2400" t="s">
        <v>2384</v>
      </c>
      <c r="P67" s="2401" t="s">
        <v>2415</v>
      </c>
      <c r="Q67" s="2402" t="e">
        <f ca="1">L60</f>
        <v>#DIV/0!</v>
      </c>
      <c r="R67" s="2405" t="s">
        <v>2417</v>
      </c>
    </row>
    <row r="68" spans="1:18" ht="21.75" thickBot="1">
      <c r="A68" s="786"/>
      <c r="B68" s="787"/>
      <c r="C68" s="788"/>
      <c r="D68" s="821" t="s">
        <v>1809</v>
      </c>
      <c r="E68" s="784" t="s">
        <v>1785</v>
      </c>
      <c r="F68" s="822">
        <f ca="1">F41</f>
        <v>0</v>
      </c>
      <c r="O68" s="2403" t="s">
        <v>2386</v>
      </c>
      <c r="P68" s="2401" t="s">
        <v>2416</v>
      </c>
      <c r="Q68" s="2407">
        <f ca="1">L51</f>
        <v>0</v>
      </c>
      <c r="R68" s="2408" t="s">
        <v>2419</v>
      </c>
    </row>
    <row r="69" spans="1:18" ht="20.25" thickBot="1">
      <c r="A69" s="790"/>
      <c r="B69" s="791"/>
      <c r="C69" s="792"/>
      <c r="D69" s="816"/>
      <c r="E69" s="784" t="s">
        <v>710</v>
      </c>
      <c r="F69" s="2373"/>
      <c r="O69" s="2403" t="s">
        <v>2387</v>
      </c>
      <c r="P69" s="2409" t="s">
        <v>2401</v>
      </c>
      <c r="Q69" s="2402">
        <f ca="1">ROUND(Q70-Q71*Q72,0)</f>
        <v>0</v>
      </c>
      <c r="R69" s="2405"/>
    </row>
    <row r="70" spans="1:18" ht="15.75" thickBot="1">
      <c r="A70" s="823" t="s">
        <v>1788</v>
      </c>
      <c r="B70" s="824" t="s">
        <v>1811</v>
      </c>
      <c r="C70" s="825" t="e">
        <f ca="1">ROUND(C67*10000/F70,0)</f>
        <v>#DIV/0!</v>
      </c>
      <c r="D70" s="826" t="s">
        <v>1812</v>
      </c>
      <c r="E70" s="827" t="s">
        <v>1813</v>
      </c>
      <c r="F70" s="828">
        <f ca="1">F43</f>
        <v>0</v>
      </c>
      <c r="O70" s="2403" t="s">
        <v>2402</v>
      </c>
      <c r="P70" s="2409" t="s">
        <v>2403</v>
      </c>
      <c r="Q70" s="2402">
        <f ca="1">C39</f>
        <v>0</v>
      </c>
      <c r="R70" s="2401" t="s">
        <v>2383</v>
      </c>
    </row>
    <row r="71" spans="1:18" ht="15.75" thickBot="1">
      <c r="O71" s="2403" t="s">
        <v>2404</v>
      </c>
      <c r="P71" s="2409" t="s">
        <v>2405</v>
      </c>
      <c r="Q71" s="2402">
        <f ca="1">C13</f>
        <v>0</v>
      </c>
      <c r="R71" s="2401" t="s">
        <v>2383</v>
      </c>
    </row>
    <row r="72" spans="1:18" ht="15.75" thickBot="1">
      <c r="O72" s="2403" t="s">
        <v>2406</v>
      </c>
      <c r="P72" s="2409" t="s">
        <v>2407</v>
      </c>
      <c r="Q72" s="2404">
        <f ca="1">J36</f>
        <v>0</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建筑物剩余耐用年限下的土地年期修正系数Kn</v>
      </c>
      <c r="Q75" s="2402" t="e">
        <f ca="1">L59</f>
        <v>#DIV/0!</v>
      </c>
      <c r="R75" s="2405" t="s">
        <v>2400</v>
      </c>
    </row>
    <row r="76" spans="1:18" ht="15.75" thickBot="1">
      <c r="O76" s="2400" t="s">
        <v>2394</v>
      </c>
      <c r="P76" s="2401" t="s">
        <v>2411</v>
      </c>
      <c r="Q76" s="2402" t="e">
        <f ca="1">Q66+Q67</f>
        <v>#DIV/0!</v>
      </c>
      <c r="R76" s="2405" t="s">
        <v>2395</v>
      </c>
    </row>
  </sheetData>
  <sheetProtection password="C66D" sheet="1" objects="1" scenarios="1" formatCells="0" formatColumns="0" formatRows="0"/>
  <mergeCells count="3">
    <mergeCell ref="K53:L53"/>
    <mergeCell ref="B6:B9"/>
    <mergeCell ref="I6:I9"/>
  </mergeCells>
  <phoneticPr fontId="5"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4" sqref="A4"/>
    </sheetView>
  </sheetViews>
  <sheetFormatPr defaultRowHeight="13.5"/>
  <cols>
    <col min="1" max="1" width="10.5" customWidth="1"/>
    <col min="2" max="2" width="12.875" customWidth="1"/>
    <col min="3" max="3" width="8.75" customWidth="1"/>
  </cols>
  <sheetData>
    <row r="1" spans="1:9" ht="14.25">
      <c r="A1" s="3544" t="s">
        <v>2474</v>
      </c>
      <c r="B1" s="3545"/>
      <c r="C1" s="3546"/>
      <c r="D1" s="3547">
        <f>SUM(I10,I15,I20,I21,I23)</f>
        <v>0</v>
      </c>
      <c r="E1" s="3547"/>
      <c r="F1" s="3547"/>
      <c r="G1" s="3547"/>
      <c r="H1" s="3547"/>
      <c r="I1" s="3548"/>
    </row>
    <row r="2" spans="1:9">
      <c r="A2" s="3549" t="s">
        <v>2475</v>
      </c>
      <c r="B2" s="3550" t="s">
        <v>2476</v>
      </c>
      <c r="C2" s="3550"/>
      <c r="D2" s="2509" t="s">
        <v>2477</v>
      </c>
      <c r="E2" s="2509" t="s">
        <v>2478</v>
      </c>
      <c r="F2" s="2509" t="s">
        <v>2479</v>
      </c>
      <c r="G2" s="2509" t="s">
        <v>2480</v>
      </c>
      <c r="H2" s="2509" t="s">
        <v>2481</v>
      </c>
      <c r="I2" s="2510" t="s">
        <v>2482</v>
      </c>
    </row>
    <row r="3" spans="1:9">
      <c r="A3" s="3549"/>
      <c r="B3" s="3550" t="s">
        <v>2483</v>
      </c>
      <c r="C3" s="3550"/>
      <c r="D3" s="2511"/>
      <c r="E3" s="2509"/>
      <c r="F3" s="2512"/>
      <c r="G3" s="2512"/>
      <c r="H3" s="2513"/>
      <c r="I3" s="2514">
        <f>ROUND(D3*E3*F3*G3*H3/10000,0)</f>
        <v>0</v>
      </c>
    </row>
    <row r="4" spans="1:9">
      <c r="A4" s="3549"/>
      <c r="B4" s="3550" t="s">
        <v>2484</v>
      </c>
      <c r="C4" s="3550"/>
      <c r="D4" s="2511"/>
      <c r="E4" s="2509"/>
      <c r="F4" s="2512"/>
      <c r="G4" s="2512"/>
      <c r="H4" s="2513"/>
      <c r="I4" s="2514">
        <f t="shared" ref="I4:I9" si="0">ROUND(D4*E4*F4*G4*H4/10000,0)</f>
        <v>0</v>
      </c>
    </row>
    <row r="5" spans="1:9">
      <c r="A5" s="3549"/>
      <c r="B5" s="3550" t="s">
        <v>2485</v>
      </c>
      <c r="C5" s="3550"/>
      <c r="D5" s="2511"/>
      <c r="E5" s="2509"/>
      <c r="F5" s="2512"/>
      <c r="G5" s="2512"/>
      <c r="H5" s="2513"/>
      <c r="I5" s="2514">
        <f t="shared" si="0"/>
        <v>0</v>
      </c>
    </row>
    <row r="6" spans="1:9">
      <c r="A6" s="3549"/>
      <c r="B6" s="3550" t="s">
        <v>2486</v>
      </c>
      <c r="C6" s="3550"/>
      <c r="D6" s="2511"/>
      <c r="E6" s="2509"/>
      <c r="F6" s="2512"/>
      <c r="G6" s="2512"/>
      <c r="H6" s="2513"/>
      <c r="I6" s="2514">
        <f t="shared" si="0"/>
        <v>0</v>
      </c>
    </row>
    <row r="7" spans="1:9">
      <c r="A7" s="3549"/>
      <c r="B7" s="3550" t="s">
        <v>2487</v>
      </c>
      <c r="C7" s="3550"/>
      <c r="D7" s="2511"/>
      <c r="E7" s="2509"/>
      <c r="F7" s="2512"/>
      <c r="G7" s="2512"/>
      <c r="H7" s="2513"/>
      <c r="I7" s="2514">
        <f t="shared" si="0"/>
        <v>0</v>
      </c>
    </row>
    <row r="8" spans="1:9">
      <c r="A8" s="3549"/>
      <c r="B8" s="3550" t="s">
        <v>2488</v>
      </c>
      <c r="C8" s="3550"/>
      <c r="D8" s="2511"/>
      <c r="E8" s="2509"/>
      <c r="F8" s="2512"/>
      <c r="G8" s="2512"/>
      <c r="H8" s="2513"/>
      <c r="I8" s="2514">
        <f t="shared" si="0"/>
        <v>0</v>
      </c>
    </row>
    <row r="9" spans="1:9">
      <c r="A9" s="3549"/>
      <c r="B9" s="3550" t="s">
        <v>2489</v>
      </c>
      <c r="C9" s="3550"/>
      <c r="D9" s="2511"/>
      <c r="E9" s="2509"/>
      <c r="F9" s="2512"/>
      <c r="G9" s="2512"/>
      <c r="H9" s="2513"/>
      <c r="I9" s="2514">
        <f t="shared" si="0"/>
        <v>0</v>
      </c>
    </row>
    <row r="10" spans="1:9">
      <c r="A10" s="3549"/>
      <c r="B10" s="3551" t="s">
        <v>2490</v>
      </c>
      <c r="C10" s="3551"/>
      <c r="D10" s="2515">
        <v>527</v>
      </c>
      <c r="E10" s="2515" t="e">
        <f>ROUND(D1*10000/D10/H9,0)</f>
        <v>#DIV/0!</v>
      </c>
      <c r="F10" s="2516"/>
      <c r="G10" s="2516"/>
      <c r="H10" s="2517"/>
      <c r="I10" s="2518">
        <f>SUM(I3:I9)</f>
        <v>0</v>
      </c>
    </row>
    <row r="11" spans="1:9" ht="14.25">
      <c r="A11" s="3549" t="s">
        <v>2491</v>
      </c>
      <c r="B11" s="3550" t="s">
        <v>2492</v>
      </c>
      <c r="C11" s="3550"/>
      <c r="D11" s="2511" t="s">
        <v>2493</v>
      </c>
      <c r="E11" s="2511" t="s">
        <v>2494</v>
      </c>
      <c r="F11" s="2512" t="s">
        <v>2495</v>
      </c>
      <c r="G11" s="2512" t="s">
        <v>2496</v>
      </c>
      <c r="H11" s="2519" t="s">
        <v>2497</v>
      </c>
      <c r="I11" s="2510" t="s">
        <v>2498</v>
      </c>
    </row>
    <row r="12" spans="1:9">
      <c r="A12" s="3549"/>
      <c r="B12" s="3550" t="s">
        <v>2499</v>
      </c>
      <c r="C12" s="3550"/>
      <c r="D12" s="2511"/>
      <c r="E12" s="2511"/>
      <c r="F12" s="2512"/>
      <c r="G12" s="2513"/>
      <c r="H12" s="2520"/>
      <c r="I12" s="2510">
        <f>ROUND(D12*E12*F12*G12/10000,0)</f>
        <v>0</v>
      </c>
    </row>
    <row r="13" spans="1:9">
      <c r="A13" s="3549"/>
      <c r="B13" s="3550" t="s">
        <v>2500</v>
      </c>
      <c r="C13" s="3550"/>
      <c r="D13" s="2511"/>
      <c r="E13" s="2511"/>
      <c r="F13" s="2512"/>
      <c r="G13" s="2513"/>
      <c r="H13" s="2520"/>
      <c r="I13" s="2510">
        <f>ROUND(D13*E13*F13*G13/10000,0)</f>
        <v>0</v>
      </c>
    </row>
    <row r="14" spans="1:9">
      <c r="A14" s="3549"/>
      <c r="B14" s="3550" t="s">
        <v>2501</v>
      </c>
      <c r="C14" s="3550"/>
      <c r="D14" s="2511"/>
      <c r="E14" s="2511"/>
      <c r="F14" s="2512"/>
      <c r="G14" s="2513"/>
      <c r="H14" s="2520"/>
      <c r="I14" s="2510">
        <f>ROUND(D14*E14*F14*G14/10000,0)</f>
        <v>0</v>
      </c>
    </row>
    <row r="15" spans="1:9">
      <c r="A15" s="3549"/>
      <c r="B15" s="3551" t="s">
        <v>2490</v>
      </c>
      <c r="C15" s="3551"/>
      <c r="D15" s="2515"/>
      <c r="E15" s="2515">
        <f>SUM(E12:E14)</f>
        <v>0</v>
      </c>
      <c r="F15" s="2516"/>
      <c r="G15" s="2513"/>
      <c r="H15" s="2520"/>
      <c r="I15" s="2521">
        <f>SUM(I12:I14)</f>
        <v>0</v>
      </c>
    </row>
    <row r="16" spans="1:9" ht="24">
      <c r="A16" s="3549" t="s">
        <v>2502</v>
      </c>
      <c r="B16" s="3550" t="s">
        <v>2503</v>
      </c>
      <c r="C16" s="3550"/>
      <c r="D16" s="2511" t="s">
        <v>2504</v>
      </c>
      <c r="E16" s="2522" t="s">
        <v>2505</v>
      </c>
      <c r="F16" s="2512" t="s">
        <v>2506</v>
      </c>
      <c r="G16" s="2513" t="s">
        <v>2496</v>
      </c>
      <c r="H16" s="2519" t="s">
        <v>2497</v>
      </c>
      <c r="I16" s="2510" t="s">
        <v>2498</v>
      </c>
    </row>
    <row r="17" spans="1:9" ht="14.25">
      <c r="A17" s="3549"/>
      <c r="B17" s="3550" t="s">
        <v>2507</v>
      </c>
      <c r="C17" s="3550"/>
      <c r="D17" s="2511"/>
      <c r="E17" s="2511"/>
      <c r="F17" s="2512"/>
      <c r="G17" s="2513"/>
      <c r="H17" s="2523"/>
      <c r="I17" s="2524">
        <f>ROUND(D17*E17*F17*G17/10000,0)</f>
        <v>0</v>
      </c>
    </row>
    <row r="18" spans="1:9" ht="14.25">
      <c r="A18" s="3549"/>
      <c r="B18" s="3550" t="s">
        <v>2508</v>
      </c>
      <c r="C18" s="3550"/>
      <c r="D18" s="2511"/>
      <c r="E18" s="2511"/>
      <c r="F18" s="2512"/>
      <c r="G18" s="2513"/>
      <c r="H18" s="2523"/>
      <c r="I18" s="2524">
        <f>ROUND(D18*E18*F18*G18/10000,0)</f>
        <v>0</v>
      </c>
    </row>
    <row r="19" spans="1:9" ht="14.25">
      <c r="A19" s="3549"/>
      <c r="B19" s="3550" t="s">
        <v>2509</v>
      </c>
      <c r="C19" s="3550"/>
      <c r="D19" s="2511"/>
      <c r="E19" s="2511"/>
      <c r="F19" s="2512"/>
      <c r="G19" s="2513"/>
      <c r="H19" s="2523"/>
      <c r="I19" s="2524">
        <f>ROUND(D19*E19*F19*G19/10000,0)</f>
        <v>0</v>
      </c>
    </row>
    <row r="20" spans="1:9">
      <c r="A20" s="3549"/>
      <c r="B20" s="3551" t="s">
        <v>2490</v>
      </c>
      <c r="C20" s="3551"/>
      <c r="D20" s="2515">
        <f>SUM(D17:D19)</f>
        <v>0</v>
      </c>
      <c r="E20" s="2515"/>
      <c r="F20" s="2516"/>
      <c r="G20" s="2513"/>
      <c r="H20" s="2520"/>
      <c r="I20" s="2521">
        <f>SUM(I17:I19)</f>
        <v>0</v>
      </c>
    </row>
    <row r="21" spans="1:9">
      <c r="A21" s="3549" t="s">
        <v>2510</v>
      </c>
      <c r="B21" s="3553"/>
      <c r="C21" s="3553"/>
      <c r="D21" s="3553"/>
      <c r="E21" s="3553"/>
      <c r="F21" s="3553"/>
      <c r="G21" s="3553"/>
      <c r="H21" s="2525">
        <v>0.1</v>
      </c>
      <c r="I21" s="2518">
        <f>ROUND(I10*H21,0)</f>
        <v>0</v>
      </c>
    </row>
    <row r="22" spans="1:9" ht="14.25">
      <c r="A22" s="3554" t="s">
        <v>2511</v>
      </c>
      <c r="B22" s="3555"/>
      <c r="C22" s="3556"/>
      <c r="D22" s="2526" t="s">
        <v>2512</v>
      </c>
      <c r="E22" s="2526" t="s">
        <v>2513</v>
      </c>
      <c r="F22" s="2527" t="s">
        <v>2514</v>
      </c>
      <c r="G22" s="2527" t="s">
        <v>2515</v>
      </c>
      <c r="H22" s="2519" t="s">
        <v>2516</v>
      </c>
      <c r="I22" s="2510" t="s">
        <v>2517</v>
      </c>
    </row>
    <row r="23" spans="1:9" ht="14.25" thickBot="1">
      <c r="A23" s="3557"/>
      <c r="B23" s="3558"/>
      <c r="C23" s="3559"/>
      <c r="D23" s="2528"/>
      <c r="E23" s="2528"/>
      <c r="F23" s="2528"/>
      <c r="G23" s="2529"/>
      <c r="H23" s="2530"/>
      <c r="I23" s="2531">
        <f>ROUND(E23*D23*F23*(1-G23)/10000,0)</f>
        <v>0</v>
      </c>
    </row>
    <row r="26" spans="1:9">
      <c r="A26" s="2532" t="s">
        <v>2518</v>
      </c>
      <c r="B26" s="2532"/>
      <c r="C26" s="2532"/>
      <c r="D26" s="2532"/>
      <c r="E26" s="3560">
        <f>C27-C30-C31-C32</f>
        <v>0</v>
      </c>
      <c r="F26" s="3560"/>
      <c r="G26" s="3560"/>
      <c r="H26" s="3046" t="s">
        <v>2845</v>
      </c>
    </row>
    <row r="27" spans="1:9">
      <c r="A27" s="2533">
        <v>1</v>
      </c>
      <c r="B27" s="2534" t="s">
        <v>2519</v>
      </c>
      <c r="C27" s="2534"/>
      <c r="D27" s="2534"/>
      <c r="E27" s="3561"/>
      <c r="F27" s="3561"/>
      <c r="G27" s="3561"/>
    </row>
    <row r="28" spans="1:9">
      <c r="A28" s="2535" t="s">
        <v>2520</v>
      </c>
      <c r="B28" s="2534" t="s">
        <v>2521</v>
      </c>
      <c r="C28" s="2534"/>
      <c r="D28" s="2534"/>
      <c r="E28" s="3561"/>
      <c r="F28" s="3561"/>
      <c r="G28" s="3561"/>
    </row>
    <row r="29" spans="1:9">
      <c r="A29" s="2535" t="s">
        <v>2522</v>
      </c>
      <c r="B29" s="2534" t="s">
        <v>2463</v>
      </c>
      <c r="C29" s="2534"/>
      <c r="D29" s="2534"/>
      <c r="E29" s="2534" t="s">
        <v>2523</v>
      </c>
      <c r="F29" s="2534"/>
      <c r="G29" s="2534"/>
    </row>
    <row r="30" spans="1:9">
      <c r="A30" s="2533">
        <v>2</v>
      </c>
      <c r="B30" s="2534" t="s">
        <v>2524</v>
      </c>
      <c r="C30" s="2534">
        <f>C27*D30</f>
        <v>0</v>
      </c>
      <c r="D30" s="2536">
        <v>0.2</v>
      </c>
      <c r="E30" s="2534" t="s">
        <v>2525</v>
      </c>
      <c r="F30" s="2534"/>
      <c r="G30" s="2534"/>
    </row>
    <row r="31" spans="1:9">
      <c r="A31" s="2533">
        <v>3</v>
      </c>
      <c r="B31" s="2534" t="s">
        <v>2526</v>
      </c>
      <c r="C31" s="2534">
        <f>C25*D31</f>
        <v>0</v>
      </c>
      <c r="D31" s="2536">
        <v>0.15</v>
      </c>
      <c r="E31" s="2534" t="s">
        <v>2527</v>
      </c>
      <c r="F31" s="2534"/>
      <c r="G31" s="2534"/>
    </row>
    <row r="32" spans="1:9">
      <c r="A32" s="2533">
        <v>4</v>
      </c>
      <c r="B32" s="2534" t="s">
        <v>2528</v>
      </c>
      <c r="C32" s="2534">
        <f>C27*D32</f>
        <v>0</v>
      </c>
      <c r="D32" s="2536">
        <v>0.05</v>
      </c>
      <c r="E32" s="3552"/>
      <c r="F32" s="3552"/>
      <c r="G32" s="3552"/>
    </row>
    <row r="33" spans="1:7" hidden="1">
      <c r="A33" s="3562" t="s">
        <v>2529</v>
      </c>
      <c r="B33" s="3563"/>
      <c r="C33" s="3563"/>
      <c r="D33" s="3564"/>
      <c r="E33" s="3560"/>
      <c r="F33" s="3560"/>
      <c r="G33" s="3560"/>
    </row>
    <row r="34" spans="1:7" hidden="1">
      <c r="A34" s="2537">
        <v>1</v>
      </c>
      <c r="B34" s="2534" t="s">
        <v>2530</v>
      </c>
      <c r="C34" s="2534"/>
      <c r="D34" s="2534"/>
      <c r="E34" s="3561"/>
      <c r="F34" s="3561"/>
      <c r="G34" s="3561"/>
    </row>
    <row r="35" spans="1:7" hidden="1">
      <c r="A35" s="2537">
        <v>2</v>
      </c>
      <c r="B35" s="2534" t="s">
        <v>2531</v>
      </c>
      <c r="C35" s="2534"/>
      <c r="D35" s="2534"/>
      <c r="E35" s="3561"/>
      <c r="F35" s="3561"/>
      <c r="G35" s="3561"/>
    </row>
    <row r="36" spans="1:7" hidden="1">
      <c r="A36" s="2537">
        <v>3</v>
      </c>
      <c r="B36" s="2534" t="s">
        <v>2532</v>
      </c>
      <c r="C36" s="2534"/>
      <c r="D36" s="2534"/>
      <c r="E36" s="3561"/>
      <c r="F36" s="3561"/>
      <c r="G36" s="3561"/>
    </row>
    <row r="37" spans="1:7" hidden="1">
      <c r="A37" s="2537">
        <v>4</v>
      </c>
      <c r="B37" s="2534" t="s">
        <v>2533</v>
      </c>
      <c r="C37" s="2534"/>
      <c r="D37" s="2534"/>
      <c r="E37" s="3561"/>
      <c r="F37" s="3561"/>
      <c r="G37" s="3561"/>
    </row>
    <row r="38" spans="1:7" hidden="1">
      <c r="A38" s="3562" t="s">
        <v>2534</v>
      </c>
      <c r="B38" s="3563"/>
      <c r="C38" s="3563"/>
      <c r="D38" s="3564"/>
      <c r="E38" s="3560"/>
      <c r="F38" s="3560"/>
      <c r="G38" s="35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7" sqref="G3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2443</v>
      </c>
      <c r="B8" s="2474" t="s">
        <v>2445</v>
      </c>
      <c r="C8" s="2475"/>
      <c r="D8" s="749"/>
      <c r="E8" s="750"/>
      <c r="F8" s="750"/>
      <c r="G8" s="751"/>
    </row>
    <row r="9" spans="1:25" s="2185" customFormat="1" ht="13.5" customHeight="1">
      <c r="A9" s="2471" t="s">
        <v>2444</v>
      </c>
      <c r="B9" s="2474" t="s">
        <v>2446</v>
      </c>
      <c r="C9" s="2475"/>
      <c r="D9" s="749"/>
      <c r="E9" s="750"/>
      <c r="F9" s="750"/>
      <c r="G9" s="751"/>
    </row>
    <row r="10" spans="1:25" s="2185" customFormat="1" ht="36">
      <c r="A10" s="2471">
        <v>2</v>
      </c>
      <c r="B10" s="748" t="s">
        <v>613</v>
      </c>
      <c r="C10" s="749">
        <f>C11+C14+C15</f>
        <v>0</v>
      </c>
      <c r="D10" s="760">
        <f>'数据-汇总表'!E3</f>
        <v>80808</v>
      </c>
      <c r="E10" s="749">
        <f>'数据-取费表'!B31</f>
        <v>250</v>
      </c>
      <c r="F10" s="761"/>
      <c r="G10" s="759" t="s">
        <v>614</v>
      </c>
    </row>
    <row r="11" spans="1:25" s="2185" customFormat="1" ht="13.5" customHeight="1">
      <c r="A11" s="2471" t="s">
        <v>2443</v>
      </c>
      <c r="B11" s="752" t="s">
        <v>610</v>
      </c>
      <c r="C11" s="753">
        <f>'数据-取费表'!B29</f>
        <v>0</v>
      </c>
      <c r="D11" s="754"/>
      <c r="E11" s="753"/>
      <c r="F11" s="755"/>
      <c r="G11" s="2480" t="s">
        <v>2454</v>
      </c>
    </row>
    <row r="12" spans="1:25" s="2185" customFormat="1" ht="13.5" customHeight="1">
      <c r="A12" s="2478" t="s">
        <v>2451</v>
      </c>
      <c r="B12" s="756" t="s">
        <v>611</v>
      </c>
      <c r="C12" s="757">
        <f>ROUND(D12*E12/10000,0)</f>
        <v>0</v>
      </c>
      <c r="D12" s="758">
        <f>'数据-汇总表'!E5</f>
        <v>0</v>
      </c>
      <c r="E12" s="757">
        <f>'数据-取费表'!B27</f>
        <v>0</v>
      </c>
      <c r="F12" s="755"/>
      <c r="G12" s="759"/>
    </row>
    <row r="13" spans="1:25" s="2185" customFormat="1" ht="13.5" customHeight="1">
      <c r="A13" s="2478" t="s">
        <v>2450</v>
      </c>
      <c r="B13" s="756" t="s">
        <v>612</v>
      </c>
      <c r="C13" s="757">
        <f>ROUND(D13*E13/10000,0)</f>
        <v>1616</v>
      </c>
      <c r="D13" s="758">
        <f>'数据-汇总表'!E6</f>
        <v>80808</v>
      </c>
      <c r="E13" s="757">
        <f>'数据-取费表'!B28</f>
        <v>200</v>
      </c>
      <c r="F13" s="755"/>
      <c r="G13" s="759"/>
    </row>
    <row r="14" spans="1:25" s="2185" customFormat="1" ht="13.5" customHeight="1">
      <c r="A14" s="2471" t="s">
        <v>2444</v>
      </c>
      <c r="B14" s="2477" t="s">
        <v>2447</v>
      </c>
      <c r="C14" s="2475"/>
      <c r="D14" s="758"/>
      <c r="E14" s="757"/>
      <c r="F14" s="2476"/>
      <c r="G14" s="2479" t="s">
        <v>2452</v>
      </c>
    </row>
    <row r="15" spans="1:25" s="2185" customFormat="1" ht="13.5" customHeight="1">
      <c r="A15" s="2471" t="s">
        <v>2449</v>
      </c>
      <c r="B15" s="2477" t="s">
        <v>2448</v>
      </c>
      <c r="C15" s="2475"/>
      <c r="D15" s="758"/>
      <c r="E15" s="757"/>
      <c r="F15" s="2476"/>
      <c r="G15" s="2479" t="s">
        <v>2453</v>
      </c>
    </row>
    <row r="16" spans="1:25" s="2186" customFormat="1" ht="48">
      <c r="A16" s="2471">
        <v>3</v>
      </c>
      <c r="B16" s="748" t="s">
        <v>615</v>
      </c>
      <c r="C16" s="2475"/>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0.15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0.749</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A4" sqref="A4"/>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c r="E1" s="2628"/>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458" t="s">
        <v>522</v>
      </c>
      <c r="D4" s="3459"/>
      <c r="E4" s="3493" t="s">
        <v>523</v>
      </c>
      <c r="F4" s="3494"/>
      <c r="G4" s="3458" t="s">
        <v>524</v>
      </c>
      <c r="H4" s="3459"/>
      <c r="I4" s="3458" t="s">
        <v>525</v>
      </c>
      <c r="J4" s="3459"/>
      <c r="K4" s="853" t="s">
        <v>526</v>
      </c>
      <c r="L4" s="2135"/>
      <c r="M4" s="2136"/>
      <c r="N4" s="2136"/>
      <c r="O4" s="2136"/>
      <c r="P4" s="3460" t="s">
        <v>527</v>
      </c>
      <c r="Q4" s="3461"/>
      <c r="R4" s="3466" t="s">
        <v>523</v>
      </c>
      <c r="S4" s="3467"/>
      <c r="T4" s="3466" t="s">
        <v>524</v>
      </c>
      <c r="U4" s="3467"/>
      <c r="V4" s="3453" t="s">
        <v>525</v>
      </c>
      <c r="W4" s="3453"/>
      <c r="X4" s="1568"/>
      <c r="Y4" s="3466" t="s">
        <v>527</v>
      </c>
      <c r="Z4" s="3467"/>
      <c r="AA4" s="3455" t="s">
        <v>523</v>
      </c>
      <c r="AB4" s="3455" t="s">
        <v>524</v>
      </c>
      <c r="AC4" s="3455" t="s">
        <v>525</v>
      </c>
    </row>
    <row r="5" spans="1:29" ht="15">
      <c r="A5" s="515"/>
      <c r="B5" s="516"/>
      <c r="C5" s="3474" t="s">
        <v>2930</v>
      </c>
      <c r="D5" s="3475"/>
      <c r="E5" s="3495" t="s">
        <v>2931</v>
      </c>
      <c r="F5" s="3496"/>
      <c r="G5" s="3474" t="s">
        <v>2932</v>
      </c>
      <c r="H5" s="3475"/>
      <c r="I5" s="3474" t="s">
        <v>2933</v>
      </c>
      <c r="J5" s="3475"/>
      <c r="K5" s="854"/>
      <c r="L5" s="2135"/>
      <c r="M5" s="2136"/>
      <c r="N5" s="2136"/>
      <c r="O5" s="2136"/>
      <c r="P5" s="3462"/>
      <c r="Q5" s="3463"/>
      <c r="R5" s="3468"/>
      <c r="S5" s="3469"/>
      <c r="T5" s="3468"/>
      <c r="U5" s="3469"/>
      <c r="V5" s="3453"/>
      <c r="W5" s="3453"/>
      <c r="X5" s="1568"/>
      <c r="Y5" s="3468"/>
      <c r="Z5" s="3469"/>
      <c r="AA5" s="3456"/>
      <c r="AB5" s="3456"/>
      <c r="AC5" s="3456"/>
    </row>
    <row r="6" spans="1:29" ht="15.75" thickBot="1">
      <c r="A6" s="517"/>
      <c r="B6" s="518"/>
      <c r="C6" s="3472" t="s">
        <v>2934</v>
      </c>
      <c r="D6" s="3473"/>
      <c r="E6" s="3491" t="s">
        <v>2934</v>
      </c>
      <c r="F6" s="3492"/>
      <c r="G6" s="3472" t="s">
        <v>2934</v>
      </c>
      <c r="H6" s="3473"/>
      <c r="I6" s="3472" t="s">
        <v>2934</v>
      </c>
      <c r="J6" s="3473"/>
      <c r="K6" s="854" t="s">
        <v>528</v>
      </c>
      <c r="L6" s="2135"/>
      <c r="M6" s="2136"/>
      <c r="N6" s="2136"/>
      <c r="O6" s="2136"/>
      <c r="P6" s="3464"/>
      <c r="Q6" s="3465"/>
      <c r="R6" s="3468"/>
      <c r="S6" s="3469"/>
      <c r="T6" s="3470"/>
      <c r="U6" s="3471"/>
      <c r="V6" s="3453"/>
      <c r="W6" s="3453"/>
      <c r="X6" s="1568"/>
      <c r="Y6" s="3470"/>
      <c r="Z6" s="3471"/>
      <c r="AA6" s="3457"/>
      <c r="AB6" s="3457"/>
      <c r="AC6" s="3457"/>
    </row>
    <row r="7" spans="1:29" s="1220" customFormat="1" ht="15.75" thickBot="1">
      <c r="A7" s="2914"/>
      <c r="B7" s="2921" t="s">
        <v>529</v>
      </c>
      <c r="C7" s="519">
        <f>'数据-取费表'!B2</f>
        <v>43290</v>
      </c>
      <c r="D7" s="520">
        <v>100</v>
      </c>
      <c r="E7" s="521"/>
      <c r="F7" s="522">
        <f>SUMIF(58:58,YEAR(E7)&amp;"-"&amp;MONTH(E7),59:59)</f>
        <v>0</v>
      </c>
      <c r="G7" s="523"/>
      <c r="H7" s="520">
        <f>SUMIF(58:58,YEAR(G7)&amp;"-"&amp;MONTH(G7),59:59)</f>
        <v>0</v>
      </c>
      <c r="I7" s="523"/>
      <c r="J7" s="520">
        <f>SUMIF(58:58,YEAR(I7)&amp;"-"&amp;MONTH(I7),59:59)</f>
        <v>0</v>
      </c>
      <c r="K7" s="855"/>
      <c r="L7" s="2137"/>
      <c r="M7" s="2138"/>
      <c r="N7" s="2138"/>
      <c r="O7" s="2138"/>
      <c r="P7" s="3483" t="s">
        <v>530</v>
      </c>
      <c r="Q7" s="3485"/>
      <c r="R7" s="1569" t="s">
        <v>13</v>
      </c>
      <c r="S7" s="1570">
        <f t="shared" ref="S7:S15" si="0">F7</f>
        <v>0</v>
      </c>
      <c r="T7" s="1569" t="s">
        <v>13</v>
      </c>
      <c r="U7" s="1570">
        <f t="shared" ref="U7:U15" si="1">H7</f>
        <v>0</v>
      </c>
      <c r="V7" s="1569" t="s">
        <v>13</v>
      </c>
      <c r="W7" s="1570">
        <f t="shared" ref="W7:W15" si="2">J7</f>
        <v>0</v>
      </c>
      <c r="X7" s="1571"/>
      <c r="Y7" s="3483" t="s">
        <v>530</v>
      </c>
      <c r="Z7" s="3484"/>
      <c r="AA7" s="1572" t="e">
        <f>D7/F7</f>
        <v>#DIV/0!</v>
      </c>
      <c r="AB7" s="1572" t="e">
        <f>D7/H7</f>
        <v>#DIV/0!</v>
      </c>
      <c r="AC7" s="1572" t="e">
        <f>D7/J7</f>
        <v>#DIV/0!</v>
      </c>
    </row>
    <row r="8" spans="1:29" s="1220" customFormat="1" ht="15.75" thickBot="1">
      <c r="A8" s="2915"/>
      <c r="B8" s="2922"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483" t="s">
        <v>533</v>
      </c>
      <c r="Q8" s="3484"/>
      <c r="R8" s="1569" t="s">
        <v>13</v>
      </c>
      <c r="S8" s="1570">
        <f t="shared" si="0"/>
        <v>0</v>
      </c>
      <c r="T8" s="1569" t="s">
        <v>13</v>
      </c>
      <c r="U8" s="1570">
        <f t="shared" si="1"/>
        <v>0</v>
      </c>
      <c r="V8" s="1569" t="s">
        <v>13</v>
      </c>
      <c r="W8" s="1570">
        <f t="shared" si="2"/>
        <v>0</v>
      </c>
      <c r="X8" s="1571"/>
      <c r="Y8" s="3483" t="s">
        <v>533</v>
      </c>
      <c r="Z8" s="3484"/>
      <c r="AA8" s="1572" t="e">
        <f t="shared" ref="AA8:AA46" si="3">D8/F8</f>
        <v>#DIV/0!</v>
      </c>
      <c r="AB8" s="1572" t="e">
        <f t="shared" ref="AB8:AB46" si="4">D8/H8</f>
        <v>#DIV/0!</v>
      </c>
      <c r="AC8" s="1572" t="e">
        <f t="shared" ref="AC8:AC46" si="5">D8/J8</f>
        <v>#DIV/0!</v>
      </c>
    </row>
    <row r="9" spans="1:29" s="1220" customFormat="1" ht="15">
      <c r="A9" s="2916"/>
      <c r="B9" s="2923" t="s">
        <v>2759</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452" t="s">
        <v>535</v>
      </c>
      <c r="Q9" s="1151" t="str">
        <f t="shared" ref="Q9:Q15" si="6">B9</f>
        <v>用途</v>
      </c>
      <c r="R9" s="1569" t="s">
        <v>8</v>
      </c>
      <c r="S9" s="1570">
        <f t="shared" si="0"/>
        <v>100</v>
      </c>
      <c r="T9" s="1569" t="s">
        <v>8</v>
      </c>
      <c r="U9" s="1570">
        <f t="shared" si="1"/>
        <v>100</v>
      </c>
      <c r="V9" s="1569" t="s">
        <v>8</v>
      </c>
      <c r="W9" s="1570">
        <f t="shared" si="2"/>
        <v>100</v>
      </c>
      <c r="X9" s="1571"/>
      <c r="Y9" s="3398"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452"/>
      <c r="Q10" s="1151" t="str">
        <f t="shared" si="6"/>
        <v>土地使用年限（年）</v>
      </c>
      <c r="R10" s="1569" t="s">
        <v>8</v>
      </c>
      <c r="S10" s="1570">
        <f t="shared" si="0"/>
        <v>100</v>
      </c>
      <c r="T10" s="1569" t="s">
        <v>8</v>
      </c>
      <c r="U10" s="1570">
        <f t="shared" si="1"/>
        <v>100</v>
      </c>
      <c r="V10" s="1569" t="s">
        <v>8</v>
      </c>
      <c r="W10" s="1570">
        <f t="shared" si="2"/>
        <v>100</v>
      </c>
      <c r="X10" s="1571"/>
      <c r="Y10" s="3398"/>
      <c r="Z10" s="1150" t="str">
        <f t="shared" si="7"/>
        <v>土地使用年限（年）</v>
      </c>
      <c r="AA10" s="1572">
        <f t="shared" si="3"/>
        <v>1</v>
      </c>
      <c r="AB10" s="1572">
        <f t="shared" si="4"/>
        <v>1</v>
      </c>
      <c r="AC10" s="1572">
        <f t="shared" si="5"/>
        <v>1</v>
      </c>
    </row>
    <row r="11" spans="1:29" ht="15">
      <c r="A11" s="2918"/>
      <c r="B11" s="2922"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452"/>
      <c r="Q11" s="1151" t="str">
        <f t="shared" si="6"/>
        <v>容积率</v>
      </c>
      <c r="R11" s="1569" t="s">
        <v>11</v>
      </c>
      <c r="S11" s="1570" t="e">
        <f t="shared" si="0"/>
        <v>#N/A</v>
      </c>
      <c r="T11" s="1569" t="s">
        <v>11</v>
      </c>
      <c r="U11" s="1570" t="e">
        <f t="shared" si="1"/>
        <v>#N/A</v>
      </c>
      <c r="V11" s="1569" t="s">
        <v>11</v>
      </c>
      <c r="W11" s="1570" t="e">
        <f t="shared" si="2"/>
        <v>#N/A</v>
      </c>
      <c r="X11" s="1571"/>
      <c r="Y11" s="3398"/>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52"/>
      <c r="Q12" s="1151">
        <f t="shared" si="6"/>
        <v>111</v>
      </c>
      <c r="R12" s="1569" t="s">
        <v>11</v>
      </c>
      <c r="S12" s="1570">
        <f t="shared" si="0"/>
        <v>100</v>
      </c>
      <c r="T12" s="1569" t="s">
        <v>11</v>
      </c>
      <c r="U12" s="1570">
        <f t="shared" si="1"/>
        <v>100</v>
      </c>
      <c r="V12" s="1569" t="s">
        <v>11</v>
      </c>
      <c r="W12" s="1570">
        <f t="shared" si="2"/>
        <v>100</v>
      </c>
      <c r="X12" s="1571"/>
      <c r="Y12" s="3398"/>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52"/>
      <c r="Q13" s="1151">
        <f t="shared" si="6"/>
        <v>111</v>
      </c>
      <c r="R13" s="1569" t="s">
        <v>11</v>
      </c>
      <c r="S13" s="1570">
        <f t="shared" si="0"/>
        <v>100</v>
      </c>
      <c r="T13" s="1569" t="s">
        <v>11</v>
      </c>
      <c r="U13" s="1570">
        <f t="shared" si="1"/>
        <v>100</v>
      </c>
      <c r="V13" s="1569" t="s">
        <v>11</v>
      </c>
      <c r="W13" s="1570">
        <f t="shared" si="2"/>
        <v>100</v>
      </c>
      <c r="X13" s="1571"/>
      <c r="Y13" s="3398"/>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52"/>
      <c r="Q14" s="1151">
        <f t="shared" si="6"/>
        <v>111</v>
      </c>
      <c r="R14" s="1569" t="s">
        <v>11</v>
      </c>
      <c r="S14" s="1570">
        <f t="shared" si="0"/>
        <v>100</v>
      </c>
      <c r="T14" s="1569" t="s">
        <v>11</v>
      </c>
      <c r="U14" s="1570">
        <f t="shared" si="1"/>
        <v>100</v>
      </c>
      <c r="V14" s="1569" t="s">
        <v>11</v>
      </c>
      <c r="W14" s="1570">
        <f t="shared" si="2"/>
        <v>100</v>
      </c>
      <c r="X14" s="1571"/>
      <c r="Y14" s="3398"/>
      <c r="Z14" s="1150">
        <f t="shared" si="7"/>
        <v>111</v>
      </c>
      <c r="AA14" s="1572">
        <f t="shared" si="3"/>
        <v>1</v>
      </c>
      <c r="AB14" s="1572">
        <f t="shared" si="4"/>
        <v>1</v>
      </c>
      <c r="AC14" s="1572">
        <f t="shared" si="5"/>
        <v>1</v>
      </c>
    </row>
    <row r="15" spans="1:29" ht="99.75">
      <c r="A15" s="2912"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486" t="s">
        <v>540</v>
      </c>
      <c r="Q15" s="1573" t="str">
        <f t="shared" si="6"/>
        <v>居住社区成熟度</v>
      </c>
      <c r="R15" s="1574" t="s">
        <v>11</v>
      </c>
      <c r="S15" s="1575">
        <f t="shared" si="0"/>
        <v>100</v>
      </c>
      <c r="T15" s="1574" t="s">
        <v>11</v>
      </c>
      <c r="U15" s="1575">
        <f t="shared" si="1"/>
        <v>100</v>
      </c>
      <c r="V15" s="1574" t="s">
        <v>11</v>
      </c>
      <c r="W15" s="1575">
        <f t="shared" si="2"/>
        <v>100</v>
      </c>
      <c r="X15" s="1568"/>
      <c r="Y15" s="3486"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487"/>
      <c r="Q16" s="1573"/>
      <c r="R16" s="1574"/>
      <c r="S16" s="1575"/>
      <c r="T16" s="1574"/>
      <c r="U16" s="1575"/>
      <c r="V16" s="1574"/>
      <c r="W16" s="1575"/>
      <c r="X16" s="1568"/>
      <c r="Y16" s="348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487"/>
      <c r="Q17" s="1573" t="str">
        <f>B17</f>
        <v>交通便捷度</v>
      </c>
      <c r="R17" s="1574" t="s">
        <v>11</v>
      </c>
      <c r="S17" s="1575">
        <f>F17</f>
        <v>100</v>
      </c>
      <c r="T17" s="1574" t="s">
        <v>11</v>
      </c>
      <c r="U17" s="1575">
        <f>H17</f>
        <v>100</v>
      </c>
      <c r="V17" s="1574" t="s">
        <v>11</v>
      </c>
      <c r="W17" s="1575">
        <f>J17</f>
        <v>100</v>
      </c>
      <c r="X17" s="1568"/>
      <c r="Y17" s="34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487"/>
      <c r="Q18" s="1573"/>
      <c r="R18" s="1574"/>
      <c r="S18" s="1575"/>
      <c r="T18" s="1574"/>
      <c r="U18" s="1575"/>
      <c r="V18" s="1574"/>
      <c r="W18" s="1575"/>
      <c r="X18" s="1568"/>
      <c r="Y18" s="3487"/>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487"/>
      <c r="Q19" s="1573" t="str">
        <f>B19</f>
        <v>公共配套设施</v>
      </c>
      <c r="R19" s="1574" t="s">
        <v>11</v>
      </c>
      <c r="S19" s="1575">
        <f>F19</f>
        <v>100</v>
      </c>
      <c r="T19" s="1574" t="s">
        <v>11</v>
      </c>
      <c r="U19" s="1575">
        <f>H19</f>
        <v>100</v>
      </c>
      <c r="V19" s="1574" t="s">
        <v>11</v>
      </c>
      <c r="W19" s="1575">
        <f>J19</f>
        <v>100</v>
      </c>
      <c r="X19" s="1568"/>
      <c r="Y19" s="348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487"/>
      <c r="Q20" s="1573"/>
      <c r="R20" s="1574"/>
      <c r="S20" s="1575"/>
      <c r="T20" s="1574"/>
      <c r="U20" s="1575"/>
      <c r="V20" s="1574"/>
      <c r="W20" s="1575"/>
      <c r="X20" s="1568"/>
      <c r="Y20" s="3487"/>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87"/>
      <c r="Q21" s="2581" t="str">
        <f>B21</f>
        <v>基础设施水平</v>
      </c>
      <c r="R21" s="1574" t="s">
        <v>11</v>
      </c>
      <c r="S21" s="1575">
        <f>F21</f>
        <v>100</v>
      </c>
      <c r="T21" s="1574" t="s">
        <v>11</v>
      </c>
      <c r="U21" s="1575">
        <f>H21</f>
        <v>100</v>
      </c>
      <c r="V21" s="1574" t="s">
        <v>11</v>
      </c>
      <c r="W21" s="1575">
        <f>J21</f>
        <v>100</v>
      </c>
      <c r="X21" s="2583"/>
      <c r="Y21" s="3487"/>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487"/>
      <c r="Q22" s="2581"/>
      <c r="R22" s="1574"/>
      <c r="S22" s="1575"/>
      <c r="T22" s="1574"/>
      <c r="U22" s="1575"/>
      <c r="V22" s="1574"/>
      <c r="W22" s="1575"/>
      <c r="X22" s="2583"/>
      <c r="Y22" s="3487"/>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487"/>
      <c r="Q23" s="1573" t="str">
        <f>B23</f>
        <v>自然及人文环境</v>
      </c>
      <c r="R23" s="1574" t="s">
        <v>11</v>
      </c>
      <c r="S23" s="1575">
        <f>F23</f>
        <v>100</v>
      </c>
      <c r="T23" s="1574" t="s">
        <v>11</v>
      </c>
      <c r="U23" s="1575">
        <f>H23</f>
        <v>100</v>
      </c>
      <c r="V23" s="1574" t="s">
        <v>11</v>
      </c>
      <c r="W23" s="1575">
        <f>J23</f>
        <v>100</v>
      </c>
      <c r="X23" s="1568"/>
      <c r="Y23" s="348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487"/>
      <c r="Q24" s="1573"/>
      <c r="R24" s="1574"/>
      <c r="S24" s="1575"/>
      <c r="T24" s="1574"/>
      <c r="U24" s="1575"/>
      <c r="V24" s="1574"/>
      <c r="W24" s="1575"/>
      <c r="X24" s="1568"/>
      <c r="Y24" s="3487"/>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87"/>
      <c r="Q25" s="1573" t="str">
        <f t="shared" ref="Q25:Q46" si="11">B25</f>
        <v>楼层-1</v>
      </c>
      <c r="R25" s="1574" t="s">
        <v>11</v>
      </c>
      <c r="S25" s="1575">
        <f>F25</f>
        <v>100</v>
      </c>
      <c r="T25" s="1574" t="s">
        <v>11</v>
      </c>
      <c r="U25" s="1575">
        <f>H25</f>
        <v>100</v>
      </c>
      <c r="V25" s="1574" t="s">
        <v>11</v>
      </c>
      <c r="W25" s="1575">
        <f>J25</f>
        <v>100</v>
      </c>
      <c r="X25" s="1568"/>
      <c r="Y25" s="3487"/>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87"/>
      <c r="Q26" s="1573" t="str">
        <f t="shared" si="11"/>
        <v>朝向</v>
      </c>
      <c r="R26" s="1574" t="s">
        <v>11</v>
      </c>
      <c r="S26" s="1575">
        <f>F26</f>
        <v>100</v>
      </c>
      <c r="T26" s="1574" t="s">
        <v>11</v>
      </c>
      <c r="U26" s="1575">
        <f>H26</f>
        <v>100</v>
      </c>
      <c r="V26" s="1574" t="s">
        <v>11</v>
      </c>
      <c r="W26" s="1575">
        <f>J26</f>
        <v>100</v>
      </c>
      <c r="X26" s="1568"/>
      <c r="Y26" s="3487"/>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87"/>
      <c r="Q27" s="1151" t="str">
        <f t="shared" si="11"/>
        <v>道路级别</v>
      </c>
      <c r="R27" s="1569" t="s">
        <v>11</v>
      </c>
      <c r="S27" s="1570">
        <f>F27</f>
        <v>100</v>
      </c>
      <c r="T27" s="1569" t="s">
        <v>11</v>
      </c>
      <c r="U27" s="1570">
        <f>H27</f>
        <v>100</v>
      </c>
      <c r="V27" s="1569" t="s">
        <v>11</v>
      </c>
      <c r="W27" s="1570">
        <f>J27</f>
        <v>100</v>
      </c>
      <c r="X27" s="1571"/>
      <c r="Y27" s="348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87"/>
      <c r="Q28" s="1573">
        <f t="shared" si="11"/>
        <v>111</v>
      </c>
      <c r="R28" s="1574" t="s">
        <v>11</v>
      </c>
      <c r="S28" s="1575">
        <f t="shared" ref="S28:S46" si="12">F28</f>
        <v>100</v>
      </c>
      <c r="T28" s="1574" t="s">
        <v>11</v>
      </c>
      <c r="U28" s="1575">
        <f t="shared" ref="U28:U46" si="13">H28</f>
        <v>100</v>
      </c>
      <c r="V28" s="1574" t="s">
        <v>11</v>
      </c>
      <c r="W28" s="1575">
        <f t="shared" ref="W28:W46" si="14">J28</f>
        <v>100</v>
      </c>
      <c r="X28" s="1568"/>
      <c r="Y28" s="348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87"/>
      <c r="Q29" s="1573">
        <f t="shared" si="11"/>
        <v>111</v>
      </c>
      <c r="R29" s="1574" t="s">
        <v>11</v>
      </c>
      <c r="S29" s="1575">
        <f t="shared" si="12"/>
        <v>100</v>
      </c>
      <c r="T29" s="1574" t="s">
        <v>11</v>
      </c>
      <c r="U29" s="1575">
        <f t="shared" si="13"/>
        <v>100</v>
      </c>
      <c r="V29" s="1574" t="s">
        <v>11</v>
      </c>
      <c r="W29" s="1575">
        <f t="shared" si="14"/>
        <v>100</v>
      </c>
      <c r="X29" s="1568"/>
      <c r="Y29" s="348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87"/>
      <c r="Q30" s="1573">
        <f t="shared" si="11"/>
        <v>111</v>
      </c>
      <c r="R30" s="1574" t="s">
        <v>11</v>
      </c>
      <c r="S30" s="1575">
        <f t="shared" si="12"/>
        <v>100</v>
      </c>
      <c r="T30" s="1574" t="s">
        <v>11</v>
      </c>
      <c r="U30" s="1575">
        <f t="shared" si="13"/>
        <v>100</v>
      </c>
      <c r="V30" s="1574" t="s">
        <v>11</v>
      </c>
      <c r="W30" s="1575">
        <f t="shared" si="14"/>
        <v>100</v>
      </c>
      <c r="X30" s="1568"/>
      <c r="Y30" s="348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87"/>
      <c r="Q31" s="1573">
        <f t="shared" si="11"/>
        <v>111</v>
      </c>
      <c r="R31" s="1574" t="s">
        <v>11</v>
      </c>
      <c r="S31" s="1575">
        <f t="shared" si="12"/>
        <v>100</v>
      </c>
      <c r="T31" s="1574" t="s">
        <v>11</v>
      </c>
      <c r="U31" s="1575">
        <f t="shared" si="13"/>
        <v>100</v>
      </c>
      <c r="V31" s="1574" t="s">
        <v>11</v>
      </c>
      <c r="W31" s="1575">
        <f t="shared" si="14"/>
        <v>100</v>
      </c>
      <c r="X31" s="1568"/>
      <c r="Y31" s="3487"/>
      <c r="Z31" s="1576">
        <f t="shared" si="15"/>
        <v>111</v>
      </c>
      <c r="AA31" s="1577">
        <f t="shared" si="3"/>
        <v>1</v>
      </c>
      <c r="AB31" s="1577">
        <f t="shared" si="4"/>
        <v>1</v>
      </c>
      <c r="AC31" s="1577">
        <f t="shared" si="5"/>
        <v>1</v>
      </c>
    </row>
    <row r="32" spans="1:29" ht="15">
      <c r="A32" s="2909"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488" t="s">
        <v>550</v>
      </c>
      <c r="Q32" s="1573" t="str">
        <f t="shared" si="11"/>
        <v>建筑类型</v>
      </c>
      <c r="R32" s="1574" t="s">
        <v>11</v>
      </c>
      <c r="S32" s="1575">
        <f t="shared" si="12"/>
        <v>100</v>
      </c>
      <c r="T32" s="1574" t="s">
        <v>11</v>
      </c>
      <c r="U32" s="1575">
        <f t="shared" si="13"/>
        <v>100</v>
      </c>
      <c r="V32" s="1574" t="s">
        <v>11</v>
      </c>
      <c r="W32" s="1575">
        <f t="shared" si="14"/>
        <v>100</v>
      </c>
      <c r="X32" s="1568"/>
      <c r="Y32" s="3489"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489"/>
      <c r="Q33" s="1606" t="str">
        <f t="shared" si="11"/>
        <v>项目建筑规模</v>
      </c>
      <c r="R33" s="1578" t="s">
        <v>11</v>
      </c>
      <c r="S33" s="1579" t="e">
        <f t="shared" si="12"/>
        <v>#N/A</v>
      </c>
      <c r="T33" s="1578" t="s">
        <v>11</v>
      </c>
      <c r="U33" s="1579" t="e">
        <f t="shared" si="13"/>
        <v>#N/A</v>
      </c>
      <c r="V33" s="1578" t="s">
        <v>11</v>
      </c>
      <c r="W33" s="1579" t="e">
        <f t="shared" si="14"/>
        <v>#N/A</v>
      </c>
      <c r="X33" s="1580"/>
      <c r="Y33" s="348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489"/>
      <c r="Q34" s="1573" t="str">
        <f t="shared" si="11"/>
        <v>建筑结构</v>
      </c>
      <c r="R34" s="1574" t="s">
        <v>11</v>
      </c>
      <c r="S34" s="1575">
        <f t="shared" si="12"/>
        <v>100</v>
      </c>
      <c r="T34" s="1574" t="s">
        <v>11</v>
      </c>
      <c r="U34" s="1575">
        <f t="shared" si="13"/>
        <v>100</v>
      </c>
      <c r="V34" s="1574" t="s">
        <v>11</v>
      </c>
      <c r="W34" s="1575">
        <f t="shared" si="14"/>
        <v>100</v>
      </c>
      <c r="X34" s="1568"/>
      <c r="Y34" s="3489"/>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489"/>
      <c r="Q35" s="1573" t="str">
        <f t="shared" si="11"/>
        <v>建筑品质</v>
      </c>
      <c r="R35" s="1574" t="s">
        <v>11</v>
      </c>
      <c r="S35" s="1575">
        <f t="shared" si="12"/>
        <v>100</v>
      </c>
      <c r="T35" s="1574" t="s">
        <v>11</v>
      </c>
      <c r="U35" s="1575">
        <f t="shared" si="13"/>
        <v>100</v>
      </c>
      <c r="V35" s="1574" t="s">
        <v>11</v>
      </c>
      <c r="W35" s="1575">
        <f t="shared" si="14"/>
        <v>100</v>
      </c>
      <c r="X35" s="1568"/>
      <c r="Y35" s="3489"/>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89"/>
      <c r="Q36" s="1573" t="str">
        <f t="shared" si="11"/>
        <v>公共部分装修</v>
      </c>
      <c r="R36" s="1574" t="s">
        <v>11</v>
      </c>
      <c r="S36" s="1575">
        <f t="shared" si="12"/>
        <v>100</v>
      </c>
      <c r="T36" s="1574" t="s">
        <v>11</v>
      </c>
      <c r="U36" s="1575">
        <f t="shared" si="13"/>
        <v>100</v>
      </c>
      <c r="V36" s="1574" t="s">
        <v>11</v>
      </c>
      <c r="W36" s="1575">
        <f t="shared" si="14"/>
        <v>100</v>
      </c>
      <c r="X36" s="1568"/>
      <c r="Y36" s="3489"/>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489"/>
      <c r="Q37" s="1151" t="str">
        <f t="shared" si="11"/>
        <v>成新度</v>
      </c>
      <c r="R37" s="1569" t="s">
        <v>11</v>
      </c>
      <c r="S37" s="1570" t="e">
        <f t="shared" si="12"/>
        <v>#N/A</v>
      </c>
      <c r="T37" s="1569" t="s">
        <v>11</v>
      </c>
      <c r="U37" s="1570" t="e">
        <f t="shared" si="13"/>
        <v>#N/A</v>
      </c>
      <c r="V37" s="1569" t="s">
        <v>11</v>
      </c>
      <c r="W37" s="1570" t="e">
        <f t="shared" si="14"/>
        <v>#N/A</v>
      </c>
      <c r="X37" s="1571"/>
      <c r="Y37" s="3489"/>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489" t="s">
        <v>550</v>
      </c>
      <c r="Q38" s="1573" t="str">
        <f t="shared" si="11"/>
        <v>物业管理</v>
      </c>
      <c r="R38" s="1574" t="s">
        <v>11</v>
      </c>
      <c r="S38" s="1575">
        <f t="shared" si="12"/>
        <v>100</v>
      </c>
      <c r="T38" s="1574" t="s">
        <v>11</v>
      </c>
      <c r="U38" s="1575">
        <f t="shared" si="13"/>
        <v>100</v>
      </c>
      <c r="V38" s="1574" t="s">
        <v>11</v>
      </c>
      <c r="W38" s="1575">
        <f t="shared" si="14"/>
        <v>100</v>
      </c>
      <c r="X38" s="1568"/>
      <c r="Y38" s="3489" t="s">
        <v>550</v>
      </c>
      <c r="Z38" s="1576" t="str">
        <f t="shared" si="15"/>
        <v>物业管理</v>
      </c>
      <c r="AA38" s="1577">
        <f t="shared" si="3"/>
        <v>1</v>
      </c>
      <c r="AB38" s="1577">
        <f t="shared" si="4"/>
        <v>1</v>
      </c>
      <c r="AC38" s="1577">
        <f t="shared" si="5"/>
        <v>1</v>
      </c>
    </row>
    <row r="39" spans="1:29" ht="15">
      <c r="A39" s="594"/>
      <c r="B39" s="1897"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489"/>
      <c r="Q39" s="1573" t="str">
        <f t="shared" si="11"/>
        <v>市政基础设施</v>
      </c>
      <c r="R39" s="1574" t="s">
        <v>11</v>
      </c>
      <c r="S39" s="1575">
        <f t="shared" si="12"/>
        <v>100</v>
      </c>
      <c r="T39" s="1574" t="s">
        <v>11</v>
      </c>
      <c r="U39" s="1575">
        <f t="shared" si="13"/>
        <v>100</v>
      </c>
      <c r="V39" s="1574" t="s">
        <v>11</v>
      </c>
      <c r="W39" s="1575">
        <f t="shared" si="14"/>
        <v>100</v>
      </c>
      <c r="X39" s="1568"/>
      <c r="Y39" s="3489"/>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89"/>
      <c r="Q40" s="1573" t="str">
        <f t="shared" si="11"/>
        <v>房型</v>
      </c>
      <c r="R40" s="1574" t="s">
        <v>11</v>
      </c>
      <c r="S40" s="1575">
        <f t="shared" si="12"/>
        <v>100</v>
      </c>
      <c r="T40" s="1574" t="s">
        <v>11</v>
      </c>
      <c r="U40" s="1575">
        <f t="shared" si="13"/>
        <v>100</v>
      </c>
      <c r="V40" s="1574" t="s">
        <v>11</v>
      </c>
      <c r="W40" s="1575">
        <f t="shared" si="14"/>
        <v>100</v>
      </c>
      <c r="X40" s="1568"/>
      <c r="Y40" s="3489"/>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89"/>
      <c r="Q41" s="1606" t="str">
        <f t="shared" si="11"/>
        <v>单套/主力户型建筑面积</v>
      </c>
      <c r="R41" s="1578" t="s">
        <v>11</v>
      </c>
      <c r="S41" s="1579">
        <f t="shared" si="12"/>
        <v>100</v>
      </c>
      <c r="T41" s="1578" t="s">
        <v>11</v>
      </c>
      <c r="U41" s="1579">
        <f t="shared" si="13"/>
        <v>100</v>
      </c>
      <c r="V41" s="1578" t="s">
        <v>11</v>
      </c>
      <c r="W41" s="1579">
        <f t="shared" si="14"/>
        <v>100</v>
      </c>
      <c r="X41" s="1580"/>
      <c r="Y41" s="3489"/>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489"/>
      <c r="Q42" s="1573" t="str">
        <f t="shared" si="11"/>
        <v>内部装修</v>
      </c>
      <c r="R42" s="1574" t="s">
        <v>11</v>
      </c>
      <c r="S42" s="1575">
        <f t="shared" si="12"/>
        <v>100</v>
      </c>
      <c r="T42" s="1574" t="s">
        <v>11</v>
      </c>
      <c r="U42" s="1575">
        <f t="shared" si="13"/>
        <v>100</v>
      </c>
      <c r="V42" s="1574" t="s">
        <v>11</v>
      </c>
      <c r="W42" s="1575">
        <f t="shared" si="14"/>
        <v>100</v>
      </c>
      <c r="X42" s="1568"/>
      <c r="Y42" s="3489"/>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89"/>
      <c r="Q43" s="1573" t="str">
        <f t="shared" si="11"/>
        <v>内部装修维护情况</v>
      </c>
      <c r="R43" s="1574" t="s">
        <v>11</v>
      </c>
      <c r="S43" s="1575">
        <f t="shared" si="12"/>
        <v>100</v>
      </c>
      <c r="T43" s="1574" t="s">
        <v>11</v>
      </c>
      <c r="U43" s="1575">
        <f t="shared" si="13"/>
        <v>100</v>
      </c>
      <c r="V43" s="1574" t="s">
        <v>11</v>
      </c>
      <c r="W43" s="1575">
        <f t="shared" si="14"/>
        <v>100</v>
      </c>
      <c r="X43" s="1568"/>
      <c r="Y43" s="348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89"/>
      <c r="Q44" s="1151">
        <f t="shared" si="11"/>
        <v>111</v>
      </c>
      <c r="R44" s="1569" t="s">
        <v>11</v>
      </c>
      <c r="S44" s="1570">
        <f t="shared" si="12"/>
        <v>100</v>
      </c>
      <c r="T44" s="1569" t="s">
        <v>11</v>
      </c>
      <c r="U44" s="1570">
        <f t="shared" si="13"/>
        <v>100</v>
      </c>
      <c r="V44" s="1569" t="s">
        <v>11</v>
      </c>
      <c r="W44" s="1570">
        <f t="shared" si="14"/>
        <v>100</v>
      </c>
      <c r="X44" s="1571"/>
      <c r="Y44" s="348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89"/>
      <c r="Q45" s="1573">
        <f t="shared" si="11"/>
        <v>111</v>
      </c>
      <c r="R45" s="1574" t="s">
        <v>11</v>
      </c>
      <c r="S45" s="1575">
        <f t="shared" si="12"/>
        <v>100</v>
      </c>
      <c r="T45" s="1574" t="s">
        <v>11</v>
      </c>
      <c r="U45" s="1575">
        <f t="shared" si="13"/>
        <v>100</v>
      </c>
      <c r="V45" s="1574" t="s">
        <v>11</v>
      </c>
      <c r="W45" s="1575">
        <f t="shared" si="14"/>
        <v>100</v>
      </c>
      <c r="X45" s="1568"/>
      <c r="Y45" s="348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67"/>
      <c r="Q46" s="1573">
        <f t="shared" si="11"/>
        <v>111</v>
      </c>
      <c r="R46" s="1574" t="s">
        <v>10</v>
      </c>
      <c r="S46" s="1575">
        <f t="shared" si="12"/>
        <v>100</v>
      </c>
      <c r="T46" s="1574" t="s">
        <v>10</v>
      </c>
      <c r="U46" s="1575">
        <f t="shared" si="13"/>
        <v>100</v>
      </c>
      <c r="V46" s="1574" t="s">
        <v>10</v>
      </c>
      <c r="W46" s="1575">
        <f t="shared" si="14"/>
        <v>100</v>
      </c>
      <c r="X46" s="1568"/>
      <c r="Y46" s="3567"/>
      <c r="Z46" s="1576">
        <f t="shared" si="15"/>
        <v>111</v>
      </c>
      <c r="AA46" s="1577">
        <f t="shared" si="3"/>
        <v>1</v>
      </c>
      <c r="AB46" s="1577">
        <f t="shared" si="4"/>
        <v>1</v>
      </c>
      <c r="AC46" s="1577">
        <f t="shared" si="5"/>
        <v>1</v>
      </c>
    </row>
    <row r="47" spans="1:29" ht="15">
      <c r="A47" s="607" t="s">
        <v>736</v>
      </c>
      <c r="B47" s="887"/>
      <c r="C47" s="2629" t="s">
        <v>9</v>
      </c>
      <c r="D47" s="2630"/>
      <c r="E47" s="2631"/>
      <c r="F47" s="2632"/>
      <c r="G47" s="2633"/>
      <c r="H47" s="2634"/>
      <c r="I47" s="2631"/>
      <c r="J47" s="2634"/>
      <c r="K47" s="1607"/>
      <c r="L47" s="2146"/>
      <c r="M47" s="2147"/>
      <c r="N47" s="2136"/>
      <c r="O47" s="2147"/>
      <c r="P47" s="3452" t="str">
        <f>A47</f>
        <v>成交单价（元/平方米）</v>
      </c>
      <c r="Q47" s="3452"/>
      <c r="R47" s="3566">
        <f>E47</f>
        <v>0</v>
      </c>
      <c r="S47" s="3566"/>
      <c r="T47" s="3566">
        <f>G47</f>
        <v>0</v>
      </c>
      <c r="U47" s="3566"/>
      <c r="V47" s="3566">
        <f>I47</f>
        <v>0</v>
      </c>
      <c r="W47" s="3566"/>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08"/>
      <c r="L48" s="2146"/>
      <c r="M48" s="2147"/>
      <c r="N48" s="2147"/>
      <c r="O48" s="2147"/>
      <c r="P48" s="3452" t="str">
        <f>A48</f>
        <v>比较价格（元/平方米）</v>
      </c>
      <c r="Q48" s="3452"/>
      <c r="R48" s="3566" t="e">
        <f>IF(F1="售价",ROUND(PRODUCT(R47,AA7:AA46),0),ROUND(PRODUCT(R47,AA7:AA46),1))</f>
        <v>#DIV/0!</v>
      </c>
      <c r="S48" s="3566"/>
      <c r="T48" s="3566" t="e">
        <f>IF(F1="售价",ROUND(PRODUCT(T47,AB7:AB46),0),ROUND(PRODUCT(T47,AB7:AB46),1))</f>
        <v>#DIV/0!</v>
      </c>
      <c r="U48" s="3566"/>
      <c r="V48" s="3566" t="e">
        <f>IF(F1="售价",ROUND(PRODUCT(V47,AC7:AC46),0),ROUND(PRODUCT(V47,AC7:AC46),1))</f>
        <v>#DIV/0!</v>
      </c>
      <c r="W48" s="3566"/>
      <c r="X48" s="1560"/>
      <c r="Y48" s="1560"/>
      <c r="Z48" s="1560"/>
      <c r="AA48" s="1560"/>
      <c r="AB48" s="1560"/>
      <c r="AC48" s="1560"/>
    </row>
    <row r="49" spans="1:29" ht="15.75" thickBot="1">
      <c r="A49" s="621" t="s">
        <v>2936</v>
      </c>
      <c r="B49" s="622"/>
      <c r="C49" s="2638" t="e">
        <f>R49</f>
        <v>#DIV/0!</v>
      </c>
      <c r="D49" s="2638"/>
      <c r="E49" s="2638"/>
      <c r="F49" s="2638"/>
      <c r="G49" s="2638"/>
      <c r="H49" s="2638"/>
      <c r="I49" s="2638"/>
      <c r="J49" s="2638"/>
      <c r="K49" s="1609"/>
      <c r="L49" s="2146"/>
      <c r="M49" s="2147"/>
      <c r="N49" s="2147"/>
      <c r="O49" s="2147"/>
      <c r="P49" s="3449" t="str">
        <f>A49</f>
        <v>估价对象XX用房的比较价格（楼面单价，元/平方米）</v>
      </c>
      <c r="Q49" s="3450"/>
      <c r="R49" s="3565" t="e">
        <f>IF(F1="售价",ROUND(AVERAGE(R48:V48),0),ROUND(AVERAGE(R48:V48),1))</f>
        <v>#DIV/0!</v>
      </c>
      <c r="S49" s="3565"/>
      <c r="T49" s="3565"/>
      <c r="U49" s="3565"/>
      <c r="V49" s="3565"/>
      <c r="W49" s="356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2018-7</v>
      </c>
      <c r="D58" s="2806">
        <f>EDATE(C58,-1)</f>
        <v>43252</v>
      </c>
      <c r="E58" s="2806">
        <f t="shared" ref="E58:O58" si="16">EDATE(D58,-1)</f>
        <v>43221</v>
      </c>
      <c r="F58" s="2806">
        <f t="shared" si="16"/>
        <v>43191</v>
      </c>
      <c r="G58" s="2806">
        <f t="shared" si="16"/>
        <v>43160</v>
      </c>
      <c r="H58" s="2806">
        <f t="shared" si="16"/>
        <v>43132</v>
      </c>
      <c r="I58" s="2806">
        <f t="shared" si="16"/>
        <v>43101</v>
      </c>
      <c r="J58" s="2806">
        <f t="shared" si="16"/>
        <v>43070</v>
      </c>
      <c r="K58" s="2806">
        <f t="shared" si="16"/>
        <v>43040</v>
      </c>
      <c r="L58" s="2806">
        <f t="shared" si="16"/>
        <v>43009</v>
      </c>
      <c r="M58" s="2806">
        <f t="shared" si="16"/>
        <v>42979</v>
      </c>
      <c r="N58" s="2806">
        <f t="shared" si="16"/>
        <v>42948</v>
      </c>
      <c r="O58" s="2806">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3"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458" t="s">
        <v>522</v>
      </c>
      <c r="D4" s="3459"/>
      <c r="E4" s="3493" t="s">
        <v>523</v>
      </c>
      <c r="F4" s="3494"/>
      <c r="G4" s="3458" t="s">
        <v>524</v>
      </c>
      <c r="H4" s="3459"/>
      <c r="I4" s="3458" t="s">
        <v>525</v>
      </c>
      <c r="J4" s="3459"/>
      <c r="K4" s="514" t="s">
        <v>526</v>
      </c>
      <c r="L4" s="2135"/>
      <c r="M4" s="2136"/>
      <c r="N4" s="2136"/>
      <c r="O4" s="2136"/>
      <c r="P4" s="3460" t="s">
        <v>527</v>
      </c>
      <c r="Q4" s="3461"/>
      <c r="R4" s="3466" t="s">
        <v>523</v>
      </c>
      <c r="S4" s="3467"/>
      <c r="T4" s="3466" t="s">
        <v>524</v>
      </c>
      <c r="U4" s="3467"/>
      <c r="V4" s="3453" t="s">
        <v>525</v>
      </c>
      <c r="W4" s="3453"/>
      <c r="X4" s="1568"/>
      <c r="Y4" s="3466" t="s">
        <v>527</v>
      </c>
      <c r="Z4" s="3467"/>
      <c r="AA4" s="3455" t="s">
        <v>523</v>
      </c>
      <c r="AB4" s="3453" t="s">
        <v>524</v>
      </c>
      <c r="AC4" s="3455" t="s">
        <v>525</v>
      </c>
    </row>
    <row r="5" spans="1:29" ht="15">
      <c r="A5" s="515"/>
      <c r="B5" s="516"/>
      <c r="C5" s="3474" t="s">
        <v>2930</v>
      </c>
      <c r="D5" s="3475"/>
      <c r="E5" s="3495" t="s">
        <v>2931</v>
      </c>
      <c r="F5" s="3496"/>
      <c r="G5" s="3474" t="s">
        <v>2932</v>
      </c>
      <c r="H5" s="3475"/>
      <c r="I5" s="3474" t="s">
        <v>2933</v>
      </c>
      <c r="J5" s="3475"/>
      <c r="K5" s="514"/>
      <c r="L5" s="2135"/>
      <c r="M5" s="2136"/>
      <c r="N5" s="2136"/>
      <c r="O5" s="2136"/>
      <c r="P5" s="3462"/>
      <c r="Q5" s="3463"/>
      <c r="R5" s="3468"/>
      <c r="S5" s="3469"/>
      <c r="T5" s="3468"/>
      <c r="U5" s="3469"/>
      <c r="V5" s="3453"/>
      <c r="W5" s="3453"/>
      <c r="X5" s="1568"/>
      <c r="Y5" s="3468"/>
      <c r="Z5" s="3469"/>
      <c r="AA5" s="3456"/>
      <c r="AB5" s="3453"/>
      <c r="AC5" s="3456"/>
    </row>
    <row r="6" spans="1:29" ht="15.75" thickBot="1">
      <c r="A6" s="517"/>
      <c r="B6" s="518"/>
      <c r="C6" s="3472" t="s">
        <v>2934</v>
      </c>
      <c r="D6" s="3473"/>
      <c r="E6" s="3491" t="s">
        <v>2934</v>
      </c>
      <c r="F6" s="3492"/>
      <c r="G6" s="3472" t="s">
        <v>2934</v>
      </c>
      <c r="H6" s="3473"/>
      <c r="I6" s="3472" t="s">
        <v>2934</v>
      </c>
      <c r="J6" s="3473"/>
      <c r="K6" s="514" t="s">
        <v>528</v>
      </c>
      <c r="L6" s="2135"/>
      <c r="M6" s="2136"/>
      <c r="N6" s="2136"/>
      <c r="O6" s="2136"/>
      <c r="P6" s="3464"/>
      <c r="Q6" s="3465"/>
      <c r="R6" s="3468"/>
      <c r="S6" s="3469"/>
      <c r="T6" s="3470"/>
      <c r="U6" s="3471"/>
      <c r="V6" s="3453"/>
      <c r="W6" s="3453"/>
      <c r="X6" s="1568"/>
      <c r="Y6" s="3470"/>
      <c r="Z6" s="3471"/>
      <c r="AA6" s="3457"/>
      <c r="AB6" s="3453"/>
      <c r="AC6" s="3457"/>
    </row>
    <row r="7" spans="1:29" s="1220" customFormat="1" ht="15.75" thickBot="1">
      <c r="A7" s="2914"/>
      <c r="B7" s="2921" t="s">
        <v>529</v>
      </c>
      <c r="C7" s="519">
        <f>'数据-取费表'!B2</f>
        <v>43290</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83" t="s">
        <v>530</v>
      </c>
      <c r="Q7" s="3485"/>
      <c r="R7" s="1569" t="s">
        <v>8</v>
      </c>
      <c r="S7" s="1570">
        <f t="shared" ref="S7:S15" si="0">F7</f>
        <v>0</v>
      </c>
      <c r="T7" s="1569" t="s">
        <v>8</v>
      </c>
      <c r="U7" s="1570">
        <f t="shared" ref="U7:U15" si="1">H7</f>
        <v>0</v>
      </c>
      <c r="V7" s="1569" t="s">
        <v>8</v>
      </c>
      <c r="W7" s="1570">
        <f t="shared" ref="W7:W15" si="2">J7</f>
        <v>0</v>
      </c>
      <c r="X7" s="1571"/>
      <c r="Y7" s="3483" t="s">
        <v>530</v>
      </c>
      <c r="Z7" s="3484"/>
      <c r="AA7" s="1572" t="e">
        <f>D7/F7</f>
        <v>#DIV/0!</v>
      </c>
      <c r="AB7" s="1572" t="e">
        <f>D7/H7</f>
        <v>#DIV/0!</v>
      </c>
      <c r="AC7" s="1572" t="e">
        <f>D7/J7</f>
        <v>#DIV/0!</v>
      </c>
    </row>
    <row r="8" spans="1:29" s="1220" customFormat="1" ht="15.75" thickBot="1">
      <c r="A8" s="2915"/>
      <c r="B8" s="2922"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83" t="s">
        <v>533</v>
      </c>
      <c r="Q8" s="3484"/>
      <c r="R8" s="1569" t="s">
        <v>8</v>
      </c>
      <c r="S8" s="1570">
        <f t="shared" si="0"/>
        <v>0</v>
      </c>
      <c r="T8" s="1569" t="s">
        <v>8</v>
      </c>
      <c r="U8" s="1570">
        <f t="shared" si="1"/>
        <v>0</v>
      </c>
      <c r="V8" s="1569" t="s">
        <v>8</v>
      </c>
      <c r="W8" s="1570">
        <f t="shared" si="2"/>
        <v>0</v>
      </c>
      <c r="X8" s="1571"/>
      <c r="Y8" s="3483" t="s">
        <v>533</v>
      </c>
      <c r="Z8" s="3484"/>
      <c r="AA8" s="1572" t="e">
        <f t="shared" ref="AA8:AA46" si="3">D8/F8</f>
        <v>#DIV/0!</v>
      </c>
      <c r="AB8" s="1572" t="e">
        <f t="shared" ref="AB8:AB46" si="4">D8/H8</f>
        <v>#DIV/0!</v>
      </c>
      <c r="AC8" s="1572" t="e">
        <f t="shared" ref="AC8:AC46" si="5">D8/J8</f>
        <v>#DIV/0!</v>
      </c>
    </row>
    <row r="9" spans="1:29" s="1220" customFormat="1" ht="15">
      <c r="A9" s="2916"/>
      <c r="B9" s="2923" t="s">
        <v>2759</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52" t="s">
        <v>535</v>
      </c>
      <c r="Q9" s="1151" t="str">
        <f t="shared" ref="Q9:Q15" si="6">B9</f>
        <v>用途</v>
      </c>
      <c r="R9" s="1569" t="s">
        <v>8</v>
      </c>
      <c r="S9" s="1570">
        <f t="shared" si="0"/>
        <v>100</v>
      </c>
      <c r="T9" s="1569" t="s">
        <v>8</v>
      </c>
      <c r="U9" s="1570">
        <f t="shared" si="1"/>
        <v>100</v>
      </c>
      <c r="V9" s="1569" t="s">
        <v>8</v>
      </c>
      <c r="W9" s="1570">
        <f t="shared" si="2"/>
        <v>100</v>
      </c>
      <c r="X9" s="1571"/>
      <c r="Y9" s="3398"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52"/>
      <c r="Q10" s="1151" t="str">
        <f t="shared" si="6"/>
        <v>土地使用年限（年）</v>
      </c>
      <c r="R10" s="1569" t="s">
        <v>8</v>
      </c>
      <c r="S10" s="1570">
        <f t="shared" si="0"/>
        <v>100</v>
      </c>
      <c r="T10" s="1569" t="s">
        <v>8</v>
      </c>
      <c r="U10" s="1570">
        <f t="shared" si="1"/>
        <v>100</v>
      </c>
      <c r="V10" s="1569" t="s">
        <v>8</v>
      </c>
      <c r="W10" s="1570">
        <f t="shared" si="2"/>
        <v>100</v>
      </c>
      <c r="X10" s="1571"/>
      <c r="Y10" s="3398"/>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52"/>
      <c r="Q11" s="1151" t="str">
        <f t="shared" si="6"/>
        <v>容积率</v>
      </c>
      <c r="R11" s="1569" t="s">
        <v>8</v>
      </c>
      <c r="S11" s="1570" t="e">
        <f t="shared" si="0"/>
        <v>#N/A</v>
      </c>
      <c r="T11" s="1569" t="s">
        <v>8</v>
      </c>
      <c r="U11" s="1570" t="e">
        <f t="shared" si="1"/>
        <v>#N/A</v>
      </c>
      <c r="V11" s="1569" t="s">
        <v>8</v>
      </c>
      <c r="W11" s="1570" t="e">
        <f t="shared" si="2"/>
        <v>#N/A</v>
      </c>
      <c r="X11" s="1571"/>
      <c r="Y11" s="3398"/>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52"/>
      <c r="Q12" s="1151">
        <f t="shared" si="6"/>
        <v>111</v>
      </c>
      <c r="R12" s="1569" t="s">
        <v>8</v>
      </c>
      <c r="S12" s="1570">
        <f t="shared" si="0"/>
        <v>100</v>
      </c>
      <c r="T12" s="1569" t="s">
        <v>8</v>
      </c>
      <c r="U12" s="1570">
        <f t="shared" si="1"/>
        <v>100</v>
      </c>
      <c r="V12" s="1569" t="s">
        <v>8</v>
      </c>
      <c r="W12" s="1570">
        <f t="shared" si="2"/>
        <v>100</v>
      </c>
      <c r="X12" s="1571"/>
      <c r="Y12" s="3398"/>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52"/>
      <c r="Q13" s="1151">
        <f t="shared" si="6"/>
        <v>111</v>
      </c>
      <c r="R13" s="1569" t="s">
        <v>8</v>
      </c>
      <c r="S13" s="1570">
        <f t="shared" si="0"/>
        <v>100</v>
      </c>
      <c r="T13" s="1569" t="s">
        <v>8</v>
      </c>
      <c r="U13" s="1570">
        <f t="shared" si="1"/>
        <v>100</v>
      </c>
      <c r="V13" s="1569" t="s">
        <v>8</v>
      </c>
      <c r="W13" s="1570">
        <f t="shared" si="2"/>
        <v>100</v>
      </c>
      <c r="X13" s="1571"/>
      <c r="Y13" s="3398"/>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52"/>
      <c r="Q14" s="1151">
        <f t="shared" si="6"/>
        <v>111</v>
      </c>
      <c r="R14" s="1569" t="s">
        <v>8</v>
      </c>
      <c r="S14" s="1570">
        <f t="shared" si="0"/>
        <v>100</v>
      </c>
      <c r="T14" s="1569" t="s">
        <v>8</v>
      </c>
      <c r="U14" s="1570">
        <f t="shared" si="1"/>
        <v>100</v>
      </c>
      <c r="V14" s="1569" t="s">
        <v>8</v>
      </c>
      <c r="W14" s="1570">
        <f t="shared" si="2"/>
        <v>100</v>
      </c>
      <c r="X14" s="1571"/>
      <c r="Y14" s="3398"/>
      <c r="Z14" s="1150">
        <f t="shared" si="7"/>
        <v>111</v>
      </c>
      <c r="AA14" s="1572">
        <f t="shared" si="3"/>
        <v>1</v>
      </c>
      <c r="AB14" s="1572">
        <f t="shared" si="4"/>
        <v>1</v>
      </c>
      <c r="AC14" s="1572">
        <f t="shared" si="5"/>
        <v>1</v>
      </c>
    </row>
    <row r="15" spans="1:29" ht="71.25">
      <c r="A15" s="2912"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86" t="s">
        <v>540</v>
      </c>
      <c r="Q15" s="1573" t="str">
        <f t="shared" si="6"/>
        <v>商业繁华度</v>
      </c>
      <c r="R15" s="1574" t="s">
        <v>8</v>
      </c>
      <c r="S15" s="1575">
        <f t="shared" si="0"/>
        <v>100</v>
      </c>
      <c r="T15" s="1574" t="s">
        <v>8</v>
      </c>
      <c r="U15" s="1575">
        <f t="shared" si="1"/>
        <v>100</v>
      </c>
      <c r="V15" s="1574" t="s">
        <v>8</v>
      </c>
      <c r="W15" s="1575">
        <f t="shared" si="2"/>
        <v>100</v>
      </c>
      <c r="X15" s="1568"/>
      <c r="Y15" s="3486"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87"/>
      <c r="Q16" s="1573"/>
      <c r="R16" s="1574"/>
      <c r="S16" s="1575"/>
      <c r="T16" s="1574"/>
      <c r="U16" s="1575"/>
      <c r="V16" s="1574"/>
      <c r="W16" s="1575"/>
      <c r="X16" s="1568"/>
      <c r="Y16" s="348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87"/>
      <c r="Q17" s="1573" t="str">
        <f>B17</f>
        <v>交通便捷度</v>
      </c>
      <c r="R17" s="1574" t="s">
        <v>8</v>
      </c>
      <c r="S17" s="1575">
        <f>F17</f>
        <v>100</v>
      </c>
      <c r="T17" s="1574" t="s">
        <v>8</v>
      </c>
      <c r="U17" s="1575">
        <f>H17</f>
        <v>100</v>
      </c>
      <c r="V17" s="1574" t="s">
        <v>8</v>
      </c>
      <c r="W17" s="1575">
        <f>J17</f>
        <v>100</v>
      </c>
      <c r="X17" s="1568"/>
      <c r="Y17" s="34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87"/>
      <c r="Q18" s="1573"/>
      <c r="R18" s="1574"/>
      <c r="S18" s="1575"/>
      <c r="T18" s="1574"/>
      <c r="U18" s="1575"/>
      <c r="V18" s="1574"/>
      <c r="W18" s="1575"/>
      <c r="X18" s="1568"/>
      <c r="Y18" s="3487"/>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87"/>
      <c r="Q19" s="1573" t="str">
        <f>B19</f>
        <v>公共配套设施</v>
      </c>
      <c r="R19" s="1574" t="s">
        <v>8</v>
      </c>
      <c r="S19" s="1575">
        <f>F19</f>
        <v>100</v>
      </c>
      <c r="T19" s="1574" t="s">
        <v>8</v>
      </c>
      <c r="U19" s="1575">
        <f>H19</f>
        <v>100</v>
      </c>
      <c r="V19" s="1574" t="s">
        <v>8</v>
      </c>
      <c r="W19" s="1575">
        <f>J19</f>
        <v>100</v>
      </c>
      <c r="X19" s="1568"/>
      <c r="Y19" s="348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87"/>
      <c r="Q20" s="1573"/>
      <c r="R20" s="1574"/>
      <c r="S20" s="1575"/>
      <c r="T20" s="1574"/>
      <c r="U20" s="1575"/>
      <c r="V20" s="1574"/>
      <c r="W20" s="1575"/>
      <c r="X20" s="1568"/>
      <c r="Y20" s="3487"/>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87"/>
      <c r="Q21" s="2581" t="str">
        <f>B21</f>
        <v>基础设施水平</v>
      </c>
      <c r="R21" s="1574" t="s">
        <v>8</v>
      </c>
      <c r="S21" s="1575">
        <f>F21</f>
        <v>100</v>
      </c>
      <c r="T21" s="1574" t="s">
        <v>8</v>
      </c>
      <c r="U21" s="1575">
        <f>H21</f>
        <v>100</v>
      </c>
      <c r="V21" s="1574" t="s">
        <v>8</v>
      </c>
      <c r="W21" s="1575">
        <f>J21</f>
        <v>100</v>
      </c>
      <c r="X21" s="2583"/>
      <c r="Y21" s="3487"/>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87"/>
      <c r="Q22" s="2581"/>
      <c r="R22" s="1574"/>
      <c r="S22" s="1575"/>
      <c r="T22" s="1574"/>
      <c r="U22" s="1575"/>
      <c r="V22" s="1574"/>
      <c r="W22" s="1575"/>
      <c r="X22" s="2583"/>
      <c r="Y22" s="3487"/>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87"/>
      <c r="Q23" s="1573" t="str">
        <f>B23</f>
        <v>自然及人文环境</v>
      </c>
      <c r="R23" s="1574" t="s">
        <v>8</v>
      </c>
      <c r="S23" s="1575">
        <f>F23</f>
        <v>100</v>
      </c>
      <c r="T23" s="1574" t="s">
        <v>8</v>
      </c>
      <c r="U23" s="1575">
        <f>H23</f>
        <v>100</v>
      </c>
      <c r="V23" s="1574" t="s">
        <v>8</v>
      </c>
      <c r="W23" s="1575">
        <f>J23</f>
        <v>100</v>
      </c>
      <c r="X23" s="1568"/>
      <c r="Y23" s="348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87"/>
      <c r="Q24" s="1573"/>
      <c r="R24" s="1574"/>
      <c r="S24" s="1575"/>
      <c r="T24" s="1574"/>
      <c r="U24" s="1575"/>
      <c r="V24" s="1574"/>
      <c r="W24" s="1575"/>
      <c r="X24" s="1568"/>
      <c r="Y24" s="3487"/>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87"/>
      <c r="Q25" s="1573" t="str">
        <f t="shared" ref="Q25:Q46" si="11">B25</f>
        <v>临街状况</v>
      </c>
      <c r="R25" s="1574" t="s">
        <v>8</v>
      </c>
      <c r="S25" s="1575">
        <f>F25</f>
        <v>100</v>
      </c>
      <c r="T25" s="1574" t="s">
        <v>8</v>
      </c>
      <c r="U25" s="1575">
        <f>H25</f>
        <v>100</v>
      </c>
      <c r="V25" s="1574" t="s">
        <v>8</v>
      </c>
      <c r="W25" s="1575">
        <f>J25</f>
        <v>100</v>
      </c>
      <c r="X25" s="1568"/>
      <c r="Y25" s="3487"/>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87"/>
      <c r="Q26" s="1573" t="str">
        <f t="shared" si="11"/>
        <v>平面位置/可视性</v>
      </c>
      <c r="R26" s="1574" t="s">
        <v>8</v>
      </c>
      <c r="S26" s="1575">
        <f>F26</f>
        <v>100</v>
      </c>
      <c r="T26" s="1574" t="s">
        <v>8</v>
      </c>
      <c r="U26" s="1575">
        <f>H26</f>
        <v>100</v>
      </c>
      <c r="V26" s="1574" t="s">
        <v>8</v>
      </c>
      <c r="W26" s="1575">
        <f>J26</f>
        <v>100</v>
      </c>
      <c r="X26" s="1568"/>
      <c r="Y26" s="3487"/>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87"/>
      <c r="Q27" s="1151" t="str">
        <f t="shared" si="11"/>
        <v>人流量</v>
      </c>
      <c r="R27" s="1569" t="s">
        <v>8</v>
      </c>
      <c r="S27" s="1570">
        <f>F27</f>
        <v>100</v>
      </c>
      <c r="T27" s="1569" t="s">
        <v>8</v>
      </c>
      <c r="U27" s="1570">
        <f>H27</f>
        <v>100</v>
      </c>
      <c r="V27" s="1569" t="s">
        <v>8</v>
      </c>
      <c r="W27" s="1570">
        <f>J27</f>
        <v>100</v>
      </c>
      <c r="X27" s="1571"/>
      <c r="Y27" s="3487"/>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8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8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87"/>
      <c r="Q29" s="1573">
        <f t="shared" si="11"/>
        <v>111</v>
      </c>
      <c r="R29" s="1574" t="s">
        <v>8</v>
      </c>
      <c r="S29" s="1575">
        <f t="shared" si="12"/>
        <v>100</v>
      </c>
      <c r="T29" s="1574" t="s">
        <v>8</v>
      </c>
      <c r="U29" s="1575">
        <f t="shared" si="13"/>
        <v>100</v>
      </c>
      <c r="V29" s="1574" t="s">
        <v>8</v>
      </c>
      <c r="W29" s="1575">
        <f t="shared" si="14"/>
        <v>100</v>
      </c>
      <c r="X29" s="1568"/>
      <c r="Y29" s="348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87"/>
      <c r="Q30" s="1573">
        <f t="shared" si="11"/>
        <v>111</v>
      </c>
      <c r="R30" s="1574" t="s">
        <v>8</v>
      </c>
      <c r="S30" s="1575">
        <f t="shared" si="12"/>
        <v>100</v>
      </c>
      <c r="T30" s="1574" t="s">
        <v>8</v>
      </c>
      <c r="U30" s="1575">
        <f t="shared" si="13"/>
        <v>100</v>
      </c>
      <c r="V30" s="1574" t="s">
        <v>8</v>
      </c>
      <c r="W30" s="1575">
        <f t="shared" si="14"/>
        <v>100</v>
      </c>
      <c r="X30" s="1568"/>
      <c r="Y30" s="348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87"/>
      <c r="Q31" s="1573">
        <f t="shared" si="11"/>
        <v>111</v>
      </c>
      <c r="R31" s="1574" t="s">
        <v>8</v>
      </c>
      <c r="S31" s="1575">
        <f t="shared" si="12"/>
        <v>100</v>
      </c>
      <c r="T31" s="1574" t="s">
        <v>8</v>
      </c>
      <c r="U31" s="1575">
        <f t="shared" si="13"/>
        <v>100</v>
      </c>
      <c r="V31" s="1574" t="s">
        <v>8</v>
      </c>
      <c r="W31" s="1575">
        <f t="shared" si="14"/>
        <v>100</v>
      </c>
      <c r="X31" s="1568"/>
      <c r="Y31" s="3487"/>
      <c r="Z31" s="1576">
        <f t="shared" si="15"/>
        <v>111</v>
      </c>
      <c r="AA31" s="1577">
        <f t="shared" si="3"/>
        <v>1</v>
      </c>
      <c r="AB31" s="1577">
        <f t="shared" si="4"/>
        <v>1</v>
      </c>
      <c r="AC31" s="1577">
        <f t="shared" si="5"/>
        <v>1</v>
      </c>
    </row>
    <row r="32" spans="1:29" ht="15">
      <c r="A32" s="2909"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88" t="s">
        <v>550</v>
      </c>
      <c r="Q32" s="1573" t="str">
        <f t="shared" si="11"/>
        <v>商业类型</v>
      </c>
      <c r="R32" s="1574" t="s">
        <v>8</v>
      </c>
      <c r="S32" s="1575">
        <f t="shared" si="12"/>
        <v>100</v>
      </c>
      <c r="T32" s="1574" t="s">
        <v>8</v>
      </c>
      <c r="U32" s="1575">
        <f t="shared" si="13"/>
        <v>100</v>
      </c>
      <c r="V32" s="1574" t="s">
        <v>8</v>
      </c>
      <c r="W32" s="1575">
        <f t="shared" si="14"/>
        <v>100</v>
      </c>
      <c r="X32" s="1568"/>
      <c r="Y32" s="3489"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89"/>
      <c r="Q33" s="1606" t="str">
        <f t="shared" si="11"/>
        <v>项目建筑规模</v>
      </c>
      <c r="R33" s="1578" t="s">
        <v>8</v>
      </c>
      <c r="S33" s="1579" t="e">
        <f t="shared" si="12"/>
        <v>#N/A</v>
      </c>
      <c r="T33" s="1578" t="s">
        <v>8</v>
      </c>
      <c r="U33" s="1579" t="e">
        <f t="shared" si="13"/>
        <v>#N/A</v>
      </c>
      <c r="V33" s="1578" t="s">
        <v>8</v>
      </c>
      <c r="W33" s="1579" t="e">
        <f t="shared" si="14"/>
        <v>#N/A</v>
      </c>
      <c r="X33" s="1580"/>
      <c r="Y33" s="348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89"/>
      <c r="Q34" s="1573" t="str">
        <f t="shared" si="11"/>
        <v>建筑结构</v>
      </c>
      <c r="R34" s="1574" t="s">
        <v>8</v>
      </c>
      <c r="S34" s="1575">
        <f t="shared" si="12"/>
        <v>100</v>
      </c>
      <c r="T34" s="1574" t="s">
        <v>8</v>
      </c>
      <c r="U34" s="1575">
        <f t="shared" si="13"/>
        <v>100</v>
      </c>
      <c r="V34" s="1574" t="s">
        <v>8</v>
      </c>
      <c r="W34" s="1575">
        <f t="shared" si="14"/>
        <v>100</v>
      </c>
      <c r="X34" s="1568"/>
      <c r="Y34" s="3489"/>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89"/>
      <c r="Q35" s="1573" t="str">
        <f t="shared" si="11"/>
        <v>公共部分装修</v>
      </c>
      <c r="R35" s="1574" t="s">
        <v>8</v>
      </c>
      <c r="S35" s="1575">
        <f t="shared" si="12"/>
        <v>100</v>
      </c>
      <c r="T35" s="1574" t="s">
        <v>8</v>
      </c>
      <c r="U35" s="1575">
        <f t="shared" si="13"/>
        <v>100</v>
      </c>
      <c r="V35" s="1574" t="s">
        <v>8</v>
      </c>
      <c r="W35" s="1575">
        <f t="shared" si="14"/>
        <v>100</v>
      </c>
      <c r="X35" s="1568"/>
      <c r="Y35" s="3489"/>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89"/>
      <c r="Q36" s="1573" t="str">
        <f t="shared" si="11"/>
        <v>成新度</v>
      </c>
      <c r="R36" s="1574" t="s">
        <v>8</v>
      </c>
      <c r="S36" s="1575" t="e">
        <f t="shared" si="12"/>
        <v>#N/A</v>
      </c>
      <c r="T36" s="1574" t="s">
        <v>8</v>
      </c>
      <c r="U36" s="1575" t="e">
        <f t="shared" si="13"/>
        <v>#N/A</v>
      </c>
      <c r="V36" s="1574" t="s">
        <v>8</v>
      </c>
      <c r="W36" s="1575" t="e">
        <f t="shared" si="14"/>
        <v>#N/A</v>
      </c>
      <c r="X36" s="1568"/>
      <c r="Y36" s="3489"/>
      <c r="Z36" s="1576" t="str">
        <f t="shared" si="15"/>
        <v>成新度</v>
      </c>
      <c r="AA36" s="1577" t="e">
        <f t="shared" si="3"/>
        <v>#N/A</v>
      </c>
      <c r="AB36" s="1577" t="e">
        <f t="shared" si="4"/>
        <v>#N/A</v>
      </c>
      <c r="AC36" s="1577" t="e">
        <f t="shared" si="5"/>
        <v>#N/A</v>
      </c>
    </row>
    <row r="37" spans="1:29" s="1220" customFormat="1" ht="15">
      <c r="A37" s="600"/>
      <c r="B37" s="1897"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89"/>
      <c r="Q37" s="1151" t="str">
        <f t="shared" si="11"/>
        <v>市政基础设施</v>
      </c>
      <c r="R37" s="1569" t="s">
        <v>8</v>
      </c>
      <c r="S37" s="1570">
        <f t="shared" si="12"/>
        <v>100</v>
      </c>
      <c r="T37" s="1569" t="s">
        <v>8</v>
      </c>
      <c r="U37" s="1570">
        <f t="shared" si="13"/>
        <v>100</v>
      </c>
      <c r="V37" s="1569" t="s">
        <v>8</v>
      </c>
      <c r="W37" s="1570">
        <f t="shared" si="14"/>
        <v>100</v>
      </c>
      <c r="X37" s="1571"/>
      <c r="Y37" s="3489"/>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89" t="s">
        <v>766</v>
      </c>
      <c r="Q38" s="1573" t="str">
        <f t="shared" si="11"/>
        <v>业态</v>
      </c>
      <c r="R38" s="1574" t="s">
        <v>8</v>
      </c>
      <c r="S38" s="1575">
        <f t="shared" si="12"/>
        <v>100</v>
      </c>
      <c r="T38" s="1574" t="s">
        <v>8</v>
      </c>
      <c r="U38" s="1575">
        <f t="shared" si="13"/>
        <v>100</v>
      </c>
      <c r="V38" s="1574" t="s">
        <v>8</v>
      </c>
      <c r="W38" s="1575">
        <f t="shared" si="14"/>
        <v>100</v>
      </c>
      <c r="X38" s="1568"/>
      <c r="Y38" s="3489"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89"/>
      <c r="Q39" s="1573" t="str">
        <f t="shared" si="11"/>
        <v>层高</v>
      </c>
      <c r="R39" s="1574" t="s">
        <v>8</v>
      </c>
      <c r="S39" s="1575">
        <f t="shared" si="12"/>
        <v>100</v>
      </c>
      <c r="T39" s="1574" t="s">
        <v>8</v>
      </c>
      <c r="U39" s="1575">
        <f t="shared" si="13"/>
        <v>100</v>
      </c>
      <c r="V39" s="1574" t="s">
        <v>8</v>
      </c>
      <c r="W39" s="1575">
        <f t="shared" si="14"/>
        <v>100</v>
      </c>
      <c r="X39" s="1568"/>
      <c r="Y39" s="3489"/>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89"/>
      <c r="Q40" s="1573" t="str">
        <f t="shared" si="11"/>
        <v>单套建筑面积</v>
      </c>
      <c r="R40" s="1574" t="s">
        <v>8</v>
      </c>
      <c r="S40" s="1575">
        <f t="shared" si="12"/>
        <v>100</v>
      </c>
      <c r="T40" s="1574" t="s">
        <v>8</v>
      </c>
      <c r="U40" s="1575">
        <f t="shared" si="13"/>
        <v>100</v>
      </c>
      <c r="V40" s="1574" t="s">
        <v>8</v>
      </c>
      <c r="W40" s="1575">
        <f t="shared" si="14"/>
        <v>100</v>
      </c>
      <c r="X40" s="1568"/>
      <c r="Y40" s="3489"/>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89"/>
      <c r="Q41" s="1606" t="str">
        <f t="shared" si="11"/>
        <v>进深比</v>
      </c>
      <c r="R41" s="1578" t="s">
        <v>8</v>
      </c>
      <c r="S41" s="1579">
        <f t="shared" si="12"/>
        <v>100</v>
      </c>
      <c r="T41" s="1578" t="s">
        <v>8</v>
      </c>
      <c r="U41" s="1579">
        <f t="shared" si="13"/>
        <v>100</v>
      </c>
      <c r="V41" s="1578" t="s">
        <v>8</v>
      </c>
      <c r="W41" s="1579">
        <f t="shared" si="14"/>
        <v>100</v>
      </c>
      <c r="X41" s="1580"/>
      <c r="Y41" s="3489"/>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89"/>
      <c r="Q42" s="1573" t="str">
        <f t="shared" si="11"/>
        <v>内部装修</v>
      </c>
      <c r="R42" s="1574" t="s">
        <v>8</v>
      </c>
      <c r="S42" s="1575">
        <f t="shared" si="12"/>
        <v>100</v>
      </c>
      <c r="T42" s="1574" t="s">
        <v>8</v>
      </c>
      <c r="U42" s="1575">
        <f t="shared" si="13"/>
        <v>100</v>
      </c>
      <c r="V42" s="1574" t="s">
        <v>8</v>
      </c>
      <c r="W42" s="1575">
        <f t="shared" si="14"/>
        <v>100</v>
      </c>
      <c r="X42" s="1568"/>
      <c r="Y42" s="3489"/>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89"/>
      <c r="Q43" s="1573" t="str">
        <f t="shared" si="11"/>
        <v>内部装修维护情况</v>
      </c>
      <c r="R43" s="1574" t="s">
        <v>8</v>
      </c>
      <c r="S43" s="1575">
        <f t="shared" si="12"/>
        <v>100</v>
      </c>
      <c r="T43" s="1574" t="s">
        <v>8</v>
      </c>
      <c r="U43" s="1575">
        <f t="shared" si="13"/>
        <v>100</v>
      </c>
      <c r="V43" s="1574" t="s">
        <v>8</v>
      </c>
      <c r="W43" s="1575">
        <f t="shared" si="14"/>
        <v>100</v>
      </c>
      <c r="X43" s="1568"/>
      <c r="Y43" s="348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89"/>
      <c r="Q44" s="1151">
        <f t="shared" si="11"/>
        <v>111</v>
      </c>
      <c r="R44" s="1569" t="s">
        <v>8</v>
      </c>
      <c r="S44" s="1570">
        <f t="shared" si="12"/>
        <v>100</v>
      </c>
      <c r="T44" s="1569" t="s">
        <v>8</v>
      </c>
      <c r="U44" s="1570">
        <f t="shared" si="13"/>
        <v>100</v>
      </c>
      <c r="V44" s="1569" t="s">
        <v>8</v>
      </c>
      <c r="W44" s="1570">
        <f t="shared" si="14"/>
        <v>100</v>
      </c>
      <c r="X44" s="1571"/>
      <c r="Y44" s="348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89"/>
      <c r="Q45" s="1573">
        <f t="shared" si="11"/>
        <v>111</v>
      </c>
      <c r="R45" s="1574" t="s">
        <v>8</v>
      </c>
      <c r="S45" s="1575">
        <f t="shared" si="12"/>
        <v>100</v>
      </c>
      <c r="T45" s="1574" t="s">
        <v>8</v>
      </c>
      <c r="U45" s="1575">
        <f t="shared" si="13"/>
        <v>100</v>
      </c>
      <c r="V45" s="1574" t="s">
        <v>8</v>
      </c>
      <c r="W45" s="1575">
        <f t="shared" si="14"/>
        <v>100</v>
      </c>
      <c r="X45" s="1568"/>
      <c r="Y45" s="348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67"/>
      <c r="Q46" s="1573">
        <f t="shared" si="11"/>
        <v>111</v>
      </c>
      <c r="R46" s="1574" t="s">
        <v>8</v>
      </c>
      <c r="S46" s="1575">
        <f t="shared" si="12"/>
        <v>100</v>
      </c>
      <c r="T46" s="1574" t="s">
        <v>8</v>
      </c>
      <c r="U46" s="1575">
        <f t="shared" si="13"/>
        <v>100</v>
      </c>
      <c r="V46" s="1574" t="s">
        <v>8</v>
      </c>
      <c r="W46" s="1575">
        <f t="shared" si="14"/>
        <v>100</v>
      </c>
      <c r="X46" s="1568"/>
      <c r="Y46" s="3567"/>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452" t="str">
        <f>A47</f>
        <v>成交单价（元/平方米）</v>
      </c>
      <c r="Q47" s="3452"/>
      <c r="R47" s="3566">
        <f>E47</f>
        <v>0</v>
      </c>
      <c r="S47" s="3566"/>
      <c r="T47" s="3566">
        <f>G47</f>
        <v>0</v>
      </c>
      <c r="U47" s="3566"/>
      <c r="V47" s="3566">
        <f>I47</f>
        <v>0</v>
      </c>
      <c r="W47" s="3566"/>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13"/>
      <c r="L48" s="2146"/>
      <c r="M48" s="2147"/>
      <c r="N48" s="2136"/>
      <c r="O48" s="2147"/>
      <c r="P48" s="3452" t="str">
        <f>A48</f>
        <v>比较价格（元/平方米）</v>
      </c>
      <c r="Q48" s="3452"/>
      <c r="R48" s="3566" t="e">
        <f>IF(F1="售价",ROUND(PRODUCT(R47,AA7:AA46),0),ROUND(PRODUCT(R47,AA7:AA46),1))</f>
        <v>#DIV/0!</v>
      </c>
      <c r="S48" s="3566"/>
      <c r="T48" s="3566" t="e">
        <f>IF(F1="售价",ROUND(PRODUCT(T47,AB7:AB46),0),ROUND(PRODUCT(T47,AB7:AB46),1))</f>
        <v>#DIV/0!</v>
      </c>
      <c r="U48" s="3566"/>
      <c r="V48" s="3566" t="e">
        <f>IF(F1="售价",ROUND(PRODUCT(V47,AC7:AC46),0),ROUND(PRODUCT(V47,AC7:AC46),1))</f>
        <v>#DIV/0!</v>
      </c>
      <c r="W48" s="3566"/>
      <c r="X48" s="1560"/>
      <c r="Y48" s="1560"/>
      <c r="Z48" s="1560"/>
      <c r="AA48" s="1560"/>
      <c r="AB48" s="1560"/>
      <c r="AC48" s="1560"/>
    </row>
    <row r="49" spans="1:29" ht="15.75" thickBot="1">
      <c r="A49" s="621" t="s">
        <v>2936</v>
      </c>
      <c r="B49" s="622"/>
      <c r="C49" s="2638" t="e">
        <f>R49</f>
        <v>#DIV/0!</v>
      </c>
      <c r="D49" s="2638"/>
      <c r="E49" s="2638"/>
      <c r="F49" s="2638"/>
      <c r="G49" s="2638"/>
      <c r="H49" s="2638"/>
      <c r="I49" s="2638"/>
      <c r="J49" s="2638"/>
      <c r="K49" s="1614"/>
      <c r="L49" s="2146"/>
      <c r="M49" s="2147"/>
      <c r="N49" s="2136"/>
      <c r="O49" s="2147"/>
      <c r="P49" s="3449" t="str">
        <f>A49</f>
        <v>估价对象XX用房的比较价格（楼面单价，元/平方米）</v>
      </c>
      <c r="Q49" s="3450"/>
      <c r="R49" s="3565" t="e">
        <f>IF(F1="售价",ROUND(AVERAGE(R48:V48),0),ROUND(AVERAGE(R48:V48),1))</f>
        <v>#DIV/0!</v>
      </c>
      <c r="S49" s="3565"/>
      <c r="T49" s="3565"/>
      <c r="U49" s="3565"/>
      <c r="V49" s="3565"/>
      <c r="W49" s="356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2018-7</v>
      </c>
      <c r="D58" s="2806">
        <f>EDATE(C58,-1)</f>
        <v>43252</v>
      </c>
      <c r="E58" s="2806">
        <f t="shared" ref="E58:O58" si="16">EDATE(D58,-1)</f>
        <v>43221</v>
      </c>
      <c r="F58" s="2806">
        <f t="shared" si="16"/>
        <v>43191</v>
      </c>
      <c r="G58" s="2806">
        <f t="shared" si="16"/>
        <v>43160</v>
      </c>
      <c r="H58" s="2806">
        <f t="shared" si="16"/>
        <v>43132</v>
      </c>
      <c r="I58" s="2806">
        <f t="shared" si="16"/>
        <v>43101</v>
      </c>
      <c r="J58" s="2806">
        <f t="shared" si="16"/>
        <v>43070</v>
      </c>
      <c r="K58" s="2806">
        <f t="shared" si="16"/>
        <v>43040</v>
      </c>
      <c r="L58" s="2806">
        <f t="shared" si="16"/>
        <v>43009</v>
      </c>
      <c r="M58" s="2806">
        <f t="shared" si="16"/>
        <v>42979</v>
      </c>
      <c r="N58" s="2806">
        <f t="shared" si="16"/>
        <v>42948</v>
      </c>
      <c r="O58" s="2806">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8"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458" t="s">
        <v>522</v>
      </c>
      <c r="D4" s="3459"/>
      <c r="E4" s="3493" t="s">
        <v>523</v>
      </c>
      <c r="F4" s="3494"/>
      <c r="G4" s="3458" t="s">
        <v>524</v>
      </c>
      <c r="H4" s="3459"/>
      <c r="I4" s="3458" t="s">
        <v>525</v>
      </c>
      <c r="J4" s="3459"/>
      <c r="K4" s="514" t="s">
        <v>526</v>
      </c>
      <c r="L4" s="2135"/>
      <c r="M4" s="2136"/>
      <c r="N4" s="2136"/>
      <c r="O4" s="2136"/>
      <c r="P4" s="3569" t="s">
        <v>527</v>
      </c>
      <c r="Q4" s="3461"/>
      <c r="R4" s="3466" t="s">
        <v>523</v>
      </c>
      <c r="S4" s="3467"/>
      <c r="T4" s="3466" t="s">
        <v>524</v>
      </c>
      <c r="U4" s="3467"/>
      <c r="V4" s="3453" t="s">
        <v>525</v>
      </c>
      <c r="W4" s="3453"/>
      <c r="X4" s="1568"/>
      <c r="Y4" s="3466" t="s">
        <v>527</v>
      </c>
      <c r="Z4" s="3467"/>
      <c r="AA4" s="3455" t="s">
        <v>523</v>
      </c>
      <c r="AB4" s="3455" t="s">
        <v>524</v>
      </c>
      <c r="AC4" s="3455" t="s">
        <v>525</v>
      </c>
    </row>
    <row r="5" spans="1:29" ht="15">
      <c r="A5" s="515"/>
      <c r="B5" s="516"/>
      <c r="C5" s="3474" t="s">
        <v>2930</v>
      </c>
      <c r="D5" s="3475"/>
      <c r="E5" s="3495" t="s">
        <v>2931</v>
      </c>
      <c r="F5" s="3496"/>
      <c r="G5" s="3474" t="s">
        <v>2932</v>
      </c>
      <c r="H5" s="3475"/>
      <c r="I5" s="3474" t="s">
        <v>2933</v>
      </c>
      <c r="J5" s="3475"/>
      <c r="K5" s="514"/>
      <c r="L5" s="2135"/>
      <c r="M5" s="2136"/>
      <c r="N5" s="2136"/>
      <c r="O5" s="2136"/>
      <c r="P5" s="3570"/>
      <c r="Q5" s="3463"/>
      <c r="R5" s="3468"/>
      <c r="S5" s="3469"/>
      <c r="T5" s="3468"/>
      <c r="U5" s="3469"/>
      <c r="V5" s="3453"/>
      <c r="W5" s="3453"/>
      <c r="X5" s="1568"/>
      <c r="Y5" s="3468"/>
      <c r="Z5" s="3469"/>
      <c r="AA5" s="3456"/>
      <c r="AB5" s="3456"/>
      <c r="AC5" s="3456"/>
    </row>
    <row r="6" spans="1:29" ht="15.75" thickBot="1">
      <c r="A6" s="517"/>
      <c r="B6" s="518"/>
      <c r="C6" s="3472" t="s">
        <v>2934</v>
      </c>
      <c r="D6" s="3473"/>
      <c r="E6" s="3491" t="s">
        <v>2934</v>
      </c>
      <c r="F6" s="3492"/>
      <c r="G6" s="3472" t="s">
        <v>2934</v>
      </c>
      <c r="H6" s="3473"/>
      <c r="I6" s="3472" t="s">
        <v>2934</v>
      </c>
      <c r="J6" s="3473"/>
      <c r="K6" s="514" t="s">
        <v>528</v>
      </c>
      <c r="L6" s="2135"/>
      <c r="M6" s="2136"/>
      <c r="N6" s="2136"/>
      <c r="O6" s="2136"/>
      <c r="P6" s="3571"/>
      <c r="Q6" s="3465"/>
      <c r="R6" s="3468"/>
      <c r="S6" s="3469"/>
      <c r="T6" s="3470"/>
      <c r="U6" s="3471"/>
      <c r="V6" s="3453"/>
      <c r="W6" s="3453"/>
      <c r="X6" s="1568"/>
      <c r="Y6" s="3470"/>
      <c r="Z6" s="3471"/>
      <c r="AA6" s="3457"/>
      <c r="AB6" s="3457"/>
      <c r="AC6" s="3457"/>
    </row>
    <row r="7" spans="1:29" s="1220" customFormat="1" ht="15.75" thickBot="1">
      <c r="A7" s="2914"/>
      <c r="B7" s="2921" t="s">
        <v>529</v>
      </c>
      <c r="C7" s="519">
        <f>'数据-取费表'!B2</f>
        <v>43290</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85" t="s">
        <v>530</v>
      </c>
      <c r="Q7" s="3485"/>
      <c r="R7" s="1569" t="s">
        <v>8</v>
      </c>
      <c r="S7" s="1570">
        <f t="shared" ref="S7:S15" si="0">F7</f>
        <v>0</v>
      </c>
      <c r="T7" s="1569" t="s">
        <v>8</v>
      </c>
      <c r="U7" s="1570">
        <f t="shared" ref="U7:U15" si="1">H7</f>
        <v>0</v>
      </c>
      <c r="V7" s="1569" t="s">
        <v>8</v>
      </c>
      <c r="W7" s="1570">
        <f t="shared" ref="W7:W15" si="2">J7</f>
        <v>0</v>
      </c>
      <c r="X7" s="1571"/>
      <c r="Y7" s="3483" t="s">
        <v>530</v>
      </c>
      <c r="Z7" s="3484"/>
      <c r="AA7" s="1572" t="e">
        <f>D7/F7</f>
        <v>#DIV/0!</v>
      </c>
      <c r="AB7" s="1572" t="e">
        <f>D7/H7</f>
        <v>#DIV/0!</v>
      </c>
      <c r="AC7" s="1572" t="e">
        <f>D7/J7</f>
        <v>#DIV/0!</v>
      </c>
    </row>
    <row r="8" spans="1:29" s="1220" customFormat="1" ht="15.75" thickBot="1">
      <c r="A8" s="2915"/>
      <c r="B8" s="2922"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85" t="s">
        <v>533</v>
      </c>
      <c r="Q8" s="3484"/>
      <c r="R8" s="1569" t="s">
        <v>8</v>
      </c>
      <c r="S8" s="1570">
        <f t="shared" si="0"/>
        <v>0</v>
      </c>
      <c r="T8" s="1569" t="s">
        <v>8</v>
      </c>
      <c r="U8" s="1570">
        <f t="shared" si="1"/>
        <v>0</v>
      </c>
      <c r="V8" s="1569" t="s">
        <v>8</v>
      </c>
      <c r="W8" s="1570">
        <f t="shared" si="2"/>
        <v>0</v>
      </c>
      <c r="X8" s="1571"/>
      <c r="Y8" s="3483" t="s">
        <v>533</v>
      </c>
      <c r="Z8" s="3484"/>
      <c r="AA8" s="1572" t="e">
        <f t="shared" ref="AA8:AA47" si="3">D8/F8</f>
        <v>#DIV/0!</v>
      </c>
      <c r="AB8" s="1572" t="e">
        <f t="shared" ref="AB8:AB47" si="4">D8/H8</f>
        <v>#DIV/0!</v>
      </c>
      <c r="AC8" s="1572" t="e">
        <f t="shared" ref="AC8:AC47" si="5">D8/J8</f>
        <v>#DIV/0!</v>
      </c>
    </row>
    <row r="9" spans="1:29" s="1220" customFormat="1" ht="15">
      <c r="A9" s="2916"/>
      <c r="B9" s="2923"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52" t="s">
        <v>535</v>
      </c>
      <c r="Q9" s="1151" t="str">
        <f t="shared" ref="Q9:Q15" si="6">B9</f>
        <v>用途</v>
      </c>
      <c r="R9" s="1569" t="s">
        <v>8</v>
      </c>
      <c r="S9" s="1570">
        <f t="shared" si="0"/>
        <v>100</v>
      </c>
      <c r="T9" s="1569" t="s">
        <v>8</v>
      </c>
      <c r="U9" s="1570">
        <f t="shared" si="1"/>
        <v>100</v>
      </c>
      <c r="V9" s="1569" t="s">
        <v>8</v>
      </c>
      <c r="W9" s="1570">
        <f t="shared" si="2"/>
        <v>100</v>
      </c>
      <c r="X9" s="1571"/>
      <c r="Y9" s="3398"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52"/>
      <c r="Q10" s="1151" t="str">
        <f t="shared" si="6"/>
        <v>土地使用年限（年）</v>
      </c>
      <c r="R10" s="1569" t="s">
        <v>8</v>
      </c>
      <c r="S10" s="1570">
        <f t="shared" si="0"/>
        <v>100</v>
      </c>
      <c r="T10" s="1569" t="s">
        <v>8</v>
      </c>
      <c r="U10" s="1570">
        <f t="shared" si="1"/>
        <v>100</v>
      </c>
      <c r="V10" s="1569" t="s">
        <v>8</v>
      </c>
      <c r="W10" s="1570">
        <f t="shared" si="2"/>
        <v>100</v>
      </c>
      <c r="X10" s="1571"/>
      <c r="Y10" s="3398"/>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52"/>
      <c r="Q11" s="1151" t="str">
        <f t="shared" si="6"/>
        <v>容积率</v>
      </c>
      <c r="R11" s="1569" t="s">
        <v>8</v>
      </c>
      <c r="S11" s="1570" t="e">
        <f t="shared" si="0"/>
        <v>#N/A</v>
      </c>
      <c r="T11" s="1569" t="s">
        <v>8</v>
      </c>
      <c r="U11" s="1570" t="e">
        <f t="shared" si="1"/>
        <v>#N/A</v>
      </c>
      <c r="V11" s="1569" t="s">
        <v>8</v>
      </c>
      <c r="W11" s="1570" t="e">
        <f t="shared" si="2"/>
        <v>#N/A</v>
      </c>
      <c r="X11" s="1571"/>
      <c r="Y11" s="3398"/>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52"/>
      <c r="Q12" s="1151">
        <f t="shared" si="6"/>
        <v>111</v>
      </c>
      <c r="R12" s="1569" t="s">
        <v>8</v>
      </c>
      <c r="S12" s="1570">
        <f t="shared" si="0"/>
        <v>100</v>
      </c>
      <c r="T12" s="1569" t="s">
        <v>8</v>
      </c>
      <c r="U12" s="1570">
        <f t="shared" si="1"/>
        <v>100</v>
      </c>
      <c r="V12" s="1569" t="s">
        <v>8</v>
      </c>
      <c r="W12" s="1570">
        <f t="shared" si="2"/>
        <v>100</v>
      </c>
      <c r="X12" s="1571"/>
      <c r="Y12" s="3398"/>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52"/>
      <c r="Q13" s="1151">
        <f t="shared" si="6"/>
        <v>111</v>
      </c>
      <c r="R13" s="1569" t="s">
        <v>8</v>
      </c>
      <c r="S13" s="1570">
        <f t="shared" si="0"/>
        <v>100</v>
      </c>
      <c r="T13" s="1569" t="s">
        <v>8</v>
      </c>
      <c r="U13" s="1570">
        <f t="shared" si="1"/>
        <v>100</v>
      </c>
      <c r="V13" s="1569" t="s">
        <v>8</v>
      </c>
      <c r="W13" s="1570">
        <f t="shared" si="2"/>
        <v>100</v>
      </c>
      <c r="X13" s="1571"/>
      <c r="Y13" s="3398"/>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52"/>
      <c r="Q14" s="1151">
        <f t="shared" si="6"/>
        <v>111</v>
      </c>
      <c r="R14" s="1569" t="s">
        <v>8</v>
      </c>
      <c r="S14" s="1570">
        <f t="shared" si="0"/>
        <v>100</v>
      </c>
      <c r="T14" s="1569" t="s">
        <v>8</v>
      </c>
      <c r="U14" s="1570">
        <f t="shared" si="1"/>
        <v>100</v>
      </c>
      <c r="V14" s="1569" t="s">
        <v>8</v>
      </c>
      <c r="W14" s="1570">
        <f t="shared" si="2"/>
        <v>100</v>
      </c>
      <c r="X14" s="1571"/>
      <c r="Y14" s="3398"/>
      <c r="Z14" s="1150">
        <f t="shared" si="7"/>
        <v>111</v>
      </c>
      <c r="AA14" s="1572">
        <f t="shared" si="3"/>
        <v>1</v>
      </c>
      <c r="AB14" s="1572">
        <f t="shared" si="4"/>
        <v>1</v>
      </c>
      <c r="AC14" s="1572">
        <f t="shared" si="5"/>
        <v>1</v>
      </c>
    </row>
    <row r="15" spans="1:29" ht="71.25">
      <c r="A15" s="2912"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86" t="s">
        <v>540</v>
      </c>
      <c r="Q15" s="1573" t="str">
        <f t="shared" si="6"/>
        <v>办公集聚程度</v>
      </c>
      <c r="R15" s="1574" t="s">
        <v>8</v>
      </c>
      <c r="S15" s="1575">
        <f t="shared" si="0"/>
        <v>100</v>
      </c>
      <c r="T15" s="1574" t="s">
        <v>8</v>
      </c>
      <c r="U15" s="1575">
        <f t="shared" si="1"/>
        <v>100</v>
      </c>
      <c r="V15" s="1574" t="s">
        <v>8</v>
      </c>
      <c r="W15" s="1575">
        <f t="shared" si="2"/>
        <v>100</v>
      </c>
      <c r="X15" s="1568"/>
      <c r="Y15" s="3486"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87"/>
      <c r="Q16" s="1573"/>
      <c r="R16" s="1574"/>
      <c r="S16" s="1575"/>
      <c r="T16" s="1574"/>
      <c r="U16" s="1575"/>
      <c r="V16" s="1574"/>
      <c r="W16" s="1575"/>
      <c r="X16" s="1568"/>
      <c r="Y16" s="3487"/>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87"/>
      <c r="Q17" s="1573" t="str">
        <f>B17</f>
        <v>交通便捷度</v>
      </c>
      <c r="R17" s="1574" t="s">
        <v>8</v>
      </c>
      <c r="S17" s="1575">
        <f>F17</f>
        <v>100</v>
      </c>
      <c r="T17" s="1574" t="s">
        <v>8</v>
      </c>
      <c r="U17" s="1575">
        <f>H17</f>
        <v>100</v>
      </c>
      <c r="V17" s="1574" t="s">
        <v>8</v>
      </c>
      <c r="W17" s="1575">
        <f>J17</f>
        <v>100</v>
      </c>
      <c r="X17" s="1568"/>
      <c r="Y17" s="348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87"/>
      <c r="Q18" s="1573"/>
      <c r="R18" s="1574"/>
      <c r="S18" s="1575"/>
      <c r="T18" s="1574"/>
      <c r="U18" s="1575"/>
      <c r="V18" s="1574"/>
      <c r="W18" s="1575"/>
      <c r="X18" s="1568"/>
      <c r="Y18" s="3487"/>
      <c r="Z18" s="1576"/>
      <c r="AA18" s="1577">
        <v>1</v>
      </c>
      <c r="AB18" s="1577">
        <v>1</v>
      </c>
      <c r="AC18" s="1577">
        <v>1</v>
      </c>
    </row>
    <row r="19" spans="1:29" ht="42.75">
      <c r="A19" s="532"/>
      <c r="B19" s="2605"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87"/>
      <c r="Q19" s="1573" t="str">
        <f>B19</f>
        <v>公共配套设施</v>
      </c>
      <c r="R19" s="1574" t="s">
        <v>8</v>
      </c>
      <c r="S19" s="1575">
        <f>F19</f>
        <v>100</v>
      </c>
      <c r="T19" s="1574" t="s">
        <v>8</v>
      </c>
      <c r="U19" s="1575">
        <f>H19</f>
        <v>100</v>
      </c>
      <c r="V19" s="1574" t="s">
        <v>8</v>
      </c>
      <c r="W19" s="1575">
        <f>J19</f>
        <v>100</v>
      </c>
      <c r="X19" s="1568"/>
      <c r="Y19" s="348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87"/>
      <c r="Q20" s="1573"/>
      <c r="R20" s="1574"/>
      <c r="S20" s="1575"/>
      <c r="T20" s="1574"/>
      <c r="U20" s="1575"/>
      <c r="V20" s="1574"/>
      <c r="W20" s="1575"/>
      <c r="X20" s="1568"/>
      <c r="Y20" s="3487"/>
      <c r="Z20" s="1576"/>
      <c r="AA20" s="1577">
        <v>1</v>
      </c>
      <c r="AB20" s="1577">
        <v>1</v>
      </c>
      <c r="AC20" s="1577">
        <v>1</v>
      </c>
    </row>
    <row r="21" spans="1:29" ht="28.5">
      <c r="A21" s="532"/>
      <c r="B21" s="2593"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87"/>
      <c r="Q21" s="2581" t="str">
        <f>B21</f>
        <v>基础设施水平</v>
      </c>
      <c r="R21" s="1574" t="s">
        <v>8</v>
      </c>
      <c r="S21" s="1575">
        <f>F21</f>
        <v>100</v>
      </c>
      <c r="T21" s="1574" t="s">
        <v>8</v>
      </c>
      <c r="U21" s="1575">
        <f>H21</f>
        <v>100</v>
      </c>
      <c r="V21" s="1574" t="s">
        <v>8</v>
      </c>
      <c r="W21" s="1575">
        <f>J21</f>
        <v>100</v>
      </c>
      <c r="X21" s="2583"/>
      <c r="Y21" s="3487"/>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87"/>
      <c r="Q22" s="2581"/>
      <c r="R22" s="1574"/>
      <c r="S22" s="1575"/>
      <c r="T22" s="1574"/>
      <c r="U22" s="1575"/>
      <c r="V22" s="1574"/>
      <c r="W22" s="1575"/>
      <c r="X22" s="2583"/>
      <c r="Y22" s="3487"/>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87"/>
      <c r="Q23" s="1573" t="str">
        <f>B23</f>
        <v>环境质量</v>
      </c>
      <c r="R23" s="1574" t="s">
        <v>8</v>
      </c>
      <c r="S23" s="1575">
        <f>F23</f>
        <v>100</v>
      </c>
      <c r="T23" s="1574" t="s">
        <v>8</v>
      </c>
      <c r="U23" s="1575">
        <f>H23</f>
        <v>100</v>
      </c>
      <c r="V23" s="1574" t="s">
        <v>8</v>
      </c>
      <c r="W23" s="1575">
        <f>J23</f>
        <v>100</v>
      </c>
      <c r="X23" s="1568"/>
      <c r="Y23" s="348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87"/>
      <c r="Q24" s="1573"/>
      <c r="R24" s="1574"/>
      <c r="S24" s="1575"/>
      <c r="T24" s="1574"/>
      <c r="U24" s="1575"/>
      <c r="V24" s="1574"/>
      <c r="W24" s="1575"/>
      <c r="X24" s="1568"/>
      <c r="Y24" s="3487"/>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87"/>
      <c r="Q25" s="1573" t="str">
        <f>B25</f>
        <v>毗邻道路的类型与等级</v>
      </c>
      <c r="R25" s="1574" t="s">
        <v>8</v>
      </c>
      <c r="S25" s="1575">
        <f>F25</f>
        <v>100</v>
      </c>
      <c r="T25" s="1574" t="s">
        <v>8</v>
      </c>
      <c r="U25" s="1575">
        <f>H25</f>
        <v>100</v>
      </c>
      <c r="V25" s="1574" t="s">
        <v>8</v>
      </c>
      <c r="W25" s="1575">
        <f>J25</f>
        <v>100</v>
      </c>
      <c r="X25" s="1568"/>
      <c r="Y25" s="348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87"/>
      <c r="Q26" s="1573"/>
      <c r="R26" s="1574"/>
      <c r="S26" s="1575"/>
      <c r="T26" s="1574"/>
      <c r="U26" s="1575"/>
      <c r="V26" s="1574"/>
      <c r="W26" s="1575"/>
      <c r="X26" s="1568"/>
      <c r="Y26" s="3487"/>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87"/>
      <c r="Q27" s="1573" t="str">
        <f t="shared" ref="Q27:Q47" si="11">B27</f>
        <v>楼层</v>
      </c>
      <c r="R27" s="1574" t="s">
        <v>8</v>
      </c>
      <c r="S27" s="1575">
        <f>F27</f>
        <v>100</v>
      </c>
      <c r="T27" s="1574" t="s">
        <v>8</v>
      </c>
      <c r="U27" s="1575">
        <f>H27</f>
        <v>100</v>
      </c>
      <c r="V27" s="1574" t="s">
        <v>8</v>
      </c>
      <c r="W27" s="1575">
        <f>J27</f>
        <v>100</v>
      </c>
      <c r="X27" s="1568"/>
      <c r="Y27" s="3487"/>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87"/>
      <c r="Q28" s="1151" t="str">
        <f t="shared" si="11"/>
        <v>朝向</v>
      </c>
      <c r="R28" s="1569" t="s">
        <v>8</v>
      </c>
      <c r="S28" s="1570">
        <f>F28</f>
        <v>100</v>
      </c>
      <c r="T28" s="1569" t="s">
        <v>8</v>
      </c>
      <c r="U28" s="1570">
        <f>H28</f>
        <v>100</v>
      </c>
      <c r="V28" s="1569" t="s">
        <v>8</v>
      </c>
      <c r="W28" s="1570">
        <f>J28</f>
        <v>100</v>
      </c>
      <c r="X28" s="1571"/>
      <c r="Y28" s="348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87"/>
      <c r="Q29" s="1573">
        <f t="shared" si="11"/>
        <v>111</v>
      </c>
      <c r="R29" s="1574" t="s">
        <v>8</v>
      </c>
      <c r="S29" s="1575">
        <f t="shared" ref="S29:S47" si="12">F29</f>
        <v>100</v>
      </c>
      <c r="T29" s="1574" t="s">
        <v>8</v>
      </c>
      <c r="U29" s="1575">
        <f t="shared" ref="U29:U47" si="13">H29</f>
        <v>100</v>
      </c>
      <c r="V29" s="1574" t="s">
        <v>8</v>
      </c>
      <c r="W29" s="1575">
        <f t="shared" ref="W29:W47" si="14">J29</f>
        <v>100</v>
      </c>
      <c r="X29" s="1568"/>
      <c r="Y29" s="348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87"/>
      <c r="Q30" s="1573">
        <f t="shared" si="11"/>
        <v>111</v>
      </c>
      <c r="R30" s="1574" t="s">
        <v>8</v>
      </c>
      <c r="S30" s="1575">
        <f t="shared" si="12"/>
        <v>100</v>
      </c>
      <c r="T30" s="1574" t="s">
        <v>8</v>
      </c>
      <c r="U30" s="1575">
        <f t="shared" si="13"/>
        <v>100</v>
      </c>
      <c r="V30" s="1574" t="s">
        <v>8</v>
      </c>
      <c r="W30" s="1575">
        <f t="shared" si="14"/>
        <v>100</v>
      </c>
      <c r="X30" s="1568"/>
      <c r="Y30" s="348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87"/>
      <c r="Q31" s="1573">
        <f t="shared" si="11"/>
        <v>111</v>
      </c>
      <c r="R31" s="1574" t="s">
        <v>8</v>
      </c>
      <c r="S31" s="1575">
        <f t="shared" si="12"/>
        <v>100</v>
      </c>
      <c r="T31" s="1574" t="s">
        <v>8</v>
      </c>
      <c r="U31" s="1575">
        <f t="shared" si="13"/>
        <v>100</v>
      </c>
      <c r="V31" s="1574" t="s">
        <v>8</v>
      </c>
      <c r="W31" s="1575">
        <f t="shared" si="14"/>
        <v>100</v>
      </c>
      <c r="X31" s="1568"/>
      <c r="Y31" s="348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87"/>
      <c r="Q32" s="1573">
        <f t="shared" si="11"/>
        <v>111</v>
      </c>
      <c r="R32" s="1574" t="s">
        <v>8</v>
      </c>
      <c r="S32" s="1575">
        <f t="shared" si="12"/>
        <v>100</v>
      </c>
      <c r="T32" s="1574" t="s">
        <v>8</v>
      </c>
      <c r="U32" s="1575">
        <f t="shared" si="13"/>
        <v>100</v>
      </c>
      <c r="V32" s="1574" t="s">
        <v>8</v>
      </c>
      <c r="W32" s="1575">
        <f t="shared" si="14"/>
        <v>100</v>
      </c>
      <c r="X32" s="1568"/>
      <c r="Y32" s="3487"/>
      <c r="Z32" s="1576">
        <f t="shared" si="15"/>
        <v>111</v>
      </c>
      <c r="AA32" s="1577">
        <f t="shared" si="3"/>
        <v>1</v>
      </c>
      <c r="AB32" s="1577">
        <f t="shared" si="4"/>
        <v>1</v>
      </c>
      <c r="AC32" s="1577">
        <f t="shared" si="5"/>
        <v>1</v>
      </c>
    </row>
    <row r="33" spans="1:29" ht="15">
      <c r="A33" s="2909"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88" t="s">
        <v>550</v>
      </c>
      <c r="Q33" s="1573" t="str">
        <f t="shared" si="11"/>
        <v>建筑类型</v>
      </c>
      <c r="R33" s="1574" t="s">
        <v>8</v>
      </c>
      <c r="S33" s="1575">
        <f t="shared" si="12"/>
        <v>100</v>
      </c>
      <c r="T33" s="1574" t="s">
        <v>8</v>
      </c>
      <c r="U33" s="1575">
        <f t="shared" si="13"/>
        <v>100</v>
      </c>
      <c r="V33" s="1574" t="s">
        <v>8</v>
      </c>
      <c r="W33" s="1575">
        <f t="shared" si="14"/>
        <v>100</v>
      </c>
      <c r="X33" s="1568"/>
      <c r="Y33" s="3489"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89"/>
      <c r="Q34" s="1606" t="str">
        <f t="shared" si="11"/>
        <v>项目建筑规模</v>
      </c>
      <c r="R34" s="1578" t="s">
        <v>8</v>
      </c>
      <c r="S34" s="1579" t="e">
        <f t="shared" si="12"/>
        <v>#N/A</v>
      </c>
      <c r="T34" s="1578" t="s">
        <v>8</v>
      </c>
      <c r="U34" s="1579" t="e">
        <f t="shared" si="13"/>
        <v>#N/A</v>
      </c>
      <c r="V34" s="1578" t="s">
        <v>8</v>
      </c>
      <c r="W34" s="1579" t="e">
        <f t="shared" si="14"/>
        <v>#N/A</v>
      </c>
      <c r="X34" s="1580"/>
      <c r="Y34" s="3489"/>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89"/>
      <c r="Q35" s="1573" t="str">
        <f t="shared" si="11"/>
        <v>建筑结构</v>
      </c>
      <c r="R35" s="1574" t="s">
        <v>8</v>
      </c>
      <c r="S35" s="1575">
        <f t="shared" si="12"/>
        <v>100</v>
      </c>
      <c r="T35" s="1574" t="s">
        <v>8</v>
      </c>
      <c r="U35" s="1575">
        <f t="shared" si="13"/>
        <v>100</v>
      </c>
      <c r="V35" s="1574" t="s">
        <v>8</v>
      </c>
      <c r="W35" s="1575">
        <f t="shared" si="14"/>
        <v>100</v>
      </c>
      <c r="X35" s="1568"/>
      <c r="Y35" s="3489"/>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89"/>
      <c r="Q36" s="1573" t="str">
        <f t="shared" si="11"/>
        <v>公共部分装修</v>
      </c>
      <c r="R36" s="1574" t="s">
        <v>8</v>
      </c>
      <c r="S36" s="1575">
        <f t="shared" si="12"/>
        <v>100</v>
      </c>
      <c r="T36" s="1574" t="s">
        <v>8</v>
      </c>
      <c r="U36" s="1575">
        <f t="shared" si="13"/>
        <v>100</v>
      </c>
      <c r="V36" s="1574" t="s">
        <v>8</v>
      </c>
      <c r="W36" s="1575">
        <f t="shared" si="14"/>
        <v>100</v>
      </c>
      <c r="X36" s="1568"/>
      <c r="Y36" s="3489"/>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89"/>
      <c r="Q37" s="1573" t="str">
        <f t="shared" si="11"/>
        <v>成新度</v>
      </c>
      <c r="R37" s="1574" t="s">
        <v>8</v>
      </c>
      <c r="S37" s="1575" t="e">
        <f t="shared" si="12"/>
        <v>#N/A</v>
      </c>
      <c r="T37" s="1574" t="s">
        <v>8</v>
      </c>
      <c r="U37" s="1575" t="e">
        <f t="shared" si="13"/>
        <v>#N/A</v>
      </c>
      <c r="V37" s="1574" t="s">
        <v>8</v>
      </c>
      <c r="W37" s="1575" t="e">
        <f t="shared" si="14"/>
        <v>#N/A</v>
      </c>
      <c r="X37" s="1568"/>
      <c r="Y37" s="3489"/>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89"/>
      <c r="Q38" s="1151" t="str">
        <f t="shared" si="11"/>
        <v>写字楼等级</v>
      </c>
      <c r="R38" s="1569" t="s">
        <v>8</v>
      </c>
      <c r="S38" s="1570">
        <f t="shared" si="12"/>
        <v>100</v>
      </c>
      <c r="T38" s="1569" t="s">
        <v>8</v>
      </c>
      <c r="U38" s="1570">
        <f t="shared" si="13"/>
        <v>100</v>
      </c>
      <c r="V38" s="1569" t="s">
        <v>8</v>
      </c>
      <c r="W38" s="1570">
        <f t="shared" si="14"/>
        <v>100</v>
      </c>
      <c r="X38" s="1571"/>
      <c r="Y38" s="3489"/>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89" t="s">
        <v>550</v>
      </c>
      <c r="Q39" s="1573" t="str">
        <f t="shared" si="11"/>
        <v>物业管理</v>
      </c>
      <c r="R39" s="1574" t="s">
        <v>8</v>
      </c>
      <c r="S39" s="1575">
        <f t="shared" si="12"/>
        <v>100</v>
      </c>
      <c r="T39" s="1574" t="s">
        <v>8</v>
      </c>
      <c r="U39" s="1575">
        <f t="shared" si="13"/>
        <v>100</v>
      </c>
      <c r="V39" s="1574" t="s">
        <v>8</v>
      </c>
      <c r="W39" s="1575">
        <f t="shared" si="14"/>
        <v>100</v>
      </c>
      <c r="X39" s="1568"/>
      <c r="Y39" s="3489"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89"/>
      <c r="Q40" s="1573" t="str">
        <f t="shared" si="11"/>
        <v>市政基础设施</v>
      </c>
      <c r="R40" s="1574" t="s">
        <v>8</v>
      </c>
      <c r="S40" s="1575">
        <f t="shared" si="12"/>
        <v>100</v>
      </c>
      <c r="T40" s="1574" t="s">
        <v>8</v>
      </c>
      <c r="U40" s="1575">
        <f t="shared" si="13"/>
        <v>100</v>
      </c>
      <c r="V40" s="1574" t="s">
        <v>8</v>
      </c>
      <c r="W40" s="1575">
        <f t="shared" si="14"/>
        <v>100</v>
      </c>
      <c r="X40" s="1568"/>
      <c r="Y40" s="3489"/>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89"/>
      <c r="Q41" s="1573" t="str">
        <f t="shared" si="11"/>
        <v>层高</v>
      </c>
      <c r="R41" s="1574" t="s">
        <v>8</v>
      </c>
      <c r="S41" s="1575">
        <f t="shared" si="12"/>
        <v>100</v>
      </c>
      <c r="T41" s="1574" t="s">
        <v>8</v>
      </c>
      <c r="U41" s="1575">
        <f t="shared" si="13"/>
        <v>100</v>
      </c>
      <c r="V41" s="1574" t="s">
        <v>8</v>
      </c>
      <c r="W41" s="1575">
        <f t="shared" si="14"/>
        <v>100</v>
      </c>
      <c r="X41" s="1568"/>
      <c r="Y41" s="3489"/>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89"/>
      <c r="Q42" s="1606" t="str">
        <f t="shared" si="11"/>
        <v>单套建筑面积</v>
      </c>
      <c r="R42" s="1578" t="s">
        <v>8</v>
      </c>
      <c r="S42" s="1579">
        <f t="shared" si="12"/>
        <v>100</v>
      </c>
      <c r="T42" s="1578" t="s">
        <v>8</v>
      </c>
      <c r="U42" s="1579">
        <f t="shared" si="13"/>
        <v>100</v>
      </c>
      <c r="V42" s="1578" t="s">
        <v>8</v>
      </c>
      <c r="W42" s="1579">
        <f t="shared" si="14"/>
        <v>100</v>
      </c>
      <c r="X42" s="1580"/>
      <c r="Y42" s="3489"/>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89"/>
      <c r="Q43" s="1573" t="str">
        <f t="shared" si="11"/>
        <v>内部装修</v>
      </c>
      <c r="R43" s="1574" t="s">
        <v>8</v>
      </c>
      <c r="S43" s="1575">
        <f t="shared" si="12"/>
        <v>100</v>
      </c>
      <c r="T43" s="1574" t="s">
        <v>8</v>
      </c>
      <c r="U43" s="1575">
        <f t="shared" si="13"/>
        <v>100</v>
      </c>
      <c r="V43" s="1574" t="s">
        <v>8</v>
      </c>
      <c r="W43" s="1575">
        <f t="shared" si="14"/>
        <v>100</v>
      </c>
      <c r="X43" s="1568"/>
      <c r="Y43" s="3489"/>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89"/>
      <c r="Q44" s="1573" t="str">
        <f t="shared" si="11"/>
        <v>内部装修维护情况</v>
      </c>
      <c r="R44" s="1574" t="s">
        <v>8</v>
      </c>
      <c r="S44" s="1575">
        <f t="shared" si="12"/>
        <v>100</v>
      </c>
      <c r="T44" s="1574" t="s">
        <v>8</v>
      </c>
      <c r="U44" s="1575">
        <f t="shared" si="13"/>
        <v>100</v>
      </c>
      <c r="V44" s="1574" t="s">
        <v>8</v>
      </c>
      <c r="W44" s="1575">
        <f t="shared" si="14"/>
        <v>100</v>
      </c>
      <c r="X44" s="1568"/>
      <c r="Y44" s="348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89"/>
      <c r="Q45" s="1151">
        <f t="shared" si="11"/>
        <v>111</v>
      </c>
      <c r="R45" s="1569" t="s">
        <v>8</v>
      </c>
      <c r="S45" s="1570">
        <f t="shared" si="12"/>
        <v>100</v>
      </c>
      <c r="T45" s="1569" t="s">
        <v>8</v>
      </c>
      <c r="U45" s="1570">
        <f t="shared" si="13"/>
        <v>100</v>
      </c>
      <c r="V45" s="1569" t="s">
        <v>8</v>
      </c>
      <c r="W45" s="1570">
        <f t="shared" si="14"/>
        <v>100</v>
      </c>
      <c r="X45" s="1571"/>
      <c r="Y45" s="348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89"/>
      <c r="Q46" s="1573">
        <f t="shared" si="11"/>
        <v>111</v>
      </c>
      <c r="R46" s="1574" t="s">
        <v>8</v>
      </c>
      <c r="S46" s="1575">
        <f t="shared" si="12"/>
        <v>100</v>
      </c>
      <c r="T46" s="1574" t="s">
        <v>8</v>
      </c>
      <c r="U46" s="1575">
        <f t="shared" si="13"/>
        <v>100</v>
      </c>
      <c r="V46" s="1574" t="s">
        <v>8</v>
      </c>
      <c r="W46" s="1575">
        <f t="shared" si="14"/>
        <v>100</v>
      </c>
      <c r="X46" s="1568"/>
      <c r="Y46" s="348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67"/>
      <c r="Q47" s="1573">
        <f t="shared" si="11"/>
        <v>111</v>
      </c>
      <c r="R47" s="1574" t="s">
        <v>8</v>
      </c>
      <c r="S47" s="1575">
        <f t="shared" si="12"/>
        <v>100</v>
      </c>
      <c r="T47" s="1574" t="s">
        <v>8</v>
      </c>
      <c r="U47" s="1575">
        <f t="shared" si="13"/>
        <v>100</v>
      </c>
      <c r="V47" s="1574" t="s">
        <v>8</v>
      </c>
      <c r="W47" s="1575">
        <f t="shared" si="14"/>
        <v>100</v>
      </c>
      <c r="X47" s="1568"/>
      <c r="Y47" s="3567"/>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450" t="str">
        <f>A48</f>
        <v>成交单价（元/平方米）</v>
      </c>
      <c r="Q48" s="3452"/>
      <c r="R48" s="3566">
        <f>E48</f>
        <v>0</v>
      </c>
      <c r="S48" s="3566"/>
      <c r="T48" s="3566">
        <f>G48</f>
        <v>0</v>
      </c>
      <c r="U48" s="3566"/>
      <c r="V48" s="3566">
        <f>I48</f>
        <v>0</v>
      </c>
      <c r="W48" s="3566"/>
      <c r="X48" s="1560"/>
      <c r="Y48" s="1582"/>
      <c r="Z48" s="1560"/>
      <c r="AA48" s="1560"/>
      <c r="AB48" s="1560"/>
      <c r="AC48" s="1560"/>
    </row>
    <row r="49" spans="1:29" ht="15.75" thickBot="1">
      <c r="A49" s="615" t="s">
        <v>2763</v>
      </c>
      <c r="B49" s="888"/>
      <c r="C49" s="2635" t="e">
        <f>R50</f>
        <v>#DIV/0!</v>
      </c>
      <c r="D49" s="2636"/>
      <c r="E49" s="2637" t="e">
        <f>R49</f>
        <v>#DIV/0!</v>
      </c>
      <c r="F49" s="2637"/>
      <c r="G49" s="2635" t="e">
        <f>T49</f>
        <v>#DIV/0!</v>
      </c>
      <c r="H49" s="2636"/>
      <c r="I49" s="2637" t="e">
        <f>V49</f>
        <v>#DIV/0!</v>
      </c>
      <c r="J49" s="2636"/>
      <c r="K49" s="1613"/>
      <c r="L49" s="2146"/>
      <c r="M49" s="2136"/>
      <c r="N49" s="2136"/>
      <c r="O49" s="2136"/>
      <c r="P49" s="3450" t="str">
        <f>A49</f>
        <v>比较价格（元/平方米）</v>
      </c>
      <c r="Q49" s="3452"/>
      <c r="R49" s="3566" t="e">
        <f>IF(F1="售价",ROUND(PRODUCT(R48,AA7:AA47),0),ROUND(PRODUCT(R48,AA7:AA47),1))</f>
        <v>#DIV/0!</v>
      </c>
      <c r="S49" s="3566"/>
      <c r="T49" s="3566" t="e">
        <f>IF(F1="售价",ROUND(PRODUCT(T48,AB7:AB47),0),ROUND(PRODUCT(T48,AB7:AB47),1))</f>
        <v>#DIV/0!</v>
      </c>
      <c r="U49" s="3566"/>
      <c r="V49" s="3566" t="e">
        <f>IF(F1="售价",ROUND(PRODUCT(V48,AC7:AC47),0),ROUND(PRODUCT(V48,AC7:AC47),1))</f>
        <v>#DIV/0!</v>
      </c>
      <c r="W49" s="3566"/>
      <c r="X49" s="1560"/>
      <c r="Y49" s="1560"/>
      <c r="Z49" s="1560"/>
      <c r="AA49" s="1560"/>
      <c r="AB49" s="1560"/>
      <c r="AC49" s="1560"/>
    </row>
    <row r="50" spans="1:29" ht="15.75" thickBot="1">
      <c r="A50" s="621" t="s">
        <v>2936</v>
      </c>
      <c r="B50" s="622"/>
      <c r="C50" s="2638" t="e">
        <f>R50</f>
        <v>#DIV/0!</v>
      </c>
      <c r="D50" s="2638"/>
      <c r="E50" s="2638"/>
      <c r="F50" s="2638"/>
      <c r="G50" s="2638"/>
      <c r="H50" s="2638"/>
      <c r="I50" s="2638"/>
      <c r="J50" s="2638"/>
      <c r="K50" s="1614"/>
      <c r="L50" s="2146"/>
      <c r="M50" s="2136"/>
      <c r="N50" s="2136"/>
      <c r="O50" s="2136"/>
      <c r="P50" s="3568" t="str">
        <f>A50</f>
        <v>估价对象XX用房的比较价格（楼面单价，元/平方米）</v>
      </c>
      <c r="Q50" s="3450"/>
      <c r="R50" s="3565" t="e">
        <f>IF(F1="售价",ROUND(AVERAGE(R49:V49),0),ROUND(AVERAGE(R49:V49),1))</f>
        <v>#DIV/0!</v>
      </c>
      <c r="S50" s="3565"/>
      <c r="T50" s="3565"/>
      <c r="U50" s="3565"/>
      <c r="V50" s="3565"/>
      <c r="W50" s="3565"/>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2018-7</v>
      </c>
      <c r="D59" s="2806">
        <f>EDATE(C59,-1)</f>
        <v>43252</v>
      </c>
      <c r="E59" s="2806">
        <f t="shared" ref="E59:O59" si="16">EDATE(D59,-1)</f>
        <v>43221</v>
      </c>
      <c r="F59" s="2806">
        <f t="shared" si="16"/>
        <v>43191</v>
      </c>
      <c r="G59" s="2806">
        <f t="shared" si="16"/>
        <v>43160</v>
      </c>
      <c r="H59" s="2806">
        <f t="shared" si="16"/>
        <v>43132</v>
      </c>
      <c r="I59" s="2806">
        <f t="shared" si="16"/>
        <v>43101</v>
      </c>
      <c r="J59" s="2806">
        <f t="shared" si="16"/>
        <v>43070</v>
      </c>
      <c r="K59" s="2806">
        <f t="shared" si="16"/>
        <v>43040</v>
      </c>
      <c r="L59" s="2806">
        <f t="shared" si="16"/>
        <v>43009</v>
      </c>
      <c r="M59" s="2806">
        <f t="shared" si="16"/>
        <v>42979</v>
      </c>
      <c r="N59" s="2806">
        <f t="shared" si="16"/>
        <v>42948</v>
      </c>
      <c r="O59" s="2806">
        <f t="shared" si="16"/>
        <v>42917</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2561</v>
      </c>
      <c r="C83" s="2600" t="s">
        <v>2562</v>
      </c>
      <c r="D83" s="2600" t="s">
        <v>2563</v>
      </c>
      <c r="E83" s="2600" t="s">
        <v>2564</v>
      </c>
      <c r="F83" s="2600" t="s">
        <v>2565</v>
      </c>
      <c r="G83" s="2600" t="s">
        <v>2566</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9"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458" t="s">
        <v>522</v>
      </c>
      <c r="D4" s="3459"/>
      <c r="E4" s="3493" t="s">
        <v>523</v>
      </c>
      <c r="F4" s="3494"/>
      <c r="G4" s="3458" t="s">
        <v>524</v>
      </c>
      <c r="H4" s="3459"/>
      <c r="I4" s="3458" t="s">
        <v>525</v>
      </c>
      <c r="J4" s="3459"/>
      <c r="K4" s="514" t="s">
        <v>526</v>
      </c>
      <c r="L4" s="2135"/>
      <c r="M4" s="2136"/>
      <c r="N4" s="2136"/>
      <c r="O4" s="2136"/>
      <c r="P4" s="3460" t="s">
        <v>527</v>
      </c>
      <c r="Q4" s="3461"/>
      <c r="R4" s="3466" t="s">
        <v>523</v>
      </c>
      <c r="S4" s="3467"/>
      <c r="T4" s="3466" t="s">
        <v>524</v>
      </c>
      <c r="U4" s="3467"/>
      <c r="V4" s="3453" t="s">
        <v>525</v>
      </c>
      <c r="W4" s="3453"/>
      <c r="X4" s="1568"/>
      <c r="Y4" s="3466" t="s">
        <v>527</v>
      </c>
      <c r="Z4" s="3467"/>
      <c r="AA4" s="3455" t="s">
        <v>523</v>
      </c>
      <c r="AB4" s="3456" t="s">
        <v>524</v>
      </c>
      <c r="AC4" s="3455" t="s">
        <v>525</v>
      </c>
    </row>
    <row r="5" spans="1:29" ht="15">
      <c r="A5" s="515"/>
      <c r="B5" s="516"/>
      <c r="C5" s="3474" t="s">
        <v>2930</v>
      </c>
      <c r="D5" s="3475"/>
      <c r="E5" s="3495" t="s">
        <v>2931</v>
      </c>
      <c r="F5" s="3496"/>
      <c r="G5" s="3474" t="s">
        <v>2932</v>
      </c>
      <c r="H5" s="3475"/>
      <c r="I5" s="3474" t="s">
        <v>2933</v>
      </c>
      <c r="J5" s="3475"/>
      <c r="K5" s="514"/>
      <c r="L5" s="2135"/>
      <c r="M5" s="2136"/>
      <c r="N5" s="2136"/>
      <c r="O5" s="2136"/>
      <c r="P5" s="3462"/>
      <c r="Q5" s="3463"/>
      <c r="R5" s="3468"/>
      <c r="S5" s="3469"/>
      <c r="T5" s="3468"/>
      <c r="U5" s="3469"/>
      <c r="V5" s="3453"/>
      <c r="W5" s="3453"/>
      <c r="X5" s="1568"/>
      <c r="Y5" s="3468"/>
      <c r="Z5" s="3469"/>
      <c r="AA5" s="3456"/>
      <c r="AB5" s="3456"/>
      <c r="AC5" s="3456"/>
    </row>
    <row r="6" spans="1:29" ht="15.75" thickBot="1">
      <c r="A6" s="517"/>
      <c r="B6" s="518"/>
      <c r="C6" s="3472" t="s">
        <v>2934</v>
      </c>
      <c r="D6" s="3473"/>
      <c r="E6" s="3491" t="s">
        <v>2934</v>
      </c>
      <c r="F6" s="3492"/>
      <c r="G6" s="3472" t="s">
        <v>2934</v>
      </c>
      <c r="H6" s="3473"/>
      <c r="I6" s="3472" t="s">
        <v>2934</v>
      </c>
      <c r="J6" s="3473"/>
      <c r="K6" s="514" t="s">
        <v>528</v>
      </c>
      <c r="L6" s="2135"/>
      <c r="M6" s="2136"/>
      <c r="N6" s="2136"/>
      <c r="O6" s="2136"/>
      <c r="P6" s="3464"/>
      <c r="Q6" s="3465"/>
      <c r="R6" s="3468"/>
      <c r="S6" s="3469"/>
      <c r="T6" s="3470"/>
      <c r="U6" s="3471"/>
      <c r="V6" s="3453"/>
      <c r="W6" s="3453"/>
      <c r="X6" s="1568"/>
      <c r="Y6" s="3470"/>
      <c r="Z6" s="3471"/>
      <c r="AA6" s="3457"/>
      <c r="AB6" s="3457"/>
      <c r="AC6" s="3457"/>
    </row>
    <row r="7" spans="1:29" s="1220" customFormat="1" ht="15.75" thickBot="1">
      <c r="A7" s="2914"/>
      <c r="B7" s="2921" t="s">
        <v>529</v>
      </c>
      <c r="C7" s="519">
        <f>'数据-取费表'!B2</f>
        <v>43290</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83" t="s">
        <v>530</v>
      </c>
      <c r="Q7" s="3485"/>
      <c r="R7" s="1569" t="s">
        <v>8</v>
      </c>
      <c r="S7" s="1570">
        <f t="shared" ref="S7:S15" si="0">F7</f>
        <v>0</v>
      </c>
      <c r="T7" s="1569" t="s">
        <v>8</v>
      </c>
      <c r="U7" s="1570">
        <f t="shared" ref="U7:U15" si="1">H7</f>
        <v>0</v>
      </c>
      <c r="V7" s="1569" t="s">
        <v>8</v>
      </c>
      <c r="W7" s="1570">
        <f t="shared" ref="W7:W15" si="2">J7</f>
        <v>0</v>
      </c>
      <c r="X7" s="1571"/>
      <c r="Y7" s="3483" t="s">
        <v>530</v>
      </c>
      <c r="Z7" s="3484"/>
      <c r="AA7" s="1572" t="e">
        <f>D7/F7</f>
        <v>#DIV/0!</v>
      </c>
      <c r="AB7" s="1572" t="e">
        <f>D7/H7</f>
        <v>#DIV/0!</v>
      </c>
      <c r="AC7" s="1572" t="e">
        <f>D7/J7</f>
        <v>#DIV/0!</v>
      </c>
    </row>
    <row r="8" spans="1:29" s="1220" customFormat="1" ht="15.75" thickBot="1">
      <c r="A8" s="2915"/>
      <c r="B8" s="2922"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83" t="s">
        <v>533</v>
      </c>
      <c r="Q8" s="3484"/>
      <c r="R8" s="1569" t="s">
        <v>8</v>
      </c>
      <c r="S8" s="1570">
        <f t="shared" si="0"/>
        <v>0</v>
      </c>
      <c r="T8" s="1569" t="s">
        <v>8</v>
      </c>
      <c r="U8" s="1570">
        <f t="shared" si="1"/>
        <v>0</v>
      </c>
      <c r="V8" s="1569" t="s">
        <v>8</v>
      </c>
      <c r="W8" s="1570">
        <f t="shared" si="2"/>
        <v>0</v>
      </c>
      <c r="X8" s="1571"/>
      <c r="Y8" s="3483" t="s">
        <v>533</v>
      </c>
      <c r="Z8" s="3484"/>
      <c r="AA8" s="1572" t="e">
        <f t="shared" ref="AA8:AA40" si="3">D8/F8</f>
        <v>#DIV/0!</v>
      </c>
      <c r="AB8" s="1572" t="e">
        <f t="shared" ref="AB8:AB40" si="4">D8/H8</f>
        <v>#DIV/0!</v>
      </c>
      <c r="AC8" s="1572" t="e">
        <f t="shared" ref="AC8:AC40" si="5">D8/J8</f>
        <v>#DIV/0!</v>
      </c>
    </row>
    <row r="9" spans="1:29" s="1220" customFormat="1" ht="15">
      <c r="A9" s="2916"/>
      <c r="B9" s="2923"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52" t="s">
        <v>535</v>
      </c>
      <c r="Q9" s="1151" t="str">
        <f t="shared" ref="Q9:Q15" si="6">B9</f>
        <v>用途</v>
      </c>
      <c r="R9" s="1569" t="s">
        <v>8</v>
      </c>
      <c r="S9" s="1570">
        <f t="shared" si="0"/>
        <v>100</v>
      </c>
      <c r="T9" s="1569" t="s">
        <v>8</v>
      </c>
      <c r="U9" s="1570">
        <f t="shared" si="1"/>
        <v>100</v>
      </c>
      <c r="V9" s="1569" t="s">
        <v>8</v>
      </c>
      <c r="W9" s="1570">
        <f t="shared" si="2"/>
        <v>100</v>
      </c>
      <c r="X9" s="1571"/>
      <c r="Y9" s="3398"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52"/>
      <c r="Q10" s="1151" t="str">
        <f t="shared" si="6"/>
        <v>土地使用年限（年）</v>
      </c>
      <c r="R10" s="1569" t="s">
        <v>8</v>
      </c>
      <c r="S10" s="1570">
        <f t="shared" si="0"/>
        <v>100</v>
      </c>
      <c r="T10" s="1569" t="s">
        <v>8</v>
      </c>
      <c r="U10" s="1570">
        <f t="shared" si="1"/>
        <v>100</v>
      </c>
      <c r="V10" s="1569" t="s">
        <v>8</v>
      </c>
      <c r="W10" s="1570">
        <f t="shared" si="2"/>
        <v>100</v>
      </c>
      <c r="X10" s="1571"/>
      <c r="Y10" s="3398"/>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52"/>
      <c r="Q11" s="1151" t="str">
        <f t="shared" si="6"/>
        <v>容积率</v>
      </c>
      <c r="R11" s="1569" t="s">
        <v>8</v>
      </c>
      <c r="S11" s="1570" t="e">
        <f t="shared" si="0"/>
        <v>#N/A</v>
      </c>
      <c r="T11" s="1569" t="s">
        <v>8</v>
      </c>
      <c r="U11" s="1570" t="e">
        <f t="shared" si="1"/>
        <v>#N/A</v>
      </c>
      <c r="V11" s="1569" t="s">
        <v>8</v>
      </c>
      <c r="W11" s="1570" t="e">
        <f t="shared" si="2"/>
        <v>#N/A</v>
      </c>
      <c r="X11" s="1571"/>
      <c r="Y11" s="3398"/>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52"/>
      <c r="Q12" s="1151">
        <f t="shared" si="6"/>
        <v>111</v>
      </c>
      <c r="R12" s="1569" t="s">
        <v>8</v>
      </c>
      <c r="S12" s="1570">
        <f t="shared" si="0"/>
        <v>100</v>
      </c>
      <c r="T12" s="1569" t="s">
        <v>8</v>
      </c>
      <c r="U12" s="1570">
        <f t="shared" si="1"/>
        <v>100</v>
      </c>
      <c r="V12" s="1569" t="s">
        <v>8</v>
      </c>
      <c r="W12" s="1570">
        <f t="shared" si="2"/>
        <v>100</v>
      </c>
      <c r="X12" s="1571"/>
      <c r="Y12" s="3398"/>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52"/>
      <c r="Q13" s="1151">
        <f t="shared" si="6"/>
        <v>111</v>
      </c>
      <c r="R13" s="1569" t="s">
        <v>8</v>
      </c>
      <c r="S13" s="1570">
        <f t="shared" si="0"/>
        <v>100</v>
      </c>
      <c r="T13" s="1569" t="s">
        <v>8</v>
      </c>
      <c r="U13" s="1570">
        <f t="shared" si="1"/>
        <v>100</v>
      </c>
      <c r="V13" s="1569" t="s">
        <v>8</v>
      </c>
      <c r="W13" s="1570">
        <f t="shared" si="2"/>
        <v>100</v>
      </c>
      <c r="X13" s="1571"/>
      <c r="Y13" s="3398"/>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52"/>
      <c r="Q14" s="1151">
        <f t="shared" si="6"/>
        <v>111</v>
      </c>
      <c r="R14" s="1569" t="s">
        <v>8</v>
      </c>
      <c r="S14" s="1570">
        <f t="shared" si="0"/>
        <v>100</v>
      </c>
      <c r="T14" s="1569" t="s">
        <v>8</v>
      </c>
      <c r="U14" s="1570">
        <f t="shared" si="1"/>
        <v>100</v>
      </c>
      <c r="V14" s="1569" t="s">
        <v>8</v>
      </c>
      <c r="W14" s="1570">
        <f t="shared" si="2"/>
        <v>100</v>
      </c>
      <c r="X14" s="1571"/>
      <c r="Y14" s="3398"/>
      <c r="Z14" s="1150">
        <f t="shared" si="7"/>
        <v>111</v>
      </c>
      <c r="AA14" s="1572">
        <f t="shared" si="3"/>
        <v>1</v>
      </c>
      <c r="AB14" s="1572">
        <f t="shared" si="4"/>
        <v>1</v>
      </c>
      <c r="AC14" s="1572">
        <f t="shared" si="5"/>
        <v>1</v>
      </c>
    </row>
    <row r="15" spans="1:29" ht="85.5">
      <c r="A15" s="2912" t="s">
        <v>2757</v>
      </c>
      <c r="B15" s="166" t="s">
        <v>789</v>
      </c>
      <c r="C15" s="921" t="str">
        <f>估价对象房地状况!G3</f>
        <v>估价对象位于北京市通州区马驹桥镇金桥产业基地，园区建设成熟，产业集聚程度较好</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86" t="s">
        <v>540</v>
      </c>
      <c r="Q15" s="1573" t="str">
        <f t="shared" si="6"/>
        <v>产业集聚程度</v>
      </c>
      <c r="R15" s="1574" t="s">
        <v>8</v>
      </c>
      <c r="S15" s="1575">
        <f t="shared" si="0"/>
        <v>100</v>
      </c>
      <c r="T15" s="1574" t="s">
        <v>8</v>
      </c>
      <c r="U15" s="1575">
        <f t="shared" si="1"/>
        <v>100</v>
      </c>
      <c r="V15" s="1574" t="s">
        <v>8</v>
      </c>
      <c r="W15" s="1575">
        <f t="shared" si="2"/>
        <v>100</v>
      </c>
      <c r="X15" s="1568"/>
      <c r="Y15" s="3486"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87"/>
      <c r="Q16" s="1573"/>
      <c r="R16" s="1574"/>
      <c r="S16" s="1575"/>
      <c r="T16" s="1574"/>
      <c r="U16" s="1575"/>
      <c r="V16" s="1574"/>
      <c r="W16" s="1575"/>
      <c r="X16" s="1568"/>
      <c r="Y16" s="3487"/>
      <c r="Z16" s="1576"/>
      <c r="AA16" s="1577">
        <v>1</v>
      </c>
      <c r="AB16" s="1577">
        <v>1</v>
      </c>
      <c r="AC16" s="1577">
        <v>1</v>
      </c>
    </row>
    <row r="17" spans="1:29" ht="71.25">
      <c r="A17" s="532"/>
      <c r="B17" s="871" t="s">
        <v>296</v>
      </c>
      <c r="C17" s="872" t="str">
        <f>估价对象房地状况!G4</f>
        <v>估价对象紧邻六环高速路、公共交通通达情况较好、综合评价交通便捷度较好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87"/>
      <c r="Q17" s="1573" t="str">
        <f>B17</f>
        <v>交通便捷度</v>
      </c>
      <c r="R17" s="1574" t="s">
        <v>8</v>
      </c>
      <c r="S17" s="1575">
        <f>F17</f>
        <v>100</v>
      </c>
      <c r="T17" s="1574" t="s">
        <v>8</v>
      </c>
      <c r="U17" s="1575">
        <f>H17</f>
        <v>100</v>
      </c>
      <c r="V17" s="1574" t="s">
        <v>8</v>
      </c>
      <c r="W17" s="1575">
        <f>J17</f>
        <v>100</v>
      </c>
      <c r="X17" s="1568"/>
      <c r="Y17" s="34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87"/>
      <c r="Q18" s="1573"/>
      <c r="R18" s="1574"/>
      <c r="S18" s="1575"/>
      <c r="T18" s="1574"/>
      <c r="U18" s="1575"/>
      <c r="V18" s="1574"/>
      <c r="W18" s="1575"/>
      <c r="X18" s="1568"/>
      <c r="Y18" s="3487"/>
      <c r="Z18" s="1576"/>
      <c r="AA18" s="1577">
        <v>1</v>
      </c>
      <c r="AB18" s="1577">
        <v>1</v>
      </c>
      <c r="AC18" s="1577">
        <v>1</v>
      </c>
    </row>
    <row r="19" spans="1:29" ht="99.75">
      <c r="A19" s="532"/>
      <c r="B19" s="2605" t="s">
        <v>2549</v>
      </c>
      <c r="C19" s="872" t="str">
        <f>估价对象房地状况!G5</f>
        <v>估价对象所在区域公共配套设施齐备情况一般；基础设施水平一般；综合评价公用设施及基础设施水平一般</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87"/>
      <c r="Q19" s="1573" t="str">
        <f>B19</f>
        <v>公共配套设施</v>
      </c>
      <c r="R19" s="1574" t="s">
        <v>8</v>
      </c>
      <c r="S19" s="1575">
        <f>F19</f>
        <v>100</v>
      </c>
      <c r="T19" s="1574" t="s">
        <v>8</v>
      </c>
      <c r="U19" s="1575">
        <f>H19</f>
        <v>100</v>
      </c>
      <c r="V19" s="1574" t="s">
        <v>8</v>
      </c>
      <c r="W19" s="1575">
        <f>J19</f>
        <v>100</v>
      </c>
      <c r="X19" s="1568"/>
      <c r="Y19" s="348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87"/>
      <c r="Q20" s="1573"/>
      <c r="R20" s="1574"/>
      <c r="S20" s="1575"/>
      <c r="T20" s="1574"/>
      <c r="U20" s="1575"/>
      <c r="V20" s="1574"/>
      <c r="W20" s="1575"/>
      <c r="X20" s="1568"/>
      <c r="Y20" s="3487"/>
      <c r="Z20" s="1576"/>
      <c r="AA20" s="1577">
        <v>1</v>
      </c>
      <c r="AB20" s="1577">
        <v>1</v>
      </c>
      <c r="AC20" s="1577">
        <v>1</v>
      </c>
    </row>
    <row r="21" spans="1:29" ht="15">
      <c r="A21" s="532"/>
      <c r="B21" s="2593" t="s">
        <v>2561</v>
      </c>
      <c r="C21" s="872" t="str">
        <f>估价对象房地状况!G6</f>
        <v>五通</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87"/>
      <c r="Q21" s="2581" t="str">
        <f>B21</f>
        <v>基础设施水平</v>
      </c>
      <c r="R21" s="1574" t="s">
        <v>8</v>
      </c>
      <c r="S21" s="1575">
        <f>F21</f>
        <v>100</v>
      </c>
      <c r="T21" s="1574" t="s">
        <v>8</v>
      </c>
      <c r="U21" s="1575">
        <f>H21</f>
        <v>100</v>
      </c>
      <c r="V21" s="1574" t="s">
        <v>8</v>
      </c>
      <c r="W21" s="1575">
        <f>J21</f>
        <v>100</v>
      </c>
      <c r="X21" s="2583"/>
      <c r="Y21" s="3487"/>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87"/>
      <c r="Q22" s="2581"/>
      <c r="R22" s="1574"/>
      <c r="S22" s="1575"/>
      <c r="T22" s="1574"/>
      <c r="U22" s="1575"/>
      <c r="V22" s="1574"/>
      <c r="W22" s="1575"/>
      <c r="X22" s="2583"/>
      <c r="Y22" s="3487"/>
      <c r="Z22" s="2582"/>
      <c r="AA22" s="1577">
        <v>1</v>
      </c>
      <c r="AB22" s="1577">
        <v>1</v>
      </c>
      <c r="AC22" s="1577">
        <v>1</v>
      </c>
    </row>
    <row r="23" spans="1:29" ht="71.25">
      <c r="A23" s="532"/>
      <c r="B23" s="871" t="s">
        <v>778</v>
      </c>
      <c r="C23" s="872" t="str">
        <f>估价对象房地状况!G7</f>
        <v>该园区内无污染型企业，绿化条件一般，卫生条件一般，整体环境状况一般</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87"/>
      <c r="Q23" s="1573" t="str">
        <f>B23</f>
        <v>环境质量</v>
      </c>
      <c r="R23" s="1574" t="s">
        <v>8</v>
      </c>
      <c r="S23" s="1575">
        <f>F23</f>
        <v>100</v>
      </c>
      <c r="T23" s="1574" t="s">
        <v>8</v>
      </c>
      <c r="U23" s="1575">
        <f>H23</f>
        <v>100</v>
      </c>
      <c r="V23" s="1574" t="s">
        <v>8</v>
      </c>
      <c r="W23" s="1575">
        <f>J23</f>
        <v>100</v>
      </c>
      <c r="X23" s="1568"/>
      <c r="Y23" s="348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87"/>
      <c r="Q24" s="1573"/>
      <c r="R24" s="1574"/>
      <c r="S24" s="1575"/>
      <c r="T24" s="1574"/>
      <c r="U24" s="1575"/>
      <c r="V24" s="1574"/>
      <c r="W24" s="1575"/>
      <c r="X24" s="1568"/>
      <c r="Y24" s="348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87"/>
      <c r="Q25" s="1573">
        <f>B25</f>
        <v>111</v>
      </c>
      <c r="R25" s="1574" t="s">
        <v>8</v>
      </c>
      <c r="S25" s="1575">
        <f>F25</f>
        <v>100</v>
      </c>
      <c r="T25" s="1574" t="s">
        <v>8</v>
      </c>
      <c r="U25" s="1575">
        <f>H25</f>
        <v>100</v>
      </c>
      <c r="V25" s="1574" t="s">
        <v>8</v>
      </c>
      <c r="W25" s="1575">
        <f>J25</f>
        <v>100</v>
      </c>
      <c r="X25" s="1568"/>
      <c r="Y25" s="348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87"/>
      <c r="Q26" s="1573">
        <f t="shared" ref="Q26:Q40" si="11">B26</f>
        <v>111</v>
      </c>
      <c r="R26" s="1574" t="s">
        <v>8</v>
      </c>
      <c r="S26" s="1575">
        <f>F26</f>
        <v>100</v>
      </c>
      <c r="T26" s="1574" t="s">
        <v>8</v>
      </c>
      <c r="U26" s="1575">
        <f>H26</f>
        <v>100</v>
      </c>
      <c r="V26" s="1574" t="s">
        <v>8</v>
      </c>
      <c r="W26" s="1575">
        <f>J26</f>
        <v>100</v>
      </c>
      <c r="X26" s="1568"/>
      <c r="Y26" s="348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87"/>
      <c r="Q27" s="1151">
        <f t="shared" si="11"/>
        <v>111</v>
      </c>
      <c r="R27" s="1569" t="s">
        <v>8</v>
      </c>
      <c r="S27" s="1570">
        <f>F27</f>
        <v>100</v>
      </c>
      <c r="T27" s="1569" t="s">
        <v>8</v>
      </c>
      <c r="U27" s="1570">
        <f>H27</f>
        <v>100</v>
      </c>
      <c r="V27" s="1569" t="s">
        <v>8</v>
      </c>
      <c r="W27" s="1570">
        <f>J27</f>
        <v>100</v>
      </c>
      <c r="X27" s="1571"/>
      <c r="Y27" s="348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87"/>
      <c r="Q28" s="1573">
        <f t="shared" si="11"/>
        <v>111</v>
      </c>
      <c r="R28" s="1574" t="s">
        <v>8</v>
      </c>
      <c r="S28" s="1575">
        <f t="shared" ref="S28:S40" si="12">F28</f>
        <v>100</v>
      </c>
      <c r="T28" s="1574" t="s">
        <v>8</v>
      </c>
      <c r="U28" s="1575">
        <f t="shared" ref="U28:U40" si="13">H28</f>
        <v>100</v>
      </c>
      <c r="V28" s="1574" t="s">
        <v>8</v>
      </c>
      <c r="W28" s="1575">
        <f t="shared" ref="W28:W40" si="14">J28</f>
        <v>100</v>
      </c>
      <c r="X28" s="1568"/>
      <c r="Y28" s="3487"/>
      <c r="Z28" s="1576">
        <f t="shared" ref="Z28:Z40" si="15">Q28</f>
        <v>111</v>
      </c>
      <c r="AA28" s="1577">
        <f t="shared" si="3"/>
        <v>1</v>
      </c>
      <c r="AB28" s="1577">
        <f t="shared" si="4"/>
        <v>1</v>
      </c>
      <c r="AC28" s="1577">
        <f t="shared" si="5"/>
        <v>1</v>
      </c>
    </row>
    <row r="29" spans="1:29" ht="15">
      <c r="A29" s="2909"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88" t="s">
        <v>550</v>
      </c>
      <c r="Q29" s="1573" t="str">
        <f t="shared" si="11"/>
        <v>建筑类型</v>
      </c>
      <c r="R29" s="1574" t="s">
        <v>8</v>
      </c>
      <c r="S29" s="1575">
        <f t="shared" si="12"/>
        <v>100</v>
      </c>
      <c r="T29" s="1574" t="s">
        <v>8</v>
      </c>
      <c r="U29" s="1575">
        <f t="shared" si="13"/>
        <v>100</v>
      </c>
      <c r="V29" s="1574" t="s">
        <v>8</v>
      </c>
      <c r="W29" s="1575">
        <f t="shared" si="14"/>
        <v>100</v>
      </c>
      <c r="X29" s="1568"/>
      <c r="Y29" s="3489"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89"/>
      <c r="Q30" s="1606" t="str">
        <f t="shared" si="11"/>
        <v>项目建筑规模</v>
      </c>
      <c r="R30" s="1578" t="s">
        <v>8</v>
      </c>
      <c r="S30" s="1579" t="e">
        <f t="shared" si="12"/>
        <v>#N/A</v>
      </c>
      <c r="T30" s="1578" t="s">
        <v>8</v>
      </c>
      <c r="U30" s="1579" t="e">
        <f t="shared" si="13"/>
        <v>#N/A</v>
      </c>
      <c r="V30" s="1578" t="s">
        <v>8</v>
      </c>
      <c r="W30" s="1579" t="e">
        <f t="shared" si="14"/>
        <v>#N/A</v>
      </c>
      <c r="X30" s="1580"/>
      <c r="Y30" s="3489"/>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89"/>
      <c r="Q31" s="1573" t="str">
        <f t="shared" si="11"/>
        <v>建筑结构</v>
      </c>
      <c r="R31" s="1574" t="s">
        <v>8</v>
      </c>
      <c r="S31" s="1575">
        <f t="shared" si="12"/>
        <v>100</v>
      </c>
      <c r="T31" s="1574" t="s">
        <v>8</v>
      </c>
      <c r="U31" s="1575">
        <f t="shared" si="13"/>
        <v>100</v>
      </c>
      <c r="V31" s="1574" t="s">
        <v>8</v>
      </c>
      <c r="W31" s="1575">
        <f t="shared" si="14"/>
        <v>100</v>
      </c>
      <c r="X31" s="1568"/>
      <c r="Y31" s="3489"/>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89"/>
      <c r="Q32" s="1573" t="str">
        <f t="shared" si="11"/>
        <v>公共部分装修</v>
      </c>
      <c r="R32" s="1574" t="s">
        <v>8</v>
      </c>
      <c r="S32" s="1575">
        <f t="shared" si="12"/>
        <v>100</v>
      </c>
      <c r="T32" s="1574" t="s">
        <v>8</v>
      </c>
      <c r="U32" s="1575">
        <f t="shared" si="13"/>
        <v>100</v>
      </c>
      <c r="V32" s="1574" t="s">
        <v>8</v>
      </c>
      <c r="W32" s="1575">
        <f t="shared" si="14"/>
        <v>100</v>
      </c>
      <c r="X32" s="1568"/>
      <c r="Y32" s="3489"/>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89"/>
      <c r="Q33" s="1573" t="str">
        <f t="shared" si="11"/>
        <v>成新度</v>
      </c>
      <c r="R33" s="1574" t="s">
        <v>8</v>
      </c>
      <c r="S33" s="1575" t="e">
        <f t="shared" si="12"/>
        <v>#N/A</v>
      </c>
      <c r="T33" s="1574" t="s">
        <v>8</v>
      </c>
      <c r="U33" s="1575" t="e">
        <f t="shared" si="13"/>
        <v>#N/A</v>
      </c>
      <c r="V33" s="1574" t="s">
        <v>8</v>
      </c>
      <c r="W33" s="1575" t="e">
        <f t="shared" si="14"/>
        <v>#N/A</v>
      </c>
      <c r="X33" s="1568"/>
      <c r="Y33" s="3489"/>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89"/>
      <c r="Q34" s="1151" t="str">
        <f t="shared" si="11"/>
        <v>物业管理</v>
      </c>
      <c r="R34" s="1569" t="s">
        <v>8</v>
      </c>
      <c r="S34" s="1570">
        <f t="shared" si="12"/>
        <v>100</v>
      </c>
      <c r="T34" s="1569" t="s">
        <v>8</v>
      </c>
      <c r="U34" s="1570">
        <f t="shared" si="13"/>
        <v>100</v>
      </c>
      <c r="V34" s="1569" t="s">
        <v>8</v>
      </c>
      <c r="W34" s="1570">
        <f t="shared" si="14"/>
        <v>100</v>
      </c>
      <c r="X34" s="1571"/>
      <c r="Y34" s="3489"/>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89" t="s">
        <v>550</v>
      </c>
      <c r="Q35" s="1573" t="str">
        <f t="shared" si="11"/>
        <v>市政基础设施</v>
      </c>
      <c r="R35" s="1574" t="s">
        <v>8</v>
      </c>
      <c r="S35" s="1575">
        <f t="shared" si="12"/>
        <v>100</v>
      </c>
      <c r="T35" s="1574" t="s">
        <v>8</v>
      </c>
      <c r="U35" s="1575">
        <f t="shared" si="13"/>
        <v>100</v>
      </c>
      <c r="V35" s="1574" t="s">
        <v>8</v>
      </c>
      <c r="W35" s="1575">
        <f t="shared" si="14"/>
        <v>100</v>
      </c>
      <c r="X35" s="1568"/>
      <c r="Y35" s="3489"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89"/>
      <c r="Q36" s="1573" t="str">
        <f t="shared" si="11"/>
        <v>内部装修</v>
      </c>
      <c r="R36" s="1574" t="s">
        <v>8</v>
      </c>
      <c r="S36" s="1575">
        <f t="shared" si="12"/>
        <v>100</v>
      </c>
      <c r="T36" s="1574" t="s">
        <v>8</v>
      </c>
      <c r="U36" s="1575">
        <f t="shared" si="13"/>
        <v>100</v>
      </c>
      <c r="V36" s="1574" t="s">
        <v>8</v>
      </c>
      <c r="W36" s="1575">
        <f t="shared" si="14"/>
        <v>100</v>
      </c>
      <c r="X36" s="1568"/>
      <c r="Y36" s="3489"/>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89"/>
      <c r="Q37" s="1573" t="str">
        <f t="shared" si="11"/>
        <v>内部装修状况</v>
      </c>
      <c r="R37" s="1574" t="s">
        <v>8</v>
      </c>
      <c r="S37" s="1575">
        <f t="shared" si="12"/>
        <v>100</v>
      </c>
      <c r="T37" s="1574" t="s">
        <v>8</v>
      </c>
      <c r="U37" s="1575">
        <f t="shared" si="13"/>
        <v>100</v>
      </c>
      <c r="V37" s="1574" t="s">
        <v>8</v>
      </c>
      <c r="W37" s="1575">
        <f t="shared" si="14"/>
        <v>100</v>
      </c>
      <c r="X37" s="1568"/>
      <c r="Y37" s="348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89"/>
      <c r="Q38" s="1606">
        <f t="shared" si="11"/>
        <v>111</v>
      </c>
      <c r="R38" s="1578" t="s">
        <v>8</v>
      </c>
      <c r="S38" s="1579">
        <f t="shared" si="12"/>
        <v>100</v>
      </c>
      <c r="T38" s="1578" t="s">
        <v>8</v>
      </c>
      <c r="U38" s="1579">
        <f t="shared" si="13"/>
        <v>100</v>
      </c>
      <c r="V38" s="1578" t="s">
        <v>8</v>
      </c>
      <c r="W38" s="1579">
        <f t="shared" si="14"/>
        <v>100</v>
      </c>
      <c r="X38" s="1580"/>
      <c r="Y38" s="348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89"/>
      <c r="Q39" s="1573">
        <f t="shared" si="11"/>
        <v>111</v>
      </c>
      <c r="R39" s="1574" t="s">
        <v>8</v>
      </c>
      <c r="S39" s="1575">
        <f t="shared" si="12"/>
        <v>100</v>
      </c>
      <c r="T39" s="1574" t="s">
        <v>8</v>
      </c>
      <c r="U39" s="1575">
        <f t="shared" si="13"/>
        <v>100</v>
      </c>
      <c r="V39" s="1574" t="s">
        <v>8</v>
      </c>
      <c r="W39" s="1575">
        <f t="shared" si="14"/>
        <v>100</v>
      </c>
      <c r="X39" s="1568"/>
      <c r="Y39" s="348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67"/>
      <c r="Q40" s="1573">
        <f t="shared" si="11"/>
        <v>111</v>
      </c>
      <c r="R40" s="1574" t="s">
        <v>8</v>
      </c>
      <c r="S40" s="1575">
        <f t="shared" si="12"/>
        <v>100</v>
      </c>
      <c r="T40" s="1574" t="s">
        <v>8</v>
      </c>
      <c r="U40" s="1575">
        <f t="shared" si="13"/>
        <v>100</v>
      </c>
      <c r="V40" s="1574" t="s">
        <v>8</v>
      </c>
      <c r="W40" s="1575">
        <f t="shared" si="14"/>
        <v>100</v>
      </c>
      <c r="X40" s="1568"/>
      <c r="Y40" s="3567"/>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452" t="str">
        <f>A41</f>
        <v>成交单价（元/平方米）</v>
      </c>
      <c r="Q41" s="3452"/>
      <c r="R41" s="3566">
        <f>E41</f>
        <v>0</v>
      </c>
      <c r="S41" s="3566"/>
      <c r="T41" s="3566">
        <f>G41</f>
        <v>0</v>
      </c>
      <c r="U41" s="3566"/>
      <c r="V41" s="3566">
        <f>I41</f>
        <v>0</v>
      </c>
      <c r="W41" s="3566"/>
      <c r="X41" s="1560"/>
      <c r="Y41" s="1582"/>
      <c r="Z41" s="1560"/>
      <c r="AA41" s="1560"/>
      <c r="AB41" s="1560"/>
      <c r="AC41" s="1560"/>
    </row>
    <row r="42" spans="1:29" ht="15.75" thickBot="1">
      <c r="A42" s="615" t="s">
        <v>2763</v>
      </c>
      <c r="B42" s="888"/>
      <c r="C42" s="2635" t="e">
        <f>R43</f>
        <v>#DIV/0!</v>
      </c>
      <c r="D42" s="2636"/>
      <c r="E42" s="2637" t="e">
        <f>R42</f>
        <v>#DIV/0!</v>
      </c>
      <c r="F42" s="2637"/>
      <c r="G42" s="2635" t="e">
        <f>T42</f>
        <v>#DIV/0!</v>
      </c>
      <c r="H42" s="2636"/>
      <c r="I42" s="2637" t="e">
        <f>V42</f>
        <v>#DIV/0!</v>
      </c>
      <c r="J42" s="2636"/>
      <c r="K42" s="1613"/>
      <c r="L42" s="2146"/>
      <c r="M42" s="2147"/>
      <c r="N42" s="2136"/>
      <c r="O42" s="2147"/>
      <c r="P42" s="3452" t="str">
        <f>A42</f>
        <v>比较价格（元/平方米）</v>
      </c>
      <c r="Q42" s="3452"/>
      <c r="R42" s="3566" t="e">
        <f>IF(F1="售价",ROUND(PRODUCT(R41,AA7:AA40),0),ROUND(PRODUCT(R41,AA7:AA40),1))</f>
        <v>#DIV/0!</v>
      </c>
      <c r="S42" s="3566"/>
      <c r="T42" s="3566" t="e">
        <f>IF(F1="售价",ROUND(PRODUCT(T41,AB7:AB40),0),ROUND(PRODUCT(T41,AB7:AB40),1))</f>
        <v>#DIV/0!</v>
      </c>
      <c r="U42" s="3566"/>
      <c r="V42" s="3566" t="e">
        <f>IF(F1="售价",ROUND(PRODUCT(V41,AC7:AC40),0),ROUND(PRODUCT(V41,AC7:AC40),1))</f>
        <v>#DIV/0!</v>
      </c>
      <c r="W42" s="3566"/>
      <c r="X42" s="1560"/>
      <c r="Y42" s="1560"/>
      <c r="Z42" s="1560"/>
      <c r="AA42" s="1560"/>
      <c r="AB42" s="1560"/>
      <c r="AC42" s="1560"/>
    </row>
    <row r="43" spans="1:29" ht="15.75" thickBot="1">
      <c r="A43" s="621" t="s">
        <v>2936</v>
      </c>
      <c r="B43" s="622"/>
      <c r="C43" s="2638" t="e">
        <f>R43</f>
        <v>#DIV/0!</v>
      </c>
      <c r="D43" s="2638"/>
      <c r="E43" s="2638"/>
      <c r="F43" s="2638"/>
      <c r="G43" s="2638"/>
      <c r="H43" s="2638"/>
      <c r="I43" s="2638"/>
      <c r="J43" s="2638"/>
      <c r="K43" s="1614"/>
      <c r="L43" s="2146"/>
      <c r="M43" s="2147"/>
      <c r="N43" s="2147"/>
      <c r="O43" s="2147"/>
      <c r="P43" s="3449" t="str">
        <f>A43</f>
        <v>估价对象XX用房的比较价格（楼面单价，元/平方米）</v>
      </c>
      <c r="Q43" s="3450"/>
      <c r="R43" s="3565" t="e">
        <f>IF(F1="售价",ROUND(AVERAGE(R42:V42),0),ROUND(AVERAGE(R42:V42),1))</f>
        <v>#DIV/0!</v>
      </c>
      <c r="S43" s="3565"/>
      <c r="T43" s="3565"/>
      <c r="U43" s="3565"/>
      <c r="V43" s="3565"/>
      <c r="W43" s="3565"/>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2018-7</v>
      </c>
      <c r="D52" s="2806">
        <f>EDATE(C52,-1)</f>
        <v>43252</v>
      </c>
      <c r="E52" s="2806">
        <f t="shared" ref="E52:O52" si="16">EDATE(D52,-1)</f>
        <v>43221</v>
      </c>
      <c r="F52" s="2806">
        <f t="shared" si="16"/>
        <v>43191</v>
      </c>
      <c r="G52" s="2806">
        <f t="shared" si="16"/>
        <v>43160</v>
      </c>
      <c r="H52" s="2806">
        <f t="shared" si="16"/>
        <v>43132</v>
      </c>
      <c r="I52" s="2806">
        <f t="shared" si="16"/>
        <v>43101</v>
      </c>
      <c r="J52" s="2806">
        <f t="shared" si="16"/>
        <v>43070</v>
      </c>
      <c r="K52" s="2806">
        <f t="shared" si="16"/>
        <v>43040</v>
      </c>
      <c r="L52" s="2806">
        <f t="shared" si="16"/>
        <v>43009</v>
      </c>
      <c r="M52" s="2806">
        <f t="shared" si="16"/>
        <v>42979</v>
      </c>
      <c r="N52" s="2806">
        <f t="shared" si="16"/>
        <v>42948</v>
      </c>
      <c r="O52" s="2806">
        <f t="shared" si="16"/>
        <v>42917</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2561</v>
      </c>
      <c r="C76" s="2600" t="s">
        <v>2562</v>
      </c>
      <c r="D76" s="2600" t="s">
        <v>2563</v>
      </c>
      <c r="E76" s="2600" t="s">
        <v>2564</v>
      </c>
      <c r="F76" s="2600" t="s">
        <v>2565</v>
      </c>
      <c r="G76" s="2600"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9"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58" t="s">
        <v>798</v>
      </c>
      <c r="D4" s="3459"/>
      <c r="E4" s="3458" t="s">
        <v>799</v>
      </c>
      <c r="F4" s="3459"/>
      <c r="G4" s="3458" t="s">
        <v>800</v>
      </c>
      <c r="H4" s="3459"/>
      <c r="I4" s="3458" t="s">
        <v>801</v>
      </c>
      <c r="J4" s="3459"/>
      <c r="K4" s="514" t="s">
        <v>802</v>
      </c>
      <c r="L4" s="2135"/>
      <c r="M4" s="2136"/>
      <c r="N4" s="2136"/>
      <c r="O4" s="2136"/>
      <c r="P4" s="3460" t="s">
        <v>803</v>
      </c>
      <c r="Q4" s="3461"/>
      <c r="R4" s="3466" t="s">
        <v>799</v>
      </c>
      <c r="S4" s="3467"/>
      <c r="T4" s="3466" t="s">
        <v>800</v>
      </c>
      <c r="U4" s="3467"/>
      <c r="V4" s="3453" t="s">
        <v>801</v>
      </c>
      <c r="W4" s="3453"/>
      <c r="X4" s="1568"/>
      <c r="Y4" s="3466" t="s">
        <v>803</v>
      </c>
      <c r="Z4" s="3467"/>
      <c r="AA4" s="3455" t="s">
        <v>799</v>
      </c>
      <c r="AB4" s="3456" t="s">
        <v>800</v>
      </c>
      <c r="AC4" s="3455" t="s">
        <v>801</v>
      </c>
    </row>
    <row r="5" spans="1:29" ht="15">
      <c r="A5" s="515"/>
      <c r="B5" s="516"/>
      <c r="C5" s="3474" t="s">
        <v>2930</v>
      </c>
      <c r="D5" s="3475"/>
      <c r="E5" s="3474" t="s">
        <v>2931</v>
      </c>
      <c r="F5" s="3475"/>
      <c r="G5" s="3474" t="s">
        <v>2932</v>
      </c>
      <c r="H5" s="3475"/>
      <c r="I5" s="3474" t="s">
        <v>2933</v>
      </c>
      <c r="J5" s="3475"/>
      <c r="K5" s="514"/>
      <c r="L5" s="2135"/>
      <c r="M5" s="2136"/>
      <c r="N5" s="2136"/>
      <c r="O5" s="2136"/>
      <c r="P5" s="3462"/>
      <c r="Q5" s="3463"/>
      <c r="R5" s="3468"/>
      <c r="S5" s="3469"/>
      <c r="T5" s="3468"/>
      <c r="U5" s="3469"/>
      <c r="V5" s="3453"/>
      <c r="W5" s="3453"/>
      <c r="X5" s="1568"/>
      <c r="Y5" s="3468"/>
      <c r="Z5" s="3469"/>
      <c r="AA5" s="3456"/>
      <c r="AB5" s="3456"/>
      <c r="AC5" s="3456"/>
    </row>
    <row r="6" spans="1:29" ht="15.75" thickBot="1">
      <c r="A6" s="517"/>
      <c r="B6" s="518"/>
      <c r="C6" s="3472" t="s">
        <v>2934</v>
      </c>
      <c r="D6" s="3473"/>
      <c r="E6" s="3476" t="s">
        <v>2934</v>
      </c>
      <c r="F6" s="3477"/>
      <c r="G6" s="3472" t="s">
        <v>2934</v>
      </c>
      <c r="H6" s="3473"/>
      <c r="I6" s="3472" t="s">
        <v>2934</v>
      </c>
      <c r="J6" s="3473"/>
      <c r="K6" s="514" t="s">
        <v>528</v>
      </c>
      <c r="L6" s="2135"/>
      <c r="M6" s="2136"/>
      <c r="N6" s="2136"/>
      <c r="O6" s="2136"/>
      <c r="P6" s="3464"/>
      <c r="Q6" s="3465"/>
      <c r="R6" s="3468"/>
      <c r="S6" s="3469"/>
      <c r="T6" s="3470"/>
      <c r="U6" s="3471"/>
      <c r="V6" s="3453"/>
      <c r="W6" s="3453"/>
      <c r="X6" s="1568"/>
      <c r="Y6" s="3470"/>
      <c r="Z6" s="3471"/>
      <c r="AA6" s="3457"/>
      <c r="AB6" s="3457"/>
      <c r="AC6" s="3457"/>
    </row>
    <row r="7" spans="1:29" s="1220" customFormat="1" ht="15.75" thickBot="1">
      <c r="A7" s="2914"/>
      <c r="B7" s="2921" t="s">
        <v>529</v>
      </c>
      <c r="C7" s="519">
        <f>'数据-取费表'!B2</f>
        <v>43290</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83" t="s">
        <v>530</v>
      </c>
      <c r="Q7" s="3485"/>
      <c r="R7" s="1569" t="s">
        <v>8</v>
      </c>
      <c r="S7" s="1570">
        <f t="shared" ref="S7:S14" si="0">F7</f>
        <v>0</v>
      </c>
      <c r="T7" s="1569" t="s">
        <v>8</v>
      </c>
      <c r="U7" s="1570">
        <f t="shared" ref="U7:U14" si="1">H7</f>
        <v>0</v>
      </c>
      <c r="V7" s="1569" t="s">
        <v>8</v>
      </c>
      <c r="W7" s="1570">
        <f t="shared" ref="W7:W14" si="2">J7</f>
        <v>0</v>
      </c>
      <c r="X7" s="1571"/>
      <c r="Y7" s="3483" t="s">
        <v>530</v>
      </c>
      <c r="Z7" s="3484"/>
      <c r="AA7" s="1572" t="e">
        <f>D7/F7</f>
        <v>#DIV/0!</v>
      </c>
      <c r="AB7" s="1572" t="e">
        <f>D7/H7</f>
        <v>#DIV/0!</v>
      </c>
      <c r="AC7" s="1572" t="e">
        <f>D7/J7</f>
        <v>#DIV/0!</v>
      </c>
    </row>
    <row r="8" spans="1:29" s="1220" customFormat="1" ht="15.75" thickBot="1">
      <c r="A8" s="2915"/>
      <c r="B8" s="2922"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83" t="s">
        <v>533</v>
      </c>
      <c r="Q8" s="3484"/>
      <c r="R8" s="1569" t="s">
        <v>8</v>
      </c>
      <c r="S8" s="1570">
        <f t="shared" si="0"/>
        <v>0</v>
      </c>
      <c r="T8" s="1569" t="s">
        <v>8</v>
      </c>
      <c r="U8" s="1570">
        <f t="shared" si="1"/>
        <v>0</v>
      </c>
      <c r="V8" s="1569" t="s">
        <v>8</v>
      </c>
      <c r="W8" s="1570">
        <f t="shared" si="2"/>
        <v>0</v>
      </c>
      <c r="X8" s="1571"/>
      <c r="Y8" s="3483" t="s">
        <v>533</v>
      </c>
      <c r="Z8" s="3484"/>
      <c r="AA8" s="1572" t="e">
        <f t="shared" ref="AA8:AA36" si="3">D8/F8</f>
        <v>#DIV/0!</v>
      </c>
      <c r="AB8" s="1572" t="e">
        <f t="shared" ref="AB8:AB36" si="4">D8/H8</f>
        <v>#DIV/0!</v>
      </c>
      <c r="AC8" s="1572" t="e">
        <f t="shared" ref="AC8:AC36" si="5">D8/J8</f>
        <v>#DIV/0!</v>
      </c>
    </row>
    <row r="9" spans="1:29" s="1220" customFormat="1" ht="15">
      <c r="A9" s="2916"/>
      <c r="B9" s="2923"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52" t="s">
        <v>535</v>
      </c>
      <c r="Q9" s="1151" t="str">
        <f t="shared" ref="Q9:Q14" si="6">B9</f>
        <v>用途</v>
      </c>
      <c r="R9" s="1569" t="s">
        <v>8</v>
      </c>
      <c r="S9" s="1570">
        <f t="shared" si="0"/>
        <v>100</v>
      </c>
      <c r="T9" s="1569" t="s">
        <v>8</v>
      </c>
      <c r="U9" s="1570">
        <f t="shared" si="1"/>
        <v>100</v>
      </c>
      <c r="V9" s="1569" t="s">
        <v>8</v>
      </c>
      <c r="W9" s="1570">
        <f t="shared" si="2"/>
        <v>100</v>
      </c>
      <c r="X9" s="1571"/>
      <c r="Y9" s="3398"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52"/>
      <c r="Q10" s="1151" t="str">
        <f t="shared" si="6"/>
        <v>土地使用年限（年）</v>
      </c>
      <c r="R10" s="1569" t="s">
        <v>8</v>
      </c>
      <c r="S10" s="1570">
        <f t="shared" si="0"/>
        <v>100</v>
      </c>
      <c r="T10" s="1569" t="s">
        <v>8</v>
      </c>
      <c r="U10" s="1570">
        <f t="shared" si="1"/>
        <v>100</v>
      </c>
      <c r="V10" s="1569" t="s">
        <v>8</v>
      </c>
      <c r="W10" s="1570">
        <f t="shared" si="2"/>
        <v>100</v>
      </c>
      <c r="X10" s="1571"/>
      <c r="Y10" s="3398"/>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52"/>
      <c r="Q11" s="1151">
        <f t="shared" si="6"/>
        <v>111</v>
      </c>
      <c r="R11" s="1569" t="s">
        <v>8</v>
      </c>
      <c r="S11" s="1570">
        <f t="shared" si="0"/>
        <v>100</v>
      </c>
      <c r="T11" s="1569" t="s">
        <v>8</v>
      </c>
      <c r="U11" s="1570">
        <f t="shared" si="1"/>
        <v>100</v>
      </c>
      <c r="V11" s="1569" t="s">
        <v>8</v>
      </c>
      <c r="W11" s="1570">
        <f t="shared" si="2"/>
        <v>100</v>
      </c>
      <c r="X11" s="1571"/>
      <c r="Y11" s="3398"/>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52"/>
      <c r="Q12" s="1151">
        <f t="shared" si="6"/>
        <v>111</v>
      </c>
      <c r="R12" s="1569" t="s">
        <v>8</v>
      </c>
      <c r="S12" s="1570">
        <f t="shared" si="0"/>
        <v>100</v>
      </c>
      <c r="T12" s="1569" t="s">
        <v>8</v>
      </c>
      <c r="U12" s="1570">
        <f t="shared" si="1"/>
        <v>100</v>
      </c>
      <c r="V12" s="1569" t="s">
        <v>8</v>
      </c>
      <c r="W12" s="1570">
        <f t="shared" si="2"/>
        <v>100</v>
      </c>
      <c r="X12" s="1571"/>
      <c r="Y12" s="3398"/>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52"/>
      <c r="Q13" s="1151">
        <f t="shared" si="6"/>
        <v>111</v>
      </c>
      <c r="R13" s="1569" t="s">
        <v>8</v>
      </c>
      <c r="S13" s="1570">
        <f t="shared" si="0"/>
        <v>100</v>
      </c>
      <c r="T13" s="1569" t="s">
        <v>8</v>
      </c>
      <c r="U13" s="1570">
        <f t="shared" si="1"/>
        <v>100</v>
      </c>
      <c r="V13" s="1569" t="s">
        <v>8</v>
      </c>
      <c r="W13" s="1570">
        <f t="shared" si="2"/>
        <v>100</v>
      </c>
      <c r="X13" s="1571"/>
      <c r="Y13" s="3398"/>
      <c r="Z13" s="1150">
        <f t="shared" si="7"/>
        <v>111</v>
      </c>
      <c r="AA13" s="1572">
        <f t="shared" si="3"/>
        <v>1</v>
      </c>
      <c r="AB13" s="1572">
        <f t="shared" si="4"/>
        <v>1</v>
      </c>
      <c r="AC13" s="1572">
        <f t="shared" si="5"/>
        <v>1</v>
      </c>
    </row>
    <row r="14" spans="1:29" ht="85.5">
      <c r="A14" s="2912"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86" t="s">
        <v>540</v>
      </c>
      <c r="Q14" s="1573" t="str">
        <f t="shared" si="6"/>
        <v>交通便捷度</v>
      </c>
      <c r="R14" s="1574" t="s">
        <v>8</v>
      </c>
      <c r="S14" s="1575">
        <f t="shared" si="0"/>
        <v>100</v>
      </c>
      <c r="T14" s="1574" t="s">
        <v>8</v>
      </c>
      <c r="U14" s="1575">
        <f t="shared" si="1"/>
        <v>100</v>
      </c>
      <c r="V14" s="1574" t="s">
        <v>8</v>
      </c>
      <c r="W14" s="1575">
        <f t="shared" si="2"/>
        <v>100</v>
      </c>
      <c r="X14" s="1568"/>
      <c r="Y14" s="3486"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87"/>
      <c r="Q15" s="1573"/>
      <c r="R15" s="1574"/>
      <c r="S15" s="1575"/>
      <c r="T15" s="1574"/>
      <c r="U15" s="1575"/>
      <c r="V15" s="1574"/>
      <c r="W15" s="1575"/>
      <c r="X15" s="1568"/>
      <c r="Y15" s="3487"/>
      <c r="Z15" s="1576"/>
      <c r="AA15" s="1577">
        <v>1</v>
      </c>
      <c r="AB15" s="1577">
        <v>1</v>
      </c>
      <c r="AC15" s="1577">
        <v>1</v>
      </c>
    </row>
    <row r="16" spans="1:29" ht="42.75">
      <c r="A16" s="515"/>
      <c r="B16" s="2605"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87"/>
      <c r="Q16" s="1573" t="str">
        <f>B16</f>
        <v>公共配套设施</v>
      </c>
      <c r="R16" s="1574" t="s">
        <v>8</v>
      </c>
      <c r="S16" s="1575">
        <f>F16</f>
        <v>100</v>
      </c>
      <c r="T16" s="1574" t="s">
        <v>8</v>
      </c>
      <c r="U16" s="1575">
        <f>H16</f>
        <v>100</v>
      </c>
      <c r="V16" s="1574" t="s">
        <v>8</v>
      </c>
      <c r="W16" s="1575">
        <f>J16</f>
        <v>100</v>
      </c>
      <c r="X16" s="1568"/>
      <c r="Y16" s="348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87"/>
      <c r="Q17" s="1573"/>
      <c r="R17" s="1574"/>
      <c r="S17" s="1575"/>
      <c r="T17" s="1574"/>
      <c r="U17" s="1575"/>
      <c r="V17" s="1574"/>
      <c r="W17" s="1575"/>
      <c r="X17" s="1568"/>
      <c r="Y17" s="3487"/>
      <c r="Z17" s="1576"/>
      <c r="AA17" s="1577">
        <v>1</v>
      </c>
      <c r="AB17" s="1577">
        <v>1</v>
      </c>
      <c r="AC17" s="1577">
        <v>1</v>
      </c>
    </row>
    <row r="18" spans="1:29" ht="28.5">
      <c r="A18" s="515"/>
      <c r="B18" s="2593"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87"/>
      <c r="Q18" s="2581" t="str">
        <f>B18</f>
        <v>基础设施水平</v>
      </c>
      <c r="R18" s="1574" t="s">
        <v>8</v>
      </c>
      <c r="S18" s="1575">
        <f>F18</f>
        <v>100</v>
      </c>
      <c r="T18" s="1574" t="s">
        <v>8</v>
      </c>
      <c r="U18" s="1575">
        <f>H18</f>
        <v>100</v>
      </c>
      <c r="V18" s="1574" t="s">
        <v>8</v>
      </c>
      <c r="W18" s="1575">
        <f>J18</f>
        <v>100</v>
      </c>
      <c r="X18" s="2583"/>
      <c r="Y18" s="3487"/>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87"/>
      <c r="Q19" s="2581"/>
      <c r="R19" s="1574"/>
      <c r="S19" s="1575"/>
      <c r="T19" s="1574"/>
      <c r="U19" s="1575"/>
      <c r="V19" s="1574"/>
      <c r="W19" s="1575"/>
      <c r="X19" s="2583"/>
      <c r="Y19" s="3487"/>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87"/>
      <c r="Q20" s="1573" t="str">
        <f>B20</f>
        <v>自然及人文环境</v>
      </c>
      <c r="R20" s="1574" t="s">
        <v>8</v>
      </c>
      <c r="S20" s="1575">
        <f>F20</f>
        <v>100</v>
      </c>
      <c r="T20" s="1574" t="s">
        <v>8</v>
      </c>
      <c r="U20" s="1575">
        <f>H20</f>
        <v>100</v>
      </c>
      <c r="V20" s="1574" t="s">
        <v>8</v>
      </c>
      <c r="W20" s="1575">
        <f>J20</f>
        <v>100</v>
      </c>
      <c r="X20" s="1568"/>
      <c r="Y20" s="348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87"/>
      <c r="Q21" s="1573"/>
      <c r="R21" s="1574"/>
      <c r="S21" s="1575"/>
      <c r="T21" s="1574"/>
      <c r="U21" s="1575"/>
      <c r="V21" s="1574"/>
      <c r="W21" s="1575"/>
      <c r="X21" s="1568"/>
      <c r="Y21" s="3487"/>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87"/>
      <c r="Q22" s="1573" t="str">
        <f>B22</f>
        <v>楼层</v>
      </c>
      <c r="R22" s="1574" t="s">
        <v>8</v>
      </c>
      <c r="S22" s="1575">
        <f>F22</f>
        <v>100</v>
      </c>
      <c r="T22" s="1574" t="s">
        <v>8</v>
      </c>
      <c r="U22" s="1575">
        <f>H22</f>
        <v>100</v>
      </c>
      <c r="V22" s="1574" t="s">
        <v>8</v>
      </c>
      <c r="W22" s="1575">
        <f>J22</f>
        <v>100</v>
      </c>
      <c r="X22" s="1568"/>
      <c r="Y22" s="348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87"/>
      <c r="Q23" s="1573">
        <f>B23</f>
        <v>111</v>
      </c>
      <c r="R23" s="1574" t="s">
        <v>8</v>
      </c>
      <c r="S23" s="1575">
        <f>F23</f>
        <v>100</v>
      </c>
      <c r="T23" s="1574" t="s">
        <v>8</v>
      </c>
      <c r="U23" s="1575">
        <f>H23</f>
        <v>100</v>
      </c>
      <c r="V23" s="1574" t="s">
        <v>8</v>
      </c>
      <c r="W23" s="1575">
        <f>J23</f>
        <v>100</v>
      </c>
      <c r="X23" s="1568"/>
      <c r="Y23" s="348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87"/>
      <c r="Q24" s="1573">
        <f t="shared" ref="Q24:Q36" si="11">B24</f>
        <v>111</v>
      </c>
      <c r="R24" s="1574" t="s">
        <v>8</v>
      </c>
      <c r="S24" s="1575">
        <f>F24</f>
        <v>100</v>
      </c>
      <c r="T24" s="1574" t="s">
        <v>8</v>
      </c>
      <c r="U24" s="1575">
        <f>H24</f>
        <v>100</v>
      </c>
      <c r="V24" s="1574" t="s">
        <v>8</v>
      </c>
      <c r="W24" s="1575">
        <f>J24</f>
        <v>100</v>
      </c>
      <c r="X24" s="1568"/>
      <c r="Y24" s="348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87"/>
      <c r="Q25" s="1151">
        <f t="shared" si="11"/>
        <v>111</v>
      </c>
      <c r="R25" s="1569" t="s">
        <v>8</v>
      </c>
      <c r="S25" s="1570">
        <f>F25</f>
        <v>100</v>
      </c>
      <c r="T25" s="1569" t="s">
        <v>8</v>
      </c>
      <c r="U25" s="1570">
        <f>H25</f>
        <v>100</v>
      </c>
      <c r="V25" s="1569" t="s">
        <v>8</v>
      </c>
      <c r="W25" s="1570">
        <f>J25</f>
        <v>100</v>
      </c>
      <c r="X25" s="1571"/>
      <c r="Y25" s="3487"/>
      <c r="Z25" s="1150">
        <f>Q25</f>
        <v>111</v>
      </c>
      <c r="AA25" s="1577">
        <f>D25/F25</f>
        <v>1</v>
      </c>
      <c r="AB25" s="1577">
        <f>D25/H25</f>
        <v>1</v>
      </c>
      <c r="AC25" s="1577">
        <f>D25/J25</f>
        <v>1</v>
      </c>
    </row>
    <row r="26" spans="1:29" ht="15">
      <c r="A26" s="2909"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88"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89"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89"/>
      <c r="Q27" s="1606" t="str">
        <f t="shared" si="11"/>
        <v>项目停车位配比</v>
      </c>
      <c r="R27" s="1578" t="s">
        <v>8</v>
      </c>
      <c r="S27" s="1579">
        <f t="shared" si="12"/>
        <v>100</v>
      </c>
      <c r="T27" s="1578" t="s">
        <v>8</v>
      </c>
      <c r="U27" s="1579">
        <f t="shared" si="13"/>
        <v>100</v>
      </c>
      <c r="V27" s="1578" t="s">
        <v>8</v>
      </c>
      <c r="W27" s="1579">
        <f t="shared" si="14"/>
        <v>100</v>
      </c>
      <c r="X27" s="1580"/>
      <c r="Y27" s="3489"/>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89"/>
      <c r="Q28" s="1573" t="str">
        <f t="shared" si="11"/>
        <v>公共部分装修</v>
      </c>
      <c r="R28" s="1574" t="s">
        <v>8</v>
      </c>
      <c r="S28" s="1575">
        <f t="shared" si="12"/>
        <v>100</v>
      </c>
      <c r="T28" s="1574" t="s">
        <v>8</v>
      </c>
      <c r="U28" s="1575">
        <f t="shared" si="13"/>
        <v>100</v>
      </c>
      <c r="V28" s="1574" t="s">
        <v>8</v>
      </c>
      <c r="W28" s="1575">
        <f t="shared" si="14"/>
        <v>100</v>
      </c>
      <c r="X28" s="1568"/>
      <c r="Y28" s="3489"/>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89"/>
      <c r="Q29" s="1573" t="str">
        <f t="shared" si="11"/>
        <v>成新率</v>
      </c>
      <c r="R29" s="1574" t="s">
        <v>8</v>
      </c>
      <c r="S29" s="1575" t="e">
        <f t="shared" si="12"/>
        <v>#N/A</v>
      </c>
      <c r="T29" s="1574" t="s">
        <v>8</v>
      </c>
      <c r="U29" s="1575" t="e">
        <f t="shared" si="13"/>
        <v>#N/A</v>
      </c>
      <c r="V29" s="1574" t="s">
        <v>8</v>
      </c>
      <c r="W29" s="1575" t="e">
        <f t="shared" si="14"/>
        <v>#N/A</v>
      </c>
      <c r="X29" s="1568"/>
      <c r="Y29" s="3489"/>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89"/>
      <c r="Q30" s="1573" t="str">
        <f t="shared" si="11"/>
        <v>物业等级</v>
      </c>
      <c r="R30" s="1574" t="s">
        <v>8</v>
      </c>
      <c r="S30" s="1575">
        <f t="shared" si="12"/>
        <v>100</v>
      </c>
      <c r="T30" s="1574" t="s">
        <v>8</v>
      </c>
      <c r="U30" s="1575">
        <f t="shared" si="13"/>
        <v>100</v>
      </c>
      <c r="V30" s="1574" t="s">
        <v>8</v>
      </c>
      <c r="W30" s="1575">
        <f t="shared" si="14"/>
        <v>100</v>
      </c>
      <c r="X30" s="1568"/>
      <c r="Y30" s="3489"/>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89"/>
      <c r="Q31" s="1151" t="str">
        <f t="shared" si="11"/>
        <v>停车位面积</v>
      </c>
      <c r="R31" s="1569" t="s">
        <v>8</v>
      </c>
      <c r="S31" s="1570" t="e">
        <f t="shared" si="12"/>
        <v>#N/A</v>
      </c>
      <c r="T31" s="1569" t="s">
        <v>8</v>
      </c>
      <c r="U31" s="1570" t="e">
        <f t="shared" si="13"/>
        <v>#N/A</v>
      </c>
      <c r="V31" s="1569" t="s">
        <v>8</v>
      </c>
      <c r="W31" s="1570" t="e">
        <f t="shared" si="14"/>
        <v>#N/A</v>
      </c>
      <c r="X31" s="1571"/>
      <c r="Y31" s="3489"/>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89" t="s">
        <v>550</v>
      </c>
      <c r="Q32" s="1573" t="str">
        <f t="shared" si="11"/>
        <v>车位类型</v>
      </c>
      <c r="R32" s="1574" t="s">
        <v>8</v>
      </c>
      <c r="S32" s="1575">
        <f t="shared" si="12"/>
        <v>100</v>
      </c>
      <c r="T32" s="1574" t="s">
        <v>8</v>
      </c>
      <c r="U32" s="1575">
        <f t="shared" si="13"/>
        <v>100</v>
      </c>
      <c r="V32" s="1574" t="s">
        <v>8</v>
      </c>
      <c r="W32" s="1575">
        <f t="shared" si="14"/>
        <v>100</v>
      </c>
      <c r="X32" s="1568"/>
      <c r="Y32" s="3489"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89"/>
      <c r="Q33" s="1573" t="str">
        <f t="shared" si="11"/>
        <v>是否直接入户</v>
      </c>
      <c r="R33" s="1574" t="s">
        <v>8</v>
      </c>
      <c r="S33" s="1575">
        <f t="shared" si="12"/>
        <v>100</v>
      </c>
      <c r="T33" s="1574" t="s">
        <v>8</v>
      </c>
      <c r="U33" s="1575">
        <f t="shared" si="13"/>
        <v>100</v>
      </c>
      <c r="V33" s="1574" t="s">
        <v>8</v>
      </c>
      <c r="W33" s="1575">
        <f t="shared" si="14"/>
        <v>100</v>
      </c>
      <c r="X33" s="1568"/>
      <c r="Y33" s="348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89"/>
      <c r="Q34" s="1573">
        <f t="shared" si="11"/>
        <v>111</v>
      </c>
      <c r="R34" s="1574" t="s">
        <v>8</v>
      </c>
      <c r="S34" s="1575">
        <f t="shared" si="12"/>
        <v>100</v>
      </c>
      <c r="T34" s="1574" t="s">
        <v>8</v>
      </c>
      <c r="U34" s="1575">
        <f t="shared" si="13"/>
        <v>100</v>
      </c>
      <c r="V34" s="1574" t="s">
        <v>8</v>
      </c>
      <c r="W34" s="1575">
        <f t="shared" si="14"/>
        <v>100</v>
      </c>
      <c r="X34" s="1568"/>
      <c r="Y34" s="348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89"/>
      <c r="Q35" s="1606">
        <f t="shared" si="11"/>
        <v>111</v>
      </c>
      <c r="R35" s="1578" t="s">
        <v>8</v>
      </c>
      <c r="S35" s="1579">
        <f t="shared" si="12"/>
        <v>100</v>
      </c>
      <c r="T35" s="1578" t="s">
        <v>8</v>
      </c>
      <c r="U35" s="1579">
        <f t="shared" si="13"/>
        <v>100</v>
      </c>
      <c r="V35" s="1578" t="s">
        <v>8</v>
      </c>
      <c r="W35" s="1579">
        <f t="shared" si="14"/>
        <v>100</v>
      </c>
      <c r="X35" s="1580"/>
      <c r="Y35" s="348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89"/>
      <c r="Q36" s="1573">
        <f t="shared" si="11"/>
        <v>111</v>
      </c>
      <c r="R36" s="1574" t="s">
        <v>8</v>
      </c>
      <c r="S36" s="1575">
        <f t="shared" si="12"/>
        <v>100</v>
      </c>
      <c r="T36" s="1574" t="s">
        <v>8</v>
      </c>
      <c r="U36" s="1575">
        <f t="shared" si="13"/>
        <v>100</v>
      </c>
      <c r="V36" s="1574" t="s">
        <v>8</v>
      </c>
      <c r="W36" s="1575">
        <f t="shared" si="14"/>
        <v>100</v>
      </c>
      <c r="X36" s="1568"/>
      <c r="Y36" s="3489"/>
      <c r="Z36" s="1576">
        <f t="shared" si="15"/>
        <v>111</v>
      </c>
      <c r="AA36" s="1577">
        <f t="shared" si="3"/>
        <v>1</v>
      </c>
      <c r="AB36" s="1577">
        <f t="shared" si="4"/>
        <v>1</v>
      </c>
      <c r="AC36" s="1577">
        <f t="shared" si="5"/>
        <v>1</v>
      </c>
    </row>
    <row r="37" spans="1:29" ht="15">
      <c r="A37" s="1848" t="s">
        <v>2080</v>
      </c>
      <c r="B37" s="1849" t="s">
        <v>2081</v>
      </c>
      <c r="C37" s="2629" t="s">
        <v>1</v>
      </c>
      <c r="D37" s="2630"/>
      <c r="E37" s="2631"/>
      <c r="F37" s="2632"/>
      <c r="G37" s="2633"/>
      <c r="H37" s="2634"/>
      <c r="I37" s="2631"/>
      <c r="J37" s="2634"/>
      <c r="K37" s="1612"/>
      <c r="L37" s="2146"/>
      <c r="M37" s="2147"/>
      <c r="N37" s="2136"/>
      <c r="O37" s="2147"/>
      <c r="P37" s="3452" t="str">
        <f>A37</f>
        <v>成交单价</v>
      </c>
      <c r="Q37" s="3452"/>
      <c r="R37" s="3566">
        <f>E37</f>
        <v>0</v>
      </c>
      <c r="S37" s="3566"/>
      <c r="T37" s="3566">
        <f>G37</f>
        <v>0</v>
      </c>
      <c r="U37" s="3566"/>
      <c r="V37" s="3566">
        <f>I37</f>
        <v>0</v>
      </c>
      <c r="W37" s="3566"/>
      <c r="X37" s="1560"/>
      <c r="Y37" s="1582"/>
      <c r="Z37" s="1560"/>
      <c r="AA37" s="1560"/>
      <c r="AB37" s="1560"/>
      <c r="AC37" s="1560"/>
    </row>
    <row r="38" spans="1:29" ht="15.75" thickBot="1">
      <c r="A38" s="615" t="s">
        <v>2763</v>
      </c>
      <c r="B38" s="888"/>
      <c r="C38" s="2635" t="e">
        <f>R39</f>
        <v>#DIV/0!</v>
      </c>
      <c r="D38" s="2636"/>
      <c r="E38" s="2637" t="e">
        <f>R38</f>
        <v>#DIV/0!</v>
      </c>
      <c r="F38" s="2637"/>
      <c r="G38" s="2635" t="e">
        <f>T38</f>
        <v>#DIV/0!</v>
      </c>
      <c r="H38" s="2636"/>
      <c r="I38" s="2637" t="e">
        <f>V38</f>
        <v>#DIV/0!</v>
      </c>
      <c r="J38" s="2636"/>
      <c r="K38" s="1613"/>
      <c r="L38" s="2146"/>
      <c r="M38" s="2147"/>
      <c r="N38" s="2147"/>
      <c r="O38" s="2147"/>
      <c r="P38" s="3452" t="str">
        <f>A38</f>
        <v>比较价格（元/平方米）</v>
      </c>
      <c r="Q38" s="3452"/>
      <c r="R38" s="3566" t="e">
        <f>IF(F1="售价",ROUND(PRODUCT(R37,AA7:AA36),0),ROUND(PRODUCT(R37,AA7:AA36),1))</f>
        <v>#DIV/0!</v>
      </c>
      <c r="S38" s="3566"/>
      <c r="T38" s="3566" t="e">
        <f>IF(F1="售价",ROUND(PRODUCT(T37,AB7:AB36),0),ROUND(PRODUCT(T37,AB7:AB36),1))</f>
        <v>#DIV/0!</v>
      </c>
      <c r="U38" s="3566"/>
      <c r="V38" s="3566" t="e">
        <f>IF(F1="售价",ROUND(PRODUCT(V37,AC7:AC36),0),ROUND(PRODUCT(V37,AC7:AC36),1))</f>
        <v>#DIV/0!</v>
      </c>
      <c r="W38" s="3566"/>
      <c r="X38" s="1560"/>
      <c r="Y38" s="1560"/>
      <c r="Z38" s="1560"/>
      <c r="AA38" s="1560"/>
      <c r="AB38" s="1560"/>
      <c r="AC38" s="1560"/>
    </row>
    <row r="39" spans="1:29" ht="15.75" thickBot="1">
      <c r="A39" s="621" t="s">
        <v>2936</v>
      </c>
      <c r="B39" s="622"/>
      <c r="C39" s="2638" t="e">
        <f>R39</f>
        <v>#DIV/0!</v>
      </c>
      <c r="D39" s="2638"/>
      <c r="E39" s="2638"/>
      <c r="F39" s="2638"/>
      <c r="G39" s="2638"/>
      <c r="H39" s="2638"/>
      <c r="I39" s="2638"/>
      <c r="J39" s="2638"/>
      <c r="K39" s="1614"/>
      <c r="L39" s="2146"/>
      <c r="M39" s="2147"/>
      <c r="N39" s="2147"/>
      <c r="O39" s="2147"/>
      <c r="P39" s="3449" t="str">
        <f>A39</f>
        <v>估价对象XX用房的比较价格（楼面单价，元/平方米）</v>
      </c>
      <c r="Q39" s="3450"/>
      <c r="R39" s="3565" t="e">
        <f>IF(F1="售价",ROUND(AVERAGE(R38:V38),0),ROUND(AVERAGE(R38:V38),1))</f>
        <v>#DIV/0!</v>
      </c>
      <c r="S39" s="3565"/>
      <c r="T39" s="3565"/>
      <c r="U39" s="3565"/>
      <c r="V39" s="3565"/>
      <c r="W39" s="3565"/>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2018-7</v>
      </c>
      <c r="D48" s="2806">
        <f>EDATE(C48,-1)</f>
        <v>43252</v>
      </c>
      <c r="E48" s="2806">
        <f t="shared" ref="E48:O48" si="16">EDATE(D48,-1)</f>
        <v>43221</v>
      </c>
      <c r="F48" s="2806">
        <f t="shared" si="16"/>
        <v>43191</v>
      </c>
      <c r="G48" s="2806">
        <f t="shared" si="16"/>
        <v>43160</v>
      </c>
      <c r="H48" s="2806">
        <f t="shared" si="16"/>
        <v>43132</v>
      </c>
      <c r="I48" s="2806">
        <f t="shared" si="16"/>
        <v>43101</v>
      </c>
      <c r="J48" s="2806">
        <f t="shared" si="16"/>
        <v>43070</v>
      </c>
      <c r="K48" s="2806">
        <f t="shared" si="16"/>
        <v>43040</v>
      </c>
      <c r="L48" s="2806">
        <f t="shared" si="16"/>
        <v>43009</v>
      </c>
      <c r="M48" s="2806">
        <f t="shared" si="16"/>
        <v>42979</v>
      </c>
      <c r="N48" s="2806">
        <f t="shared" si="16"/>
        <v>42948</v>
      </c>
      <c r="O48" s="2806">
        <f t="shared" si="16"/>
        <v>42917</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2561</v>
      </c>
      <c r="C67" s="2600" t="s">
        <v>2562</v>
      </c>
      <c r="D67" s="2600" t="s">
        <v>2563</v>
      </c>
      <c r="E67" s="2600" t="s">
        <v>2564</v>
      </c>
      <c r="F67" s="2600" t="s">
        <v>2565</v>
      </c>
      <c r="G67" s="2600" t="s">
        <v>2566</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9"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58" t="s">
        <v>798</v>
      </c>
      <c r="D4" s="3459"/>
      <c r="E4" s="3493" t="s">
        <v>799</v>
      </c>
      <c r="F4" s="3494"/>
      <c r="G4" s="3458" t="s">
        <v>800</v>
      </c>
      <c r="H4" s="3459"/>
      <c r="I4" s="3458" t="s">
        <v>801</v>
      </c>
      <c r="J4" s="3459"/>
      <c r="K4" s="514" t="s">
        <v>802</v>
      </c>
      <c r="L4" s="2135"/>
      <c r="M4" s="2136"/>
      <c r="N4" s="2136"/>
      <c r="O4" s="2136"/>
      <c r="P4" s="3460" t="s">
        <v>803</v>
      </c>
      <c r="Q4" s="3461"/>
      <c r="R4" s="3466" t="s">
        <v>799</v>
      </c>
      <c r="S4" s="3467"/>
      <c r="T4" s="3466" t="s">
        <v>800</v>
      </c>
      <c r="U4" s="3467"/>
      <c r="V4" s="3453" t="s">
        <v>801</v>
      </c>
      <c r="W4" s="3453"/>
      <c r="X4" s="1568"/>
      <c r="Y4" s="3466" t="s">
        <v>803</v>
      </c>
      <c r="Z4" s="3467"/>
      <c r="AA4" s="3455" t="s">
        <v>799</v>
      </c>
      <c r="AB4" s="3456" t="s">
        <v>800</v>
      </c>
      <c r="AC4" s="3455" t="s">
        <v>801</v>
      </c>
    </row>
    <row r="5" spans="1:29" ht="15">
      <c r="A5" s="515"/>
      <c r="B5" s="516"/>
      <c r="C5" s="3474" t="s">
        <v>2930</v>
      </c>
      <c r="D5" s="3475"/>
      <c r="E5" s="3495" t="s">
        <v>2931</v>
      </c>
      <c r="F5" s="3496"/>
      <c r="G5" s="3474" t="s">
        <v>2932</v>
      </c>
      <c r="H5" s="3475"/>
      <c r="I5" s="3474" t="s">
        <v>2933</v>
      </c>
      <c r="J5" s="3475"/>
      <c r="K5" s="514"/>
      <c r="L5" s="2135"/>
      <c r="M5" s="2136"/>
      <c r="N5" s="2136"/>
      <c r="O5" s="2136"/>
      <c r="P5" s="3462"/>
      <c r="Q5" s="3463"/>
      <c r="R5" s="3468"/>
      <c r="S5" s="3469"/>
      <c r="T5" s="3468"/>
      <c r="U5" s="3469"/>
      <c r="V5" s="3453"/>
      <c r="W5" s="3453"/>
      <c r="X5" s="1568"/>
      <c r="Y5" s="3468"/>
      <c r="Z5" s="3469"/>
      <c r="AA5" s="3456"/>
      <c r="AB5" s="3456"/>
      <c r="AC5" s="3456"/>
    </row>
    <row r="6" spans="1:29" ht="15.75" thickBot="1">
      <c r="A6" s="517"/>
      <c r="B6" s="518"/>
      <c r="C6" s="3472" t="s">
        <v>2934</v>
      </c>
      <c r="D6" s="3473"/>
      <c r="E6" s="3491" t="s">
        <v>2934</v>
      </c>
      <c r="F6" s="3492"/>
      <c r="G6" s="3472" t="s">
        <v>2934</v>
      </c>
      <c r="H6" s="3473"/>
      <c r="I6" s="3472" t="s">
        <v>2934</v>
      </c>
      <c r="J6" s="3473"/>
      <c r="K6" s="514" t="s">
        <v>528</v>
      </c>
      <c r="L6" s="2135"/>
      <c r="M6" s="2136"/>
      <c r="N6" s="2136"/>
      <c r="O6" s="2136"/>
      <c r="P6" s="3464"/>
      <c r="Q6" s="3465"/>
      <c r="R6" s="3468"/>
      <c r="S6" s="3469"/>
      <c r="T6" s="3470"/>
      <c r="U6" s="3471"/>
      <c r="V6" s="3453"/>
      <c r="W6" s="3453"/>
      <c r="X6" s="1568"/>
      <c r="Y6" s="3470"/>
      <c r="Z6" s="3471"/>
      <c r="AA6" s="3457"/>
      <c r="AB6" s="3457"/>
      <c r="AC6" s="3457"/>
    </row>
    <row r="7" spans="1:29" s="1220" customFormat="1" ht="15.75" thickBot="1">
      <c r="A7" s="2914"/>
      <c r="B7" s="2921" t="s">
        <v>529</v>
      </c>
      <c r="C7" s="519">
        <f>'数据-取费表'!B2</f>
        <v>43290</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83" t="s">
        <v>530</v>
      </c>
      <c r="Q7" s="3485"/>
      <c r="R7" s="1569" t="s">
        <v>8</v>
      </c>
      <c r="S7" s="1570">
        <f t="shared" ref="S7:S14" si="0">F7</f>
        <v>0</v>
      </c>
      <c r="T7" s="1569" t="s">
        <v>8</v>
      </c>
      <c r="U7" s="1570">
        <f t="shared" ref="U7:U14" si="1">H7</f>
        <v>0</v>
      </c>
      <c r="V7" s="1569" t="s">
        <v>8</v>
      </c>
      <c r="W7" s="1570">
        <f t="shared" ref="W7:W14" si="2">J7</f>
        <v>0</v>
      </c>
      <c r="X7" s="1571"/>
      <c r="Y7" s="3483" t="s">
        <v>530</v>
      </c>
      <c r="Z7" s="3484"/>
      <c r="AA7" s="1572" t="e">
        <f>D7/F7</f>
        <v>#DIV/0!</v>
      </c>
      <c r="AB7" s="1572" t="e">
        <f>D7/H7</f>
        <v>#DIV/0!</v>
      </c>
      <c r="AC7" s="1572" t="e">
        <f>D7/J7</f>
        <v>#DIV/0!</v>
      </c>
    </row>
    <row r="8" spans="1:29" s="1220" customFormat="1" ht="15.75" thickBot="1">
      <c r="A8" s="2915"/>
      <c r="B8" s="2922"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83" t="s">
        <v>533</v>
      </c>
      <c r="Q8" s="3484"/>
      <c r="R8" s="1569" t="s">
        <v>8</v>
      </c>
      <c r="S8" s="1570">
        <f t="shared" si="0"/>
        <v>0</v>
      </c>
      <c r="T8" s="1569" t="s">
        <v>8</v>
      </c>
      <c r="U8" s="1570">
        <f t="shared" si="1"/>
        <v>0</v>
      </c>
      <c r="V8" s="1569" t="s">
        <v>8</v>
      </c>
      <c r="W8" s="1570">
        <f t="shared" si="2"/>
        <v>0</v>
      </c>
      <c r="X8" s="1571"/>
      <c r="Y8" s="3483" t="s">
        <v>533</v>
      </c>
      <c r="Z8" s="3484"/>
      <c r="AA8" s="1572" t="e">
        <f t="shared" ref="AA8:AA34" si="3">D8/F8</f>
        <v>#DIV/0!</v>
      </c>
      <c r="AB8" s="1572" t="e">
        <f t="shared" ref="AB8:AB34" si="4">D8/H8</f>
        <v>#DIV/0!</v>
      </c>
      <c r="AC8" s="1572" t="e">
        <f t="shared" ref="AC8:AC34" si="5">D8/J8</f>
        <v>#DIV/0!</v>
      </c>
    </row>
    <row r="9" spans="1:29" s="1220" customFormat="1" ht="15">
      <c r="A9" s="2916"/>
      <c r="B9" s="2923"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52" t="s">
        <v>535</v>
      </c>
      <c r="Q9" s="1151" t="str">
        <f t="shared" ref="Q9:Q14" si="6">B9</f>
        <v>用途</v>
      </c>
      <c r="R9" s="1569" t="s">
        <v>8</v>
      </c>
      <c r="S9" s="1570">
        <f t="shared" si="0"/>
        <v>100</v>
      </c>
      <c r="T9" s="1569" t="s">
        <v>8</v>
      </c>
      <c r="U9" s="1570">
        <f t="shared" si="1"/>
        <v>100</v>
      </c>
      <c r="V9" s="1569" t="s">
        <v>8</v>
      </c>
      <c r="W9" s="1570">
        <f t="shared" si="2"/>
        <v>100</v>
      </c>
      <c r="X9" s="1571"/>
      <c r="Y9" s="3398"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52"/>
      <c r="Q10" s="1151" t="str">
        <f t="shared" si="6"/>
        <v>土地使用年限（年）</v>
      </c>
      <c r="R10" s="1569" t="s">
        <v>8</v>
      </c>
      <c r="S10" s="1570">
        <f t="shared" si="0"/>
        <v>100</v>
      </c>
      <c r="T10" s="1569" t="s">
        <v>8</v>
      </c>
      <c r="U10" s="1570">
        <f t="shared" si="1"/>
        <v>100</v>
      </c>
      <c r="V10" s="1569" t="s">
        <v>8</v>
      </c>
      <c r="W10" s="1570">
        <f t="shared" si="2"/>
        <v>100</v>
      </c>
      <c r="X10" s="1571"/>
      <c r="Y10" s="3398"/>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52"/>
      <c r="Q11" s="1151">
        <f t="shared" si="6"/>
        <v>111</v>
      </c>
      <c r="R11" s="1569" t="s">
        <v>8</v>
      </c>
      <c r="S11" s="1570">
        <f t="shared" si="0"/>
        <v>100</v>
      </c>
      <c r="T11" s="1569" t="s">
        <v>8</v>
      </c>
      <c r="U11" s="1570">
        <f t="shared" si="1"/>
        <v>100</v>
      </c>
      <c r="V11" s="1569" t="s">
        <v>8</v>
      </c>
      <c r="W11" s="1570">
        <f t="shared" si="2"/>
        <v>100</v>
      </c>
      <c r="X11" s="1571"/>
      <c r="Y11" s="3398"/>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52"/>
      <c r="Q12" s="1151">
        <f t="shared" si="6"/>
        <v>111</v>
      </c>
      <c r="R12" s="1569" t="s">
        <v>8</v>
      </c>
      <c r="S12" s="1570">
        <f t="shared" si="0"/>
        <v>100</v>
      </c>
      <c r="T12" s="1569" t="s">
        <v>8</v>
      </c>
      <c r="U12" s="1570">
        <f t="shared" si="1"/>
        <v>100</v>
      </c>
      <c r="V12" s="1569" t="s">
        <v>8</v>
      </c>
      <c r="W12" s="1570">
        <f t="shared" si="2"/>
        <v>100</v>
      </c>
      <c r="X12" s="1571"/>
      <c r="Y12" s="3398"/>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52"/>
      <c r="Q13" s="1151">
        <f t="shared" si="6"/>
        <v>111</v>
      </c>
      <c r="R13" s="1569" t="s">
        <v>8</v>
      </c>
      <c r="S13" s="1570">
        <f t="shared" si="0"/>
        <v>100</v>
      </c>
      <c r="T13" s="1569" t="s">
        <v>8</v>
      </c>
      <c r="U13" s="1570">
        <f t="shared" si="1"/>
        <v>100</v>
      </c>
      <c r="V13" s="1569" t="s">
        <v>8</v>
      </c>
      <c r="W13" s="1570">
        <f t="shared" si="2"/>
        <v>100</v>
      </c>
      <c r="X13" s="1571"/>
      <c r="Y13" s="3398"/>
      <c r="Z13" s="1150">
        <f t="shared" si="7"/>
        <v>111</v>
      </c>
      <c r="AA13" s="1572">
        <f t="shared" si="3"/>
        <v>1</v>
      </c>
      <c r="AB13" s="1572">
        <f t="shared" si="4"/>
        <v>1</v>
      </c>
      <c r="AC13" s="1572">
        <f t="shared" si="5"/>
        <v>1</v>
      </c>
    </row>
    <row r="14" spans="1:29" ht="85.5">
      <c r="A14" s="2912"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86" t="s">
        <v>540</v>
      </c>
      <c r="Q14" s="1573" t="str">
        <f t="shared" si="6"/>
        <v>交通便捷度</v>
      </c>
      <c r="R14" s="1574" t="s">
        <v>8</v>
      </c>
      <c r="S14" s="1575">
        <f t="shared" si="0"/>
        <v>100</v>
      </c>
      <c r="T14" s="1574" t="s">
        <v>8</v>
      </c>
      <c r="U14" s="1575">
        <f t="shared" si="1"/>
        <v>100</v>
      </c>
      <c r="V14" s="1574" t="s">
        <v>8</v>
      </c>
      <c r="W14" s="1575">
        <f t="shared" si="2"/>
        <v>100</v>
      </c>
      <c r="X14" s="1568"/>
      <c r="Y14" s="3486"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87"/>
      <c r="Q15" s="1573"/>
      <c r="R15" s="1574"/>
      <c r="S15" s="1575"/>
      <c r="T15" s="1574"/>
      <c r="U15" s="1575"/>
      <c r="V15" s="1574"/>
      <c r="W15" s="1575"/>
      <c r="X15" s="1568"/>
      <c r="Y15" s="3487"/>
      <c r="Z15" s="1576"/>
      <c r="AA15" s="1577">
        <v>1</v>
      </c>
      <c r="AB15" s="1577">
        <v>1</v>
      </c>
      <c r="AC15" s="1577">
        <v>1</v>
      </c>
    </row>
    <row r="16" spans="1:29" ht="42.75">
      <c r="A16" s="532"/>
      <c r="B16" s="2605"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87"/>
      <c r="Q16" s="1573" t="str">
        <f>B16</f>
        <v>公共配套设施</v>
      </c>
      <c r="R16" s="1574" t="s">
        <v>8</v>
      </c>
      <c r="S16" s="1575">
        <f>F16</f>
        <v>100</v>
      </c>
      <c r="T16" s="1574" t="s">
        <v>8</v>
      </c>
      <c r="U16" s="1575">
        <f>H16</f>
        <v>100</v>
      </c>
      <c r="V16" s="1574" t="s">
        <v>8</v>
      </c>
      <c r="W16" s="1575">
        <f>J16</f>
        <v>100</v>
      </c>
      <c r="X16" s="1568"/>
      <c r="Y16" s="348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87"/>
      <c r="Q17" s="1573"/>
      <c r="R17" s="1574"/>
      <c r="S17" s="1575"/>
      <c r="T17" s="1574"/>
      <c r="U17" s="1575"/>
      <c r="V17" s="1574"/>
      <c r="W17" s="1575"/>
      <c r="X17" s="1568"/>
      <c r="Y17" s="3487"/>
      <c r="Z17" s="1576"/>
      <c r="AA17" s="1577">
        <v>1</v>
      </c>
      <c r="AB17" s="1577">
        <v>1</v>
      </c>
      <c r="AC17" s="1577">
        <v>1</v>
      </c>
    </row>
    <row r="18" spans="1:29" ht="28.5">
      <c r="A18" s="532"/>
      <c r="B18" s="2593"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87"/>
      <c r="Q18" s="2581" t="str">
        <f>B18</f>
        <v>基础设施水平</v>
      </c>
      <c r="R18" s="1574" t="s">
        <v>8</v>
      </c>
      <c r="S18" s="1575">
        <f>F18</f>
        <v>100</v>
      </c>
      <c r="T18" s="1574" t="s">
        <v>8</v>
      </c>
      <c r="U18" s="1575">
        <f>H18</f>
        <v>100</v>
      </c>
      <c r="V18" s="1574" t="s">
        <v>8</v>
      </c>
      <c r="W18" s="1575">
        <f>J18</f>
        <v>100</v>
      </c>
      <c r="X18" s="2583"/>
      <c r="Y18" s="3487"/>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87"/>
      <c r="Q19" s="2581"/>
      <c r="R19" s="1574"/>
      <c r="S19" s="1575"/>
      <c r="T19" s="1574"/>
      <c r="U19" s="1575"/>
      <c r="V19" s="1574"/>
      <c r="W19" s="1575"/>
      <c r="X19" s="2583"/>
      <c r="Y19" s="3487"/>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87"/>
      <c r="Q20" s="1573" t="str">
        <f>B20</f>
        <v>自然及人文环境</v>
      </c>
      <c r="R20" s="1574" t="s">
        <v>8</v>
      </c>
      <c r="S20" s="1575">
        <f>F20</f>
        <v>100</v>
      </c>
      <c r="T20" s="1574" t="s">
        <v>8</v>
      </c>
      <c r="U20" s="1575">
        <f>H20</f>
        <v>100</v>
      </c>
      <c r="V20" s="1574" t="s">
        <v>8</v>
      </c>
      <c r="W20" s="1575">
        <f>J20</f>
        <v>100</v>
      </c>
      <c r="X20" s="1568"/>
      <c r="Y20" s="348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87"/>
      <c r="Q21" s="1573"/>
      <c r="R21" s="1574"/>
      <c r="S21" s="1575"/>
      <c r="T21" s="1574"/>
      <c r="U21" s="1575"/>
      <c r="V21" s="1574"/>
      <c r="W21" s="1575"/>
      <c r="X21" s="1568"/>
      <c r="Y21" s="3487"/>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87"/>
      <c r="Q22" s="1573" t="str">
        <f>B22</f>
        <v>楼层</v>
      </c>
      <c r="R22" s="1574" t="s">
        <v>8</v>
      </c>
      <c r="S22" s="1575">
        <f>F22</f>
        <v>100</v>
      </c>
      <c r="T22" s="1574" t="s">
        <v>8</v>
      </c>
      <c r="U22" s="1575">
        <f>H22</f>
        <v>100</v>
      </c>
      <c r="V22" s="1574" t="s">
        <v>8</v>
      </c>
      <c r="W22" s="1575">
        <f>J22</f>
        <v>100</v>
      </c>
      <c r="X22" s="1568"/>
      <c r="Y22" s="348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87"/>
      <c r="Q23" s="1573">
        <f>B23</f>
        <v>111</v>
      </c>
      <c r="R23" s="1574" t="s">
        <v>8</v>
      </c>
      <c r="S23" s="1575">
        <f>F23</f>
        <v>100</v>
      </c>
      <c r="T23" s="1574" t="s">
        <v>8</v>
      </c>
      <c r="U23" s="1575">
        <f>H23</f>
        <v>100</v>
      </c>
      <c r="V23" s="1574" t="s">
        <v>8</v>
      </c>
      <c r="W23" s="1575">
        <f>J23</f>
        <v>100</v>
      </c>
      <c r="X23" s="1568"/>
      <c r="Y23" s="348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87"/>
      <c r="Q24" s="1573">
        <f t="shared" ref="Q24:Q34" si="11">B24</f>
        <v>111</v>
      </c>
      <c r="R24" s="1574" t="s">
        <v>8</v>
      </c>
      <c r="S24" s="1575">
        <f>F24</f>
        <v>100</v>
      </c>
      <c r="T24" s="1574" t="s">
        <v>8</v>
      </c>
      <c r="U24" s="1575">
        <f>H24</f>
        <v>100</v>
      </c>
      <c r="V24" s="1574" t="s">
        <v>8</v>
      </c>
      <c r="W24" s="1575">
        <f>J24</f>
        <v>100</v>
      </c>
      <c r="X24" s="1568"/>
      <c r="Y24" s="348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87"/>
      <c r="Q25" s="1151">
        <f t="shared" si="11"/>
        <v>111</v>
      </c>
      <c r="R25" s="1569" t="s">
        <v>8</v>
      </c>
      <c r="S25" s="1570">
        <f>F25</f>
        <v>100</v>
      </c>
      <c r="T25" s="1569" t="s">
        <v>8</v>
      </c>
      <c r="U25" s="1570">
        <f>H25</f>
        <v>100</v>
      </c>
      <c r="V25" s="1569" t="s">
        <v>8</v>
      </c>
      <c r="W25" s="1570">
        <f>J25</f>
        <v>100</v>
      </c>
      <c r="X25" s="1571"/>
      <c r="Y25" s="3487"/>
      <c r="Z25" s="1150">
        <f>Q25</f>
        <v>111</v>
      </c>
      <c r="AA25" s="1577">
        <f>D25/F25</f>
        <v>1</v>
      </c>
      <c r="AB25" s="1577">
        <f>D25/H25</f>
        <v>1</v>
      </c>
      <c r="AC25" s="1577">
        <f>D25/J25</f>
        <v>1</v>
      </c>
    </row>
    <row r="26" spans="1:29" ht="15">
      <c r="A26" s="2909"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88"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89"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89"/>
      <c r="Q27" s="1606" t="str">
        <f t="shared" si="11"/>
        <v>成新率</v>
      </c>
      <c r="R27" s="1578" t="s">
        <v>8</v>
      </c>
      <c r="S27" s="1579" t="e">
        <f t="shared" si="12"/>
        <v>#N/A</v>
      </c>
      <c r="T27" s="1578" t="s">
        <v>8</v>
      </c>
      <c r="U27" s="1579" t="e">
        <f t="shared" si="13"/>
        <v>#N/A</v>
      </c>
      <c r="V27" s="1578" t="s">
        <v>8</v>
      </c>
      <c r="W27" s="1579" t="e">
        <f t="shared" si="14"/>
        <v>#N/A</v>
      </c>
      <c r="X27" s="1580"/>
      <c r="Y27" s="3489"/>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89"/>
      <c r="Q28" s="1573" t="str">
        <f t="shared" si="11"/>
        <v>物业等级</v>
      </c>
      <c r="R28" s="1574" t="s">
        <v>8</v>
      </c>
      <c r="S28" s="1575">
        <f t="shared" si="12"/>
        <v>100</v>
      </c>
      <c r="T28" s="1574" t="s">
        <v>8</v>
      </c>
      <c r="U28" s="1575">
        <f t="shared" si="13"/>
        <v>100</v>
      </c>
      <c r="V28" s="1574" t="s">
        <v>8</v>
      </c>
      <c r="W28" s="1575">
        <f t="shared" si="14"/>
        <v>100</v>
      </c>
      <c r="X28" s="1568"/>
      <c r="Y28" s="3489"/>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89"/>
      <c r="Q29" s="1573" t="str">
        <f t="shared" si="11"/>
        <v>有无电梯</v>
      </c>
      <c r="R29" s="1574" t="s">
        <v>8</v>
      </c>
      <c r="S29" s="1575">
        <f t="shared" si="12"/>
        <v>100</v>
      </c>
      <c r="T29" s="1574" t="s">
        <v>8</v>
      </c>
      <c r="U29" s="1575">
        <f t="shared" si="13"/>
        <v>100</v>
      </c>
      <c r="V29" s="1574" t="s">
        <v>8</v>
      </c>
      <c r="W29" s="1575">
        <f t="shared" si="14"/>
        <v>100</v>
      </c>
      <c r="X29" s="1568"/>
      <c r="Y29" s="3489"/>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89"/>
      <c r="Q30" s="1573" t="str">
        <f t="shared" si="11"/>
        <v>建筑面积</v>
      </c>
      <c r="R30" s="1574" t="s">
        <v>8</v>
      </c>
      <c r="S30" s="1575" t="e">
        <f t="shared" si="12"/>
        <v>#N/A</v>
      </c>
      <c r="T30" s="1574" t="s">
        <v>8</v>
      </c>
      <c r="U30" s="1575" t="e">
        <f t="shared" si="13"/>
        <v>#N/A</v>
      </c>
      <c r="V30" s="1574" t="s">
        <v>8</v>
      </c>
      <c r="W30" s="1575" t="e">
        <f t="shared" si="14"/>
        <v>#N/A</v>
      </c>
      <c r="X30" s="1568"/>
      <c r="Y30" s="3489"/>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89"/>
      <c r="Q31" s="1151" t="str">
        <f t="shared" si="11"/>
        <v>是否封闭</v>
      </c>
      <c r="R31" s="1569" t="s">
        <v>8</v>
      </c>
      <c r="S31" s="1570">
        <f t="shared" si="12"/>
        <v>100</v>
      </c>
      <c r="T31" s="1569" t="s">
        <v>8</v>
      </c>
      <c r="U31" s="1570">
        <f t="shared" si="13"/>
        <v>100</v>
      </c>
      <c r="V31" s="1569" t="s">
        <v>8</v>
      </c>
      <c r="W31" s="1570">
        <f t="shared" si="14"/>
        <v>100</v>
      </c>
      <c r="X31" s="1571"/>
      <c r="Y31" s="348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89" t="s">
        <v>550</v>
      </c>
      <c r="Q32" s="1573">
        <f t="shared" si="11"/>
        <v>111</v>
      </c>
      <c r="R32" s="1574" t="s">
        <v>8</v>
      </c>
      <c r="S32" s="1575">
        <f t="shared" si="12"/>
        <v>100</v>
      </c>
      <c r="T32" s="1574" t="s">
        <v>8</v>
      </c>
      <c r="U32" s="1575">
        <f t="shared" si="13"/>
        <v>100</v>
      </c>
      <c r="V32" s="1574" t="s">
        <v>8</v>
      </c>
      <c r="W32" s="1575">
        <f t="shared" si="14"/>
        <v>100</v>
      </c>
      <c r="X32" s="1568"/>
      <c r="Y32" s="3489"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89"/>
      <c r="Q33" s="1573">
        <f t="shared" si="11"/>
        <v>111</v>
      </c>
      <c r="R33" s="1574" t="s">
        <v>8</v>
      </c>
      <c r="S33" s="1575">
        <f t="shared" si="12"/>
        <v>100</v>
      </c>
      <c r="T33" s="1574" t="s">
        <v>8</v>
      </c>
      <c r="U33" s="1575">
        <f t="shared" si="13"/>
        <v>100</v>
      </c>
      <c r="V33" s="1574" t="s">
        <v>8</v>
      </c>
      <c r="W33" s="1575">
        <f t="shared" si="14"/>
        <v>100</v>
      </c>
      <c r="X33" s="1568"/>
      <c r="Y33" s="348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89"/>
      <c r="Q34" s="1573">
        <f t="shared" si="11"/>
        <v>111</v>
      </c>
      <c r="R34" s="1574" t="s">
        <v>8</v>
      </c>
      <c r="S34" s="1575">
        <f t="shared" si="12"/>
        <v>100</v>
      </c>
      <c r="T34" s="1574" t="s">
        <v>8</v>
      </c>
      <c r="U34" s="1575">
        <f t="shared" si="13"/>
        <v>100</v>
      </c>
      <c r="V34" s="1574" t="s">
        <v>8</v>
      </c>
      <c r="W34" s="1575">
        <f t="shared" si="14"/>
        <v>100</v>
      </c>
      <c r="X34" s="1568"/>
      <c r="Y34" s="3489"/>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452" t="str">
        <f>A35</f>
        <v>成交单价（元/平方米）</v>
      </c>
      <c r="Q35" s="3452"/>
      <c r="R35" s="3566">
        <f>E35</f>
        <v>0</v>
      </c>
      <c r="S35" s="3566"/>
      <c r="T35" s="3566">
        <f>G35</f>
        <v>0</v>
      </c>
      <c r="U35" s="3566"/>
      <c r="V35" s="3566">
        <f>I35</f>
        <v>0</v>
      </c>
      <c r="W35" s="3566"/>
      <c r="X35" s="1560"/>
      <c r="Y35" s="1582"/>
      <c r="Z35" s="1560"/>
      <c r="AA35" s="1560"/>
      <c r="AB35" s="1560"/>
      <c r="AC35" s="1560"/>
    </row>
    <row r="36" spans="1:29" ht="15.75" thickBot="1">
      <c r="A36" s="615" t="s">
        <v>2763</v>
      </c>
      <c r="B36" s="888"/>
      <c r="C36" s="2635" t="e">
        <f>R37</f>
        <v>#DIV/0!</v>
      </c>
      <c r="D36" s="2636"/>
      <c r="E36" s="2637" t="e">
        <f>R36</f>
        <v>#DIV/0!</v>
      </c>
      <c r="F36" s="2637"/>
      <c r="G36" s="2635" t="e">
        <f>T36</f>
        <v>#DIV/0!</v>
      </c>
      <c r="H36" s="2636"/>
      <c r="I36" s="2637" t="e">
        <f>V36</f>
        <v>#DIV/0!</v>
      </c>
      <c r="J36" s="2636"/>
      <c r="K36" s="1613"/>
      <c r="L36" s="2146"/>
      <c r="M36" s="2147"/>
      <c r="N36" s="2136"/>
      <c r="O36" s="2147"/>
      <c r="P36" s="3452" t="str">
        <f>A36</f>
        <v>比较价格（元/平方米）</v>
      </c>
      <c r="Q36" s="3452"/>
      <c r="R36" s="3566" t="e">
        <f>IF(F1="售价",ROUND(PRODUCT(R35,AA7:AA34),0),ROUND(PRODUCT(R35,AA7:AA34),1))</f>
        <v>#DIV/0!</v>
      </c>
      <c r="S36" s="3566"/>
      <c r="T36" s="3566" t="e">
        <f>IF(F1="售价",ROUND(PRODUCT(T35,AB7:AB34),0),ROUND(PRODUCT(T35,AB7:AB34),1))</f>
        <v>#DIV/0!</v>
      </c>
      <c r="U36" s="3566"/>
      <c r="V36" s="3566" t="e">
        <f>IF(F1="售价",ROUND(PRODUCT(V35,AC7:AC34),0),ROUND(PRODUCT(V35,AC7:AC34),1))</f>
        <v>#DIV/0!</v>
      </c>
      <c r="W36" s="3566"/>
      <c r="X36" s="1560"/>
      <c r="Y36" s="1560"/>
      <c r="Z36" s="1560"/>
      <c r="AA36" s="1560"/>
      <c r="AB36" s="1560"/>
      <c r="AC36" s="1560"/>
    </row>
    <row r="37" spans="1:29" ht="15.75" thickBot="1">
      <c r="A37" s="621" t="s">
        <v>2936</v>
      </c>
      <c r="B37" s="622"/>
      <c r="C37" s="2638" t="e">
        <f>R37</f>
        <v>#DIV/0!</v>
      </c>
      <c r="D37" s="2638"/>
      <c r="E37" s="2638"/>
      <c r="F37" s="2638"/>
      <c r="G37" s="2638"/>
      <c r="H37" s="2638"/>
      <c r="I37" s="2638"/>
      <c r="J37" s="2638"/>
      <c r="K37" s="1614"/>
      <c r="L37" s="2146"/>
      <c r="M37" s="2147"/>
      <c r="N37" s="2147"/>
      <c r="O37" s="2147"/>
      <c r="P37" s="3449" t="str">
        <f>A37</f>
        <v>估价对象XX用房的比较价格（楼面单价，元/平方米）</v>
      </c>
      <c r="Q37" s="3450"/>
      <c r="R37" s="3565" t="e">
        <f>IF(F1="售价",ROUND(AVERAGE(R36:V36),0),ROUND(AVERAGE(R36:V36),1))</f>
        <v>#DIV/0!</v>
      </c>
      <c r="S37" s="3565"/>
      <c r="T37" s="3565"/>
      <c r="U37" s="3565"/>
      <c r="V37" s="3565"/>
      <c r="W37" s="3565"/>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2018-7</v>
      </c>
      <c r="D46" s="2806">
        <f>EDATE(C46,-1)</f>
        <v>43252</v>
      </c>
      <c r="E46" s="2806">
        <f t="shared" ref="E46:O46" si="16">EDATE(D46,-1)</f>
        <v>43221</v>
      </c>
      <c r="F46" s="2806">
        <f t="shared" si="16"/>
        <v>43191</v>
      </c>
      <c r="G46" s="2806">
        <f t="shared" si="16"/>
        <v>43160</v>
      </c>
      <c r="H46" s="2806">
        <f t="shared" si="16"/>
        <v>43132</v>
      </c>
      <c r="I46" s="2806">
        <f t="shared" si="16"/>
        <v>43101</v>
      </c>
      <c r="J46" s="2806">
        <f t="shared" si="16"/>
        <v>43070</v>
      </c>
      <c r="K46" s="2806">
        <f t="shared" si="16"/>
        <v>43040</v>
      </c>
      <c r="L46" s="2806">
        <f t="shared" si="16"/>
        <v>43009</v>
      </c>
      <c r="M46" s="2806">
        <f t="shared" si="16"/>
        <v>42979</v>
      </c>
      <c r="N46" s="2806">
        <f t="shared" si="16"/>
        <v>42948</v>
      </c>
      <c r="O46" s="2806">
        <f t="shared" si="16"/>
        <v>42917</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2561</v>
      </c>
      <c r="C65" s="2600" t="s">
        <v>2562</v>
      </c>
      <c r="D65" s="2600" t="s">
        <v>2563</v>
      </c>
      <c r="E65" s="2600" t="s">
        <v>2564</v>
      </c>
      <c r="F65" s="2600" t="s">
        <v>2565</v>
      </c>
      <c r="G65" s="2600" t="s">
        <v>2566</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9"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北京捷宸阳光科技发展有限公司：</v>
      </c>
    </row>
    <row r="4" spans="1:4" ht="37.5">
      <c r="A4" s="1793" t="str">
        <f>"受贵公司委托，我公司对"&amp;项目基本情况!K2&amp;项目基本情况!B9&amp;"进行了预评估。"</f>
        <v>受贵公司委托，我公司对北京市通州区马驹桥镇金桥科技产业基地出让国有建设用地使用权市场价格进行了预评估。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通州区马驹桥镇金桥科技产业基地出让国有建设用地使用权。根据《国有土地使用证》[]，估价对象（分摊）出让国有建设用地使用权面积为86802.49平方米。根据《建设工程规划许可证》[]、《出让合同》[]，估价对象规划建筑面积为80808平方米。</v>
      </c>
    </row>
    <row r="7" spans="1:4" ht="93.75">
      <c r="A7" s="2875" t="s">
        <v>2751</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2018年7月9日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根据《国有土地使用证》[]，本次评估估价对象证载（地类）用途为工业。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根据《国有土地使用证》[]，估价对象（分摊）出让国有建设用地使用权面积为86802.49平方米。根据《建设工程规划许可证》[]、《出让合同》[]，估价对象规划建筑面积为80808平方米。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7"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7月9日，在规划利用条件下、设定土地开发程度为红线外“六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575" t="s">
        <v>2307</v>
      </c>
      <c r="D1" s="3576"/>
      <c r="E1" s="3576"/>
      <c r="F1" s="3576"/>
      <c r="G1" s="3576"/>
      <c r="H1" s="3576"/>
      <c r="I1" s="3576"/>
      <c r="J1" s="3576"/>
      <c r="K1" s="3576"/>
      <c r="L1" s="3576"/>
      <c r="M1" s="3576"/>
      <c r="N1" s="3576"/>
      <c r="O1" s="3576"/>
      <c r="P1" s="3576"/>
      <c r="Q1" s="3576"/>
      <c r="R1" s="3576"/>
      <c r="S1" s="3577"/>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89"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1" t="s">
        <v>2928</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1" t="s">
        <v>2927</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0"/>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89" t="s">
        <v>2940</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89"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89"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72" t="s">
        <v>20</v>
      </c>
      <c r="D22" s="3573"/>
      <c r="E22" s="3573"/>
      <c r="F22" s="3573"/>
      <c r="G22" s="3573"/>
      <c r="H22" s="3573"/>
      <c r="I22" s="3573"/>
      <c r="J22" s="3573"/>
      <c r="K22" s="3573"/>
      <c r="L22" s="3573"/>
      <c r="M22" s="3573"/>
      <c r="N22" s="3573"/>
      <c r="O22" s="3573"/>
      <c r="P22" s="3573"/>
      <c r="Q22" s="3574"/>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3"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2790</v>
      </c>
      <c r="C1" s="3006">
        <f>项目基本情况!D3</f>
        <v>43290</v>
      </c>
      <c r="H1" s="2940">
        <f>IF(C1&gt;C13,0,MATCH(C1,C$13:C$100,-1))+IF(SUMIF(C13:C100,C1,D13:D100)=0,13,12)</f>
        <v>13</v>
      </c>
      <c r="I1" s="2940">
        <f>MATCH(C2,H3:H7,1)+IF(SUMIF(H3:H7,C2,I3:I7)=0,2,1)</f>
        <v>5</v>
      </c>
      <c r="J1" s="2999">
        <f ca="1">MATCH(C3,H3:H7,1)+IF(SUMIF(H3:H7,C3,J3:J7)=0,2,1)</f>
        <v>4</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2821</v>
      </c>
      <c r="C2" s="3007">
        <f>'数据-取费表'!B22</f>
        <v>2</v>
      </c>
      <c r="D2" s="3002" t="s">
        <v>2791</v>
      </c>
      <c r="E2" s="3005">
        <f ca="1">INDIRECT("I"&amp;$I$1)/100</f>
        <v>4.7500000000000001E-2</v>
      </c>
      <c r="G2" s="2942"/>
      <c r="H2" s="2942"/>
      <c r="I2" s="2942" t="s">
        <v>2792</v>
      </c>
      <c r="K2" s="2942"/>
      <c r="L2" s="2942"/>
      <c r="M2" s="2942"/>
      <c r="N2" s="2942" t="s">
        <v>2793</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2823</v>
      </c>
      <c r="C3" s="3004">
        <f>'数据-取费表'!B19</f>
        <v>1</v>
      </c>
      <c r="D3" s="3002" t="s">
        <v>2791</v>
      </c>
      <c r="E3" s="3005">
        <f ca="1">INDIRECT("J"&amp;$J$1)/100</f>
        <v>4.3499999999999997E-2</v>
      </c>
      <c r="G3" s="2944" t="s">
        <v>2794</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2822</v>
      </c>
      <c r="C4" s="3005">
        <f ca="1">N4/100</f>
        <v>1.4999999999999999E-2</v>
      </c>
      <c r="G4" s="2950" t="s">
        <v>2795</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2796</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2797</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2798</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2799</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2800</v>
      </c>
      <c r="C10" s="2969"/>
      <c r="D10" s="2969"/>
      <c r="E10" s="2969"/>
      <c r="F10" s="2969"/>
      <c r="G10" s="2969"/>
      <c r="H10" s="2969"/>
      <c r="I10" s="2943"/>
      <c r="J10" s="2943"/>
      <c r="K10" s="2969"/>
      <c r="L10" s="2970" t="s">
        <v>2801</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2802</v>
      </c>
      <c r="C11" s="2974" t="s">
        <v>2803</v>
      </c>
      <c r="D11" s="2975" t="s">
        <v>2804</v>
      </c>
      <c r="E11" s="2976"/>
      <c r="F11" s="2975" t="s">
        <v>2805</v>
      </c>
      <c r="G11" s="2977"/>
      <c r="H11" s="2976"/>
      <c r="I11" s="2975" t="s">
        <v>2806</v>
      </c>
      <c r="J11" s="2976"/>
      <c r="K11" s="2972"/>
      <c r="L11" s="2973" t="s">
        <v>2802</v>
      </c>
      <c r="M11" s="2974" t="s">
        <v>2803</v>
      </c>
      <c r="N11" s="2973" t="s">
        <v>2807</v>
      </c>
      <c r="O11" s="2975" t="s">
        <v>2808</v>
      </c>
      <c r="P11" s="2977"/>
      <c r="Q11" s="2977"/>
      <c r="R11" s="2977"/>
      <c r="S11" s="2977"/>
      <c r="T11" s="2976"/>
      <c r="U11" s="2975" t="s">
        <v>2809</v>
      </c>
      <c r="V11" s="2977"/>
      <c r="W11" s="2976"/>
      <c r="X11" s="2973" t="s">
        <v>2810</v>
      </c>
      <c r="Y11" s="2973" t="s">
        <v>2811</v>
      </c>
      <c r="Z11" s="2973" t="s">
        <v>2812</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2813</v>
      </c>
      <c r="E12" s="2982" t="s">
        <v>2814</v>
      </c>
      <c r="F12" s="2982" t="s">
        <v>2815</v>
      </c>
      <c r="G12" s="2982" t="s">
        <v>2816</v>
      </c>
      <c r="H12" s="2982" t="s">
        <v>2798</v>
      </c>
      <c r="I12" s="2983" t="s">
        <v>2817</v>
      </c>
      <c r="J12" s="2983" t="s">
        <v>2817</v>
      </c>
      <c r="K12" s="2979"/>
      <c r="L12" s="2980"/>
      <c r="M12" s="2981"/>
      <c r="N12" s="2980"/>
      <c r="O12" s="2983" t="s">
        <v>2818</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2819</v>
      </c>
      <c r="C13" s="2987">
        <v>42301</v>
      </c>
      <c r="D13" s="2988">
        <v>4.3499999999999996</v>
      </c>
      <c r="E13" s="2988">
        <v>4.3499999999999996</v>
      </c>
      <c r="F13" s="2988">
        <v>4.75</v>
      </c>
      <c r="G13" s="2988">
        <v>4.75</v>
      </c>
      <c r="H13" s="2988">
        <v>4.9000000000000004</v>
      </c>
      <c r="I13" s="2988">
        <v>2.75</v>
      </c>
      <c r="J13" s="2988">
        <v>3.25</v>
      </c>
      <c r="K13" s="2985"/>
      <c r="L13" s="2986" t="s">
        <v>2819</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2820</v>
      </c>
      <c r="Y42" s="2992" t="s">
        <v>2820</v>
      </c>
      <c r="Z42" s="2992" t="s">
        <v>2820</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2820</v>
      </c>
      <c r="Y43" s="2992" t="s">
        <v>2820</v>
      </c>
      <c r="Z43" s="2992" t="s">
        <v>2820</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2820</v>
      </c>
      <c r="Y44" s="2992" t="s">
        <v>2820</v>
      </c>
      <c r="Z44" s="2992" t="s">
        <v>2820</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2820</v>
      </c>
      <c r="Y45" s="2992" t="s">
        <v>2820</v>
      </c>
      <c r="Z45" s="2992" t="s">
        <v>2820</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2820</v>
      </c>
      <c r="Y46" s="2992" t="s">
        <v>2820</v>
      </c>
      <c r="Z46" s="2992" t="s">
        <v>2820</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2820</v>
      </c>
      <c r="Y47" s="2992" t="s">
        <v>2820</v>
      </c>
      <c r="Z47" s="2992" t="s">
        <v>2820</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2820</v>
      </c>
      <c r="Y48" s="2992" t="s">
        <v>2820</v>
      </c>
      <c r="Z48" s="2992" t="s">
        <v>2820</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2820</v>
      </c>
      <c r="Y49" s="2992" t="s">
        <v>2820</v>
      </c>
      <c r="Z49" s="2992" t="s">
        <v>2820</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2820</v>
      </c>
      <c r="Y50" s="2992" t="s">
        <v>2820</v>
      </c>
      <c r="Z50" s="2992" t="s">
        <v>2820</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2820</v>
      </c>
      <c r="V51" s="2992" t="s">
        <v>2820</v>
      </c>
      <c r="W51" s="2992" t="s">
        <v>2820</v>
      </c>
      <c r="X51" s="2992" t="s">
        <v>2820</v>
      </c>
      <c r="Y51" s="2992" t="s">
        <v>2820</v>
      </c>
      <c r="Z51" s="2992" t="s">
        <v>2820</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2820</v>
      </c>
      <c r="J55" s="2992" t="s">
        <v>2820</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2"/>
  <sheetViews>
    <sheetView workbookViewId="0">
      <selection activeCell="C11" sqref="C11"/>
    </sheetView>
  </sheetViews>
  <sheetFormatPr defaultRowHeight="13.5"/>
  <cols>
    <col min="1" max="1" width="36.25" customWidth="1"/>
    <col min="2" max="2" width="7.25" customWidth="1"/>
    <col min="4" max="4" width="7.125" customWidth="1"/>
    <col min="5" max="5" width="7" customWidth="1"/>
    <col min="9" max="9" width="12.875" customWidth="1"/>
    <col min="31" max="31" width="12.75" customWidth="1"/>
    <col min="32" max="32" width="12.375" customWidth="1"/>
    <col min="33" max="33" width="10.5" customWidth="1"/>
    <col min="35" max="35" width="15.75" customWidth="1"/>
    <col min="36" max="36" width="14.5" customWidth="1"/>
    <col min="37" max="37" width="15" customWidth="1"/>
  </cols>
  <sheetData>
    <row r="1" spans="1:45" s="3184" customFormat="1">
      <c r="A1" s="3183" t="s">
        <v>3037</v>
      </c>
      <c r="B1" s="3183" t="s">
        <v>3038</v>
      </c>
      <c r="C1" s="3183" t="s">
        <v>3039</v>
      </c>
      <c r="D1" s="3183" t="s">
        <v>3040</v>
      </c>
      <c r="E1" s="3183" t="s">
        <v>3041</v>
      </c>
      <c r="F1" s="3183" t="s">
        <v>3042</v>
      </c>
      <c r="G1" s="3183" t="s">
        <v>3043</v>
      </c>
      <c r="H1" s="3183" t="s">
        <v>3044</v>
      </c>
      <c r="I1" s="3183" t="s">
        <v>3045</v>
      </c>
      <c r="J1" s="3183" t="s">
        <v>3046</v>
      </c>
      <c r="K1" s="3183" t="s">
        <v>3047</v>
      </c>
      <c r="L1" s="3183" t="s">
        <v>2035</v>
      </c>
      <c r="M1" s="3183" t="s">
        <v>3048</v>
      </c>
      <c r="N1" s="3183" t="s">
        <v>3049</v>
      </c>
      <c r="O1" s="3183" t="s">
        <v>3050</v>
      </c>
      <c r="P1" s="3183" t="s">
        <v>3051</v>
      </c>
      <c r="Q1" s="3183" t="s">
        <v>3052</v>
      </c>
      <c r="R1" s="3183" t="s">
        <v>3053</v>
      </c>
      <c r="S1" s="3183" t="s">
        <v>3054</v>
      </c>
      <c r="T1" s="3183" t="s">
        <v>3055</v>
      </c>
      <c r="U1" s="3183" t="s">
        <v>3056</v>
      </c>
      <c r="V1" s="3183" t="s">
        <v>3057</v>
      </c>
      <c r="W1" s="3183" t="s">
        <v>3058</v>
      </c>
      <c r="X1" s="3183" t="s">
        <v>3059</v>
      </c>
      <c r="Y1" s="3183" t="s">
        <v>3060</v>
      </c>
      <c r="Z1" s="3183" t="s">
        <v>3061</v>
      </c>
      <c r="AA1" s="3183" t="s">
        <v>3062</v>
      </c>
      <c r="AB1" s="3183" t="s">
        <v>3063</v>
      </c>
      <c r="AC1" s="3183" t="s">
        <v>3064</v>
      </c>
      <c r="AD1" s="3183" t="s">
        <v>3065</v>
      </c>
      <c r="AE1" s="3183" t="s">
        <v>3066</v>
      </c>
      <c r="AF1" s="3183" t="s">
        <v>3067</v>
      </c>
      <c r="AG1" s="3183" t="s">
        <v>3068</v>
      </c>
      <c r="AH1" s="3183" t="s">
        <v>3069</v>
      </c>
      <c r="AI1" s="3183" t="s">
        <v>3070</v>
      </c>
      <c r="AJ1" s="3183" t="s">
        <v>3071</v>
      </c>
      <c r="AK1" s="3183" t="s">
        <v>3072</v>
      </c>
      <c r="AL1" s="3183" t="s">
        <v>3073</v>
      </c>
      <c r="AM1" s="3183" t="s">
        <v>3074</v>
      </c>
      <c r="AN1" s="3183" t="s">
        <v>3075</v>
      </c>
      <c r="AO1" s="3183" t="s">
        <v>3076</v>
      </c>
      <c r="AP1" s="3183" t="s">
        <v>3077</v>
      </c>
      <c r="AQ1" s="3183" t="s">
        <v>3078</v>
      </c>
      <c r="AR1" s="3183" t="s">
        <v>3079</v>
      </c>
      <c r="AS1" s="3183"/>
    </row>
    <row r="2" spans="1:45" s="2941" customFormat="1" ht="14.25">
      <c r="A2" s="3187" t="s">
        <v>3102</v>
      </c>
      <c r="B2" s="3188" t="s">
        <v>1948</v>
      </c>
      <c r="C2" s="3188" t="s">
        <v>3022</v>
      </c>
      <c r="D2" s="3188" t="s">
        <v>3094</v>
      </c>
      <c r="E2" s="3188" t="s">
        <v>2820</v>
      </c>
      <c r="F2" s="3188" t="s">
        <v>3103</v>
      </c>
      <c r="G2" s="3188" t="s">
        <v>3082</v>
      </c>
      <c r="H2" s="3188" t="s">
        <v>3104</v>
      </c>
      <c r="I2" s="3188" t="s">
        <v>982</v>
      </c>
      <c r="J2" s="3188">
        <v>23044.5</v>
      </c>
      <c r="K2" s="3188">
        <v>46089</v>
      </c>
      <c r="L2" s="3188">
        <v>2</v>
      </c>
      <c r="M2" s="3188" t="s">
        <v>2820</v>
      </c>
      <c r="N2" s="3188" t="s">
        <v>2820</v>
      </c>
      <c r="O2" s="3188" t="s">
        <v>2820</v>
      </c>
      <c r="P2" s="3188" t="s">
        <v>2820</v>
      </c>
      <c r="Q2" s="3188" t="s">
        <v>2820</v>
      </c>
      <c r="R2" s="3188" t="s">
        <v>2820</v>
      </c>
      <c r="S2" s="3188" t="s">
        <v>2820</v>
      </c>
      <c r="T2" s="3188" t="s">
        <v>2820</v>
      </c>
      <c r="U2" s="3188" t="s">
        <v>2820</v>
      </c>
      <c r="V2" s="3188" t="s">
        <v>2820</v>
      </c>
      <c r="W2" s="3188" t="s">
        <v>3105</v>
      </c>
      <c r="X2" s="3188" t="s">
        <v>3106</v>
      </c>
      <c r="Y2" s="3188" t="s">
        <v>3107</v>
      </c>
      <c r="Z2" s="3188" t="s">
        <v>3108</v>
      </c>
      <c r="AA2" s="3188" t="s">
        <v>3108</v>
      </c>
      <c r="AB2" s="3188" t="s">
        <v>3104</v>
      </c>
      <c r="AC2" s="3188" t="s">
        <v>3089</v>
      </c>
      <c r="AD2" s="3188" t="s">
        <v>3109</v>
      </c>
      <c r="AE2" s="3188">
        <v>1000</v>
      </c>
      <c r="AF2" s="3188">
        <v>4977.6000000000004</v>
      </c>
      <c r="AG2" s="3188">
        <v>4977.6000000000004</v>
      </c>
      <c r="AH2" s="3188">
        <v>144</v>
      </c>
      <c r="AI2" s="3188">
        <v>144</v>
      </c>
      <c r="AJ2" s="3188">
        <v>1079.99</v>
      </c>
      <c r="AK2" s="3188">
        <v>1080</v>
      </c>
      <c r="AL2" s="3188" t="s">
        <v>2820</v>
      </c>
      <c r="AM2" s="3188" t="s">
        <v>2820</v>
      </c>
      <c r="AN2" s="3188">
        <v>0</v>
      </c>
      <c r="AO2" s="3188" t="s">
        <v>3091</v>
      </c>
      <c r="AP2" s="3188" t="s">
        <v>2820</v>
      </c>
      <c r="AQ2" s="3188" t="s">
        <v>2820</v>
      </c>
      <c r="AR2" s="3188" t="s">
        <v>2820</v>
      </c>
      <c r="AS2" s="3188"/>
    </row>
    <row r="3" spans="1:45" s="2941" customFormat="1">
      <c r="A3" s="3188" t="s">
        <v>3110</v>
      </c>
      <c r="B3" s="3188" t="s">
        <v>1948</v>
      </c>
      <c r="C3" s="3188" t="s">
        <v>3022</v>
      </c>
      <c r="D3" s="3188" t="s">
        <v>3111</v>
      </c>
      <c r="E3" s="3188" t="s">
        <v>2820</v>
      </c>
      <c r="F3" s="3188" t="s">
        <v>3112</v>
      </c>
      <c r="G3" s="3188" t="s">
        <v>3082</v>
      </c>
      <c r="H3" s="3188" t="s">
        <v>3113</v>
      </c>
      <c r="I3" s="3188" t="s">
        <v>3114</v>
      </c>
      <c r="J3" s="3188">
        <v>4280.58</v>
      </c>
      <c r="K3" s="3188">
        <v>3424</v>
      </c>
      <c r="L3" s="3188">
        <v>0.8</v>
      </c>
      <c r="M3" s="3188" t="s">
        <v>2820</v>
      </c>
      <c r="N3" s="3188" t="s">
        <v>2820</v>
      </c>
      <c r="O3" s="3188" t="s">
        <v>2820</v>
      </c>
      <c r="P3" s="3188" t="s">
        <v>2820</v>
      </c>
      <c r="Q3" s="3188" t="s">
        <v>2820</v>
      </c>
      <c r="R3" s="3188" t="s">
        <v>2820</v>
      </c>
      <c r="S3" s="3188" t="s">
        <v>2820</v>
      </c>
      <c r="T3" s="3188" t="s">
        <v>2820</v>
      </c>
      <c r="U3" s="3188" t="s">
        <v>2820</v>
      </c>
      <c r="V3" s="3188" t="s">
        <v>2820</v>
      </c>
      <c r="W3" s="3188" t="s">
        <v>3105</v>
      </c>
      <c r="X3" s="3188" t="s">
        <v>3115</v>
      </c>
      <c r="Y3" s="3188" t="s">
        <v>3116</v>
      </c>
      <c r="Z3" s="3188" t="s">
        <v>3117</v>
      </c>
      <c r="AA3" s="3188" t="s">
        <v>3117</v>
      </c>
      <c r="AB3" s="3188" t="s">
        <v>3113</v>
      </c>
      <c r="AC3" s="3188" t="s">
        <v>3089</v>
      </c>
      <c r="AD3" s="3188" t="s">
        <v>3118</v>
      </c>
      <c r="AE3" s="3188">
        <v>200</v>
      </c>
      <c r="AF3" s="3188">
        <v>642.09</v>
      </c>
      <c r="AG3" s="3188">
        <v>642.09</v>
      </c>
      <c r="AH3" s="3188">
        <v>100</v>
      </c>
      <c r="AI3" s="3188">
        <v>100</v>
      </c>
      <c r="AJ3" s="3188">
        <v>1875.26</v>
      </c>
      <c r="AK3" s="3188">
        <v>1875.25</v>
      </c>
      <c r="AL3" s="3188" t="s">
        <v>2820</v>
      </c>
      <c r="AM3" s="3188" t="s">
        <v>2820</v>
      </c>
      <c r="AN3" s="3188">
        <v>0</v>
      </c>
      <c r="AO3" s="3188" t="s">
        <v>3091</v>
      </c>
      <c r="AP3" s="3188" t="s">
        <v>2820</v>
      </c>
      <c r="AQ3" s="3188" t="s">
        <v>2820</v>
      </c>
      <c r="AR3" s="3188" t="s">
        <v>2820</v>
      </c>
      <c r="AS3" s="3188"/>
    </row>
    <row r="4" spans="1:45" s="2941" customFormat="1">
      <c r="A4" s="3188" t="s">
        <v>3119</v>
      </c>
      <c r="B4" s="3188" t="s">
        <v>1948</v>
      </c>
      <c r="C4" s="3188" t="s">
        <v>3022</v>
      </c>
      <c r="D4" s="3188" t="s">
        <v>3094</v>
      </c>
      <c r="E4" s="3188" t="s">
        <v>2820</v>
      </c>
      <c r="F4" s="3188" t="s">
        <v>3120</v>
      </c>
      <c r="G4" s="3188" t="s">
        <v>3082</v>
      </c>
      <c r="H4" s="3188" t="s">
        <v>3121</v>
      </c>
      <c r="I4" s="3188" t="s">
        <v>982</v>
      </c>
      <c r="J4" s="3188">
        <v>82687.360000000001</v>
      </c>
      <c r="K4" s="3188">
        <v>157106</v>
      </c>
      <c r="L4" s="3188">
        <v>1.9</v>
      </c>
      <c r="M4" s="3188" t="s">
        <v>2820</v>
      </c>
      <c r="N4" s="3188" t="s">
        <v>2820</v>
      </c>
      <c r="O4" s="3188" t="s">
        <v>2820</v>
      </c>
      <c r="P4" s="3188" t="s">
        <v>2820</v>
      </c>
      <c r="Q4" s="3188" t="s">
        <v>2820</v>
      </c>
      <c r="R4" s="3188" t="s">
        <v>2820</v>
      </c>
      <c r="S4" s="3188" t="s">
        <v>2820</v>
      </c>
      <c r="T4" s="3188" t="s">
        <v>2820</v>
      </c>
      <c r="U4" s="3188" t="s">
        <v>2820</v>
      </c>
      <c r="V4" s="3188" t="s">
        <v>2820</v>
      </c>
      <c r="W4" s="3188" t="s">
        <v>3105</v>
      </c>
      <c r="X4" s="3188" t="s">
        <v>3122</v>
      </c>
      <c r="Y4" s="3188" t="s">
        <v>3123</v>
      </c>
      <c r="Z4" s="3188" t="s">
        <v>3124</v>
      </c>
      <c r="AA4" s="3188" t="s">
        <v>3124</v>
      </c>
      <c r="AB4" s="3188" t="s">
        <v>3121</v>
      </c>
      <c r="AC4" s="3188" t="s">
        <v>3089</v>
      </c>
      <c r="AD4" s="3188" t="s">
        <v>3125</v>
      </c>
      <c r="AE4" s="3188">
        <v>3000</v>
      </c>
      <c r="AF4" s="3188">
        <v>14688.07</v>
      </c>
      <c r="AG4" s="3188">
        <v>14688.07</v>
      </c>
      <c r="AH4" s="3188">
        <v>118.42</v>
      </c>
      <c r="AI4" s="3188">
        <v>118.42</v>
      </c>
      <c r="AJ4" s="3188">
        <v>934.91</v>
      </c>
      <c r="AK4" s="3188">
        <v>934.91</v>
      </c>
      <c r="AL4" s="3188" t="s">
        <v>2820</v>
      </c>
      <c r="AM4" s="3188" t="s">
        <v>2820</v>
      </c>
      <c r="AN4" s="3188">
        <v>0</v>
      </c>
      <c r="AO4" s="3188" t="s">
        <v>3091</v>
      </c>
      <c r="AP4" s="3188" t="s">
        <v>2820</v>
      </c>
      <c r="AQ4" s="3188" t="s">
        <v>2820</v>
      </c>
      <c r="AR4" s="3188" t="s">
        <v>2820</v>
      </c>
      <c r="AS4" s="3188"/>
    </row>
    <row r="5" spans="1:45" s="2941" customFormat="1">
      <c r="A5" s="3188" t="s">
        <v>3126</v>
      </c>
      <c r="B5" s="3188" t="s">
        <v>1948</v>
      </c>
      <c r="C5" s="3188" t="s">
        <v>3022</v>
      </c>
      <c r="D5" s="3188" t="s">
        <v>3094</v>
      </c>
      <c r="E5" s="3188" t="s">
        <v>2820</v>
      </c>
      <c r="F5" s="3188" t="s">
        <v>3127</v>
      </c>
      <c r="G5" s="3188" t="s">
        <v>3082</v>
      </c>
      <c r="H5" s="3188" t="s">
        <v>3128</v>
      </c>
      <c r="I5" s="3188" t="s">
        <v>982</v>
      </c>
      <c r="J5" s="3188">
        <v>791422.1</v>
      </c>
      <c r="K5" s="3188">
        <v>1187133</v>
      </c>
      <c r="L5" s="3188">
        <v>1.5</v>
      </c>
      <c r="M5" s="3188" t="s">
        <v>2820</v>
      </c>
      <c r="N5" s="3188" t="s">
        <v>2820</v>
      </c>
      <c r="O5" s="3188" t="s">
        <v>3091</v>
      </c>
      <c r="P5" s="3188" t="s">
        <v>2820</v>
      </c>
      <c r="Q5" s="3188" t="s">
        <v>2820</v>
      </c>
      <c r="R5" s="3188" t="s">
        <v>2820</v>
      </c>
      <c r="S5" s="3188" t="s">
        <v>2820</v>
      </c>
      <c r="T5" s="3188" t="s">
        <v>2820</v>
      </c>
      <c r="U5" s="3188" t="s">
        <v>2820</v>
      </c>
      <c r="V5" s="3188" t="s">
        <v>2820</v>
      </c>
      <c r="W5" s="3188" t="s">
        <v>3105</v>
      </c>
      <c r="X5" s="3188" t="s">
        <v>3122</v>
      </c>
      <c r="Y5" s="3188" t="s">
        <v>3123</v>
      </c>
      <c r="Z5" s="3188" t="s">
        <v>3129</v>
      </c>
      <c r="AA5" s="3188" t="s">
        <v>3129</v>
      </c>
      <c r="AB5" s="3188" t="s">
        <v>3128</v>
      </c>
      <c r="AC5" s="3188" t="s">
        <v>3089</v>
      </c>
      <c r="AD5" s="3188" t="s">
        <v>3130</v>
      </c>
      <c r="AE5" s="3188">
        <v>37600</v>
      </c>
      <c r="AF5" s="3188">
        <v>187820</v>
      </c>
      <c r="AG5" s="3188">
        <v>187820</v>
      </c>
      <c r="AH5" s="3188">
        <v>158.21</v>
      </c>
      <c r="AI5" s="3188">
        <v>158.21</v>
      </c>
      <c r="AJ5" s="3188">
        <v>1582.13</v>
      </c>
      <c r="AK5" s="3188">
        <v>1582.13</v>
      </c>
      <c r="AL5" s="3188" t="s">
        <v>2820</v>
      </c>
      <c r="AM5" s="3188" t="s">
        <v>2820</v>
      </c>
      <c r="AN5" s="3188">
        <v>0</v>
      </c>
      <c r="AO5" s="3188" t="s">
        <v>2820</v>
      </c>
      <c r="AP5" s="3188" t="s">
        <v>2820</v>
      </c>
      <c r="AQ5" s="3188" t="s">
        <v>2820</v>
      </c>
      <c r="AR5" s="3188" t="s">
        <v>2820</v>
      </c>
      <c r="AS5" s="3188"/>
    </row>
    <row r="6" spans="1:45" s="2941" customFormat="1">
      <c r="A6" s="3188" t="s">
        <v>3131</v>
      </c>
      <c r="B6" s="3188" t="s">
        <v>1948</v>
      </c>
      <c r="C6" s="3188" t="s">
        <v>3022</v>
      </c>
      <c r="D6" s="3188" t="s">
        <v>3094</v>
      </c>
      <c r="E6" s="3188" t="s">
        <v>2820</v>
      </c>
      <c r="F6" s="3188" t="s">
        <v>3131</v>
      </c>
      <c r="G6" s="3188" t="s">
        <v>3082</v>
      </c>
      <c r="H6" s="3188" t="s">
        <v>3132</v>
      </c>
      <c r="I6" s="3188" t="s">
        <v>982</v>
      </c>
      <c r="J6" s="3188">
        <v>23308.3</v>
      </c>
      <c r="K6" s="3188">
        <v>34962.449999999997</v>
      </c>
      <c r="L6" s="3188">
        <v>1.5</v>
      </c>
      <c r="M6" s="3188" t="s">
        <v>2820</v>
      </c>
      <c r="N6" s="3188" t="s">
        <v>2820</v>
      </c>
      <c r="O6" s="3188" t="s">
        <v>2820</v>
      </c>
      <c r="P6" s="3188" t="s">
        <v>2820</v>
      </c>
      <c r="Q6" s="3188" t="s">
        <v>2820</v>
      </c>
      <c r="R6" s="3188" t="s">
        <v>2820</v>
      </c>
      <c r="S6" s="3188" t="s">
        <v>2820</v>
      </c>
      <c r="T6" s="3188" t="s">
        <v>2820</v>
      </c>
      <c r="U6" s="3188" t="s">
        <v>2820</v>
      </c>
      <c r="V6" s="3188" t="s">
        <v>2820</v>
      </c>
      <c r="W6" s="3188" t="s">
        <v>3085</v>
      </c>
      <c r="X6" s="3188" t="s">
        <v>3133</v>
      </c>
      <c r="Y6" s="3188" t="s">
        <v>3134</v>
      </c>
      <c r="Z6" s="3188" t="s">
        <v>3135</v>
      </c>
      <c r="AA6" s="3188" t="s">
        <v>3135</v>
      </c>
      <c r="AB6" s="3188" t="s">
        <v>3132</v>
      </c>
      <c r="AC6" s="3188" t="s">
        <v>3089</v>
      </c>
      <c r="AD6" s="3188" t="s">
        <v>3136</v>
      </c>
      <c r="AE6" s="3188">
        <v>1100</v>
      </c>
      <c r="AF6" s="3188">
        <v>5244.36</v>
      </c>
      <c r="AG6" s="3188">
        <v>5244.36</v>
      </c>
      <c r="AH6" s="3188">
        <v>150</v>
      </c>
      <c r="AI6" s="3188">
        <v>150</v>
      </c>
      <c r="AJ6" s="3188">
        <v>1500</v>
      </c>
      <c r="AK6" s="3188">
        <v>1500</v>
      </c>
      <c r="AL6" s="3188" t="s">
        <v>2820</v>
      </c>
      <c r="AM6" s="3188" t="s">
        <v>2820</v>
      </c>
      <c r="AN6" s="3188">
        <v>0</v>
      </c>
      <c r="AO6" s="3188" t="s">
        <v>3091</v>
      </c>
      <c r="AP6" s="3188" t="s">
        <v>2820</v>
      </c>
      <c r="AQ6" s="3188" t="s">
        <v>2820</v>
      </c>
      <c r="AR6" s="3188" t="s">
        <v>2820</v>
      </c>
      <c r="AS6" s="3188"/>
    </row>
    <row r="7" spans="1:45" s="3186" customFormat="1">
      <c r="A7" s="3196" t="s">
        <v>3288</v>
      </c>
      <c r="B7" s="3185" t="s">
        <v>1948</v>
      </c>
      <c r="C7" s="3185" t="s">
        <v>3022</v>
      </c>
      <c r="D7" s="3185" t="s">
        <v>3094</v>
      </c>
      <c r="E7" s="3185" t="s">
        <v>2820</v>
      </c>
      <c r="F7" s="3185" t="s">
        <v>3137</v>
      </c>
      <c r="G7" s="3185" t="s">
        <v>3082</v>
      </c>
      <c r="H7" s="3185" t="s">
        <v>3138</v>
      </c>
      <c r="I7" s="3185" t="s">
        <v>3139</v>
      </c>
      <c r="J7" s="3185">
        <v>19655.95</v>
      </c>
      <c r="K7" s="3185">
        <v>39312</v>
      </c>
      <c r="L7" s="3185">
        <v>8.3000000000000007</v>
      </c>
      <c r="M7" s="3185" t="s">
        <v>2820</v>
      </c>
      <c r="N7" s="3185" t="s">
        <v>2820</v>
      </c>
      <c r="O7" s="3185" t="s">
        <v>2820</v>
      </c>
      <c r="P7" s="3185" t="s">
        <v>2820</v>
      </c>
      <c r="Q7" s="3185" t="s">
        <v>2820</v>
      </c>
      <c r="R7" s="3185" t="s">
        <v>2820</v>
      </c>
      <c r="S7" s="3185" t="s">
        <v>2820</v>
      </c>
      <c r="T7" s="3185" t="s">
        <v>2820</v>
      </c>
      <c r="U7" s="3185" t="s">
        <v>2820</v>
      </c>
      <c r="V7" s="3185" t="s">
        <v>2820</v>
      </c>
      <c r="W7" s="3185" t="s">
        <v>3085</v>
      </c>
      <c r="X7" s="3185" t="s">
        <v>3140</v>
      </c>
      <c r="Y7" s="3185" t="s">
        <v>3141</v>
      </c>
      <c r="Z7" s="3185" t="s">
        <v>3142</v>
      </c>
      <c r="AA7" s="3185" t="s">
        <v>3142</v>
      </c>
      <c r="AB7" s="3185" t="s">
        <v>3138</v>
      </c>
      <c r="AC7" s="3185" t="s">
        <v>3089</v>
      </c>
      <c r="AD7" s="3185" t="s">
        <v>3143</v>
      </c>
      <c r="AE7" s="3185">
        <v>530</v>
      </c>
      <c r="AF7" s="3185">
        <v>2634.78</v>
      </c>
      <c r="AG7" s="3185">
        <v>2634.78</v>
      </c>
      <c r="AH7" s="3185">
        <v>89.36</v>
      </c>
      <c r="AI7" s="3185">
        <v>89.36</v>
      </c>
      <c r="AJ7" s="3185">
        <v>670.22</v>
      </c>
      <c r="AK7" s="3185">
        <v>670.22</v>
      </c>
      <c r="AL7" s="3185" t="s">
        <v>2820</v>
      </c>
      <c r="AM7" s="3185" t="s">
        <v>2820</v>
      </c>
      <c r="AN7" s="3185">
        <v>0</v>
      </c>
      <c r="AO7" s="3185" t="s">
        <v>3091</v>
      </c>
      <c r="AP7" s="3185" t="s">
        <v>2820</v>
      </c>
      <c r="AQ7" s="3185" t="s">
        <v>2820</v>
      </c>
      <c r="AR7" s="3185" t="s">
        <v>2820</v>
      </c>
      <c r="AS7" s="3185"/>
    </row>
    <row r="8" spans="1:45" s="3191" customFormat="1" ht="14.25">
      <c r="A8" s="3189" t="s">
        <v>3144</v>
      </c>
      <c r="B8" s="3190" t="s">
        <v>1948</v>
      </c>
      <c r="C8" s="3190" t="s">
        <v>3022</v>
      </c>
      <c r="D8" s="3190" t="s">
        <v>3111</v>
      </c>
      <c r="E8" s="3190" t="s">
        <v>2820</v>
      </c>
      <c r="F8" s="3190" t="s">
        <v>3145</v>
      </c>
      <c r="G8" s="3190" t="s">
        <v>3082</v>
      </c>
      <c r="H8" s="3190" t="s">
        <v>3146</v>
      </c>
      <c r="I8" s="3190" t="s">
        <v>3147</v>
      </c>
      <c r="J8" s="3190">
        <v>31386.9</v>
      </c>
      <c r="K8" s="3190">
        <v>25110</v>
      </c>
      <c r="L8" s="3190">
        <v>0.8</v>
      </c>
      <c r="M8" s="3190" t="s">
        <v>2820</v>
      </c>
      <c r="N8" s="3190" t="s">
        <v>2820</v>
      </c>
      <c r="O8" s="3190" t="s">
        <v>2820</v>
      </c>
      <c r="P8" s="3190" t="s">
        <v>2820</v>
      </c>
      <c r="Q8" s="3190" t="s">
        <v>2820</v>
      </c>
      <c r="R8" s="3190" t="s">
        <v>2820</v>
      </c>
      <c r="S8" s="3190" t="s">
        <v>2820</v>
      </c>
      <c r="T8" s="3190" t="s">
        <v>2820</v>
      </c>
      <c r="U8" s="3190" t="s">
        <v>2820</v>
      </c>
      <c r="V8" s="3190" t="s">
        <v>2820</v>
      </c>
      <c r="W8" s="3190" t="s">
        <v>3085</v>
      </c>
      <c r="X8" s="3190" t="s">
        <v>3148</v>
      </c>
      <c r="Y8" s="3190" t="s">
        <v>3149</v>
      </c>
      <c r="Z8" s="3190" t="s">
        <v>3150</v>
      </c>
      <c r="AA8" s="3190" t="s">
        <v>3150</v>
      </c>
      <c r="AB8" s="3190" t="s">
        <v>3146</v>
      </c>
      <c r="AC8" s="3190" t="s">
        <v>3089</v>
      </c>
      <c r="AD8" s="3190" t="s">
        <v>3151</v>
      </c>
      <c r="AE8" s="3190">
        <v>3500</v>
      </c>
      <c r="AF8" s="3190">
        <v>11547.52</v>
      </c>
      <c r="AG8" s="3190">
        <v>11547.52</v>
      </c>
      <c r="AH8" s="3190">
        <v>245.27</v>
      </c>
      <c r="AI8" s="3190">
        <v>245.27</v>
      </c>
      <c r="AJ8" s="3190">
        <v>4598.7700000000004</v>
      </c>
      <c r="AK8" s="3190">
        <v>4598.7700000000004</v>
      </c>
      <c r="AL8" s="3190" t="s">
        <v>2820</v>
      </c>
      <c r="AM8" s="3190" t="s">
        <v>2820</v>
      </c>
      <c r="AN8" s="3190">
        <v>0</v>
      </c>
      <c r="AO8" s="3190" t="s">
        <v>3091</v>
      </c>
      <c r="AP8" s="3190" t="s">
        <v>2820</v>
      </c>
      <c r="AQ8" s="3190" t="s">
        <v>2820</v>
      </c>
      <c r="AR8" s="3190" t="s">
        <v>2820</v>
      </c>
      <c r="AS8" s="3190"/>
    </row>
    <row r="9" spans="1:45" s="3191" customFormat="1" ht="14.25">
      <c r="A9" s="3189" t="s">
        <v>3152</v>
      </c>
      <c r="B9" s="3190" t="s">
        <v>1948</v>
      </c>
      <c r="C9" s="3190" t="s">
        <v>3022</v>
      </c>
      <c r="D9" s="3190" t="s">
        <v>3111</v>
      </c>
      <c r="E9" s="3190" t="s">
        <v>2820</v>
      </c>
      <c r="F9" s="3190" t="s">
        <v>3153</v>
      </c>
      <c r="G9" s="3190" t="s">
        <v>3082</v>
      </c>
      <c r="H9" s="3190" t="s">
        <v>3154</v>
      </c>
      <c r="I9" s="3190" t="s">
        <v>3147</v>
      </c>
      <c r="J9" s="3190">
        <v>45231.1</v>
      </c>
      <c r="K9" s="3190">
        <v>36185</v>
      </c>
      <c r="L9" s="3190">
        <v>0.8</v>
      </c>
      <c r="M9" s="3190" t="s">
        <v>2820</v>
      </c>
      <c r="N9" s="3190" t="s">
        <v>2820</v>
      </c>
      <c r="O9" s="3190" t="s">
        <v>2820</v>
      </c>
      <c r="P9" s="3190" t="s">
        <v>2820</v>
      </c>
      <c r="Q9" s="3190" t="s">
        <v>2820</v>
      </c>
      <c r="R9" s="3190" t="s">
        <v>2820</v>
      </c>
      <c r="S9" s="3190" t="s">
        <v>2820</v>
      </c>
      <c r="T9" s="3190" t="s">
        <v>2820</v>
      </c>
      <c r="U9" s="3190" t="s">
        <v>2820</v>
      </c>
      <c r="V9" s="3190" t="s">
        <v>2820</v>
      </c>
      <c r="W9" s="3190" t="s">
        <v>3085</v>
      </c>
      <c r="X9" s="3190" t="s">
        <v>3148</v>
      </c>
      <c r="Y9" s="3190" t="s">
        <v>3149</v>
      </c>
      <c r="Z9" s="3190" t="s">
        <v>3155</v>
      </c>
      <c r="AA9" s="3190" t="s">
        <v>3155</v>
      </c>
      <c r="AB9" s="3190" t="s">
        <v>3154</v>
      </c>
      <c r="AC9" s="3190" t="s">
        <v>3089</v>
      </c>
      <c r="AD9" s="3190" t="s">
        <v>3156</v>
      </c>
      <c r="AE9" s="3190">
        <v>4200</v>
      </c>
      <c r="AF9" s="3190">
        <v>13943.25</v>
      </c>
      <c r="AG9" s="3190">
        <v>13943.25</v>
      </c>
      <c r="AH9" s="3190">
        <v>205.51</v>
      </c>
      <c r="AI9" s="3190">
        <v>205.51</v>
      </c>
      <c r="AJ9" s="3190">
        <v>3853.32</v>
      </c>
      <c r="AK9" s="3190">
        <v>3853.32</v>
      </c>
      <c r="AL9" s="3190" t="s">
        <v>2820</v>
      </c>
      <c r="AM9" s="3190" t="s">
        <v>2820</v>
      </c>
      <c r="AN9" s="3190">
        <v>0</v>
      </c>
      <c r="AO9" s="3190" t="s">
        <v>3091</v>
      </c>
      <c r="AP9" s="3190" t="s">
        <v>2820</v>
      </c>
      <c r="AQ9" s="3190" t="s">
        <v>2820</v>
      </c>
      <c r="AR9" s="3190" t="s">
        <v>2820</v>
      </c>
      <c r="AS9" s="3190"/>
    </row>
    <row r="10" spans="1:45" s="3191" customFormat="1">
      <c r="A10" s="3190" t="s">
        <v>3157</v>
      </c>
      <c r="B10" s="3190" t="s">
        <v>1948</v>
      </c>
      <c r="C10" s="3190" t="s">
        <v>3022</v>
      </c>
      <c r="D10" s="3190" t="s">
        <v>3111</v>
      </c>
      <c r="E10" s="3190" t="s">
        <v>2820</v>
      </c>
      <c r="F10" s="3190" t="s">
        <v>3158</v>
      </c>
      <c r="G10" s="3190" t="s">
        <v>3082</v>
      </c>
      <c r="H10" s="3190" t="s">
        <v>3159</v>
      </c>
      <c r="I10" s="3190" t="s">
        <v>3114</v>
      </c>
      <c r="J10" s="3190">
        <v>401615.3</v>
      </c>
      <c r="K10" s="3190">
        <v>401615</v>
      </c>
      <c r="L10" s="3190">
        <v>1</v>
      </c>
      <c r="M10" s="3190" t="s">
        <v>2820</v>
      </c>
      <c r="N10" s="3190" t="s">
        <v>2820</v>
      </c>
      <c r="O10" s="3190" t="s">
        <v>2820</v>
      </c>
      <c r="P10" s="3190" t="s">
        <v>2820</v>
      </c>
      <c r="Q10" s="3190" t="s">
        <v>2820</v>
      </c>
      <c r="R10" s="3190" t="s">
        <v>2820</v>
      </c>
      <c r="S10" s="3190" t="s">
        <v>2820</v>
      </c>
      <c r="T10" s="3190" t="s">
        <v>2820</v>
      </c>
      <c r="U10" s="3190" t="s">
        <v>2820</v>
      </c>
      <c r="V10" s="3190" t="s">
        <v>2820</v>
      </c>
      <c r="W10" s="3190" t="s">
        <v>3085</v>
      </c>
      <c r="X10" s="3190" t="s">
        <v>3148</v>
      </c>
      <c r="Y10" s="3190" t="s">
        <v>3149</v>
      </c>
      <c r="Z10" s="3190" t="s">
        <v>3155</v>
      </c>
      <c r="AA10" s="3190" t="s">
        <v>3155</v>
      </c>
      <c r="AB10" s="3190" t="s">
        <v>3159</v>
      </c>
      <c r="AC10" s="3190" t="s">
        <v>3089</v>
      </c>
      <c r="AD10" s="3190" t="s">
        <v>3160</v>
      </c>
      <c r="AE10" s="3190">
        <v>32800</v>
      </c>
      <c r="AF10" s="3190">
        <v>109378.8</v>
      </c>
      <c r="AG10" s="3190">
        <v>109378.8</v>
      </c>
      <c r="AH10" s="3190">
        <v>181.56</v>
      </c>
      <c r="AI10" s="3190">
        <v>181.56</v>
      </c>
      <c r="AJ10" s="3190">
        <v>2723.47</v>
      </c>
      <c r="AK10" s="3190">
        <v>2723.46</v>
      </c>
      <c r="AL10" s="3190" t="s">
        <v>2820</v>
      </c>
      <c r="AM10" s="3190" t="s">
        <v>2820</v>
      </c>
      <c r="AN10" s="3190">
        <v>0</v>
      </c>
      <c r="AO10" s="3190" t="s">
        <v>3091</v>
      </c>
      <c r="AP10" s="3190" t="s">
        <v>2820</v>
      </c>
      <c r="AQ10" s="3190" t="s">
        <v>2820</v>
      </c>
      <c r="AR10" s="3190" t="s">
        <v>2820</v>
      </c>
      <c r="AS10" s="3190"/>
    </row>
    <row r="11" spans="1:45" s="2941" customFormat="1">
      <c r="A11" s="3188" t="s">
        <v>3161</v>
      </c>
      <c r="B11" s="3188" t="s">
        <v>1948</v>
      </c>
      <c r="C11" s="3188" t="s">
        <v>3022</v>
      </c>
      <c r="D11" s="3188" t="s">
        <v>3094</v>
      </c>
      <c r="E11" s="3188" t="s">
        <v>2820</v>
      </c>
      <c r="F11" s="3188" t="s">
        <v>3161</v>
      </c>
      <c r="G11" s="3188" t="s">
        <v>3082</v>
      </c>
      <c r="H11" s="3188" t="s">
        <v>3162</v>
      </c>
      <c r="I11" s="3188" t="s">
        <v>3022</v>
      </c>
      <c r="J11" s="3188">
        <v>72743.12</v>
      </c>
      <c r="K11" s="3188">
        <v>109114.7</v>
      </c>
      <c r="L11" s="3188" t="s">
        <v>3163</v>
      </c>
      <c r="M11" s="3188" t="s">
        <v>2820</v>
      </c>
      <c r="N11" s="3188" t="s">
        <v>2820</v>
      </c>
      <c r="O11" s="3188" t="s">
        <v>2820</v>
      </c>
      <c r="P11" s="3188" t="s">
        <v>2820</v>
      </c>
      <c r="Q11" s="3188" t="s">
        <v>2820</v>
      </c>
      <c r="R11" s="3188" t="s">
        <v>2820</v>
      </c>
      <c r="S11" s="3188" t="s">
        <v>2820</v>
      </c>
      <c r="T11" s="3188" t="s">
        <v>2820</v>
      </c>
      <c r="U11" s="3188" t="s">
        <v>2820</v>
      </c>
      <c r="V11" s="3188" t="s">
        <v>2820</v>
      </c>
      <c r="W11" s="3188" t="s">
        <v>3085</v>
      </c>
      <c r="X11" s="3188" t="s">
        <v>3164</v>
      </c>
      <c r="Y11" s="3188" t="s">
        <v>3165</v>
      </c>
      <c r="Z11" s="3188" t="s">
        <v>3166</v>
      </c>
      <c r="AA11" s="3188" t="s">
        <v>3166</v>
      </c>
      <c r="AB11" s="3188" t="s">
        <v>3162</v>
      </c>
      <c r="AC11" s="3188" t="s">
        <v>3089</v>
      </c>
      <c r="AD11" s="3188" t="s">
        <v>3167</v>
      </c>
      <c r="AE11" s="3188">
        <v>2400</v>
      </c>
      <c r="AF11" s="3188">
        <v>11784.38</v>
      </c>
      <c r="AG11" s="3188">
        <v>11784.38</v>
      </c>
      <c r="AH11" s="3188">
        <v>108</v>
      </c>
      <c r="AI11" s="3188">
        <v>108</v>
      </c>
      <c r="AJ11" s="3188">
        <v>1080</v>
      </c>
      <c r="AK11" s="3188">
        <v>1080</v>
      </c>
      <c r="AL11" s="3188" t="s">
        <v>2820</v>
      </c>
      <c r="AM11" s="3188" t="s">
        <v>2820</v>
      </c>
      <c r="AN11" s="3188">
        <v>0</v>
      </c>
      <c r="AO11" s="3188" t="s">
        <v>3091</v>
      </c>
      <c r="AP11" s="3188" t="s">
        <v>2820</v>
      </c>
      <c r="AQ11" s="3188" t="s">
        <v>2820</v>
      </c>
      <c r="AR11" s="3188" t="s">
        <v>2820</v>
      </c>
      <c r="AS11" s="3188"/>
    </row>
    <row r="12" spans="1:45" s="2941" customFormat="1">
      <c r="A12" s="3188" t="s">
        <v>3168</v>
      </c>
      <c r="B12" s="3188" t="s">
        <v>1948</v>
      </c>
      <c r="C12" s="3188" t="s">
        <v>3022</v>
      </c>
      <c r="D12" s="3188" t="s">
        <v>3094</v>
      </c>
      <c r="E12" s="3188" t="s">
        <v>2820</v>
      </c>
      <c r="F12" s="3188" t="s">
        <v>3168</v>
      </c>
      <c r="G12" s="3188" t="s">
        <v>3082</v>
      </c>
      <c r="H12" s="3188" t="s">
        <v>3169</v>
      </c>
      <c r="I12" s="3188" t="s">
        <v>3022</v>
      </c>
      <c r="J12" s="3188">
        <v>20000.599999999999</v>
      </c>
      <c r="K12" s="3188">
        <v>30000.9</v>
      </c>
      <c r="L12" s="3188" t="s">
        <v>3170</v>
      </c>
      <c r="M12" s="3188" t="s">
        <v>2820</v>
      </c>
      <c r="N12" s="3188" t="s">
        <v>2820</v>
      </c>
      <c r="O12" s="3188" t="s">
        <v>2820</v>
      </c>
      <c r="P12" s="3188" t="s">
        <v>2820</v>
      </c>
      <c r="Q12" s="3188" t="s">
        <v>2820</v>
      </c>
      <c r="R12" s="3188" t="s">
        <v>2820</v>
      </c>
      <c r="S12" s="3188" t="s">
        <v>2820</v>
      </c>
      <c r="T12" s="3188" t="s">
        <v>2820</v>
      </c>
      <c r="U12" s="3188" t="s">
        <v>2820</v>
      </c>
      <c r="V12" s="3188" t="s">
        <v>2820</v>
      </c>
      <c r="W12" s="3188" t="s">
        <v>3085</v>
      </c>
      <c r="X12" s="3188" t="s">
        <v>3164</v>
      </c>
      <c r="Y12" s="3188" t="s">
        <v>3165</v>
      </c>
      <c r="Z12" s="3188" t="s">
        <v>3166</v>
      </c>
      <c r="AA12" s="3188" t="s">
        <v>3166</v>
      </c>
      <c r="AB12" s="3188" t="s">
        <v>3169</v>
      </c>
      <c r="AC12" s="3188" t="s">
        <v>3089</v>
      </c>
      <c r="AD12" s="3188" t="s">
        <v>3171</v>
      </c>
      <c r="AE12" s="3188">
        <v>650</v>
      </c>
      <c r="AF12" s="3188">
        <v>3240.09</v>
      </c>
      <c r="AG12" s="3188">
        <v>3240.09</v>
      </c>
      <c r="AH12" s="3188">
        <v>108</v>
      </c>
      <c r="AI12" s="3188">
        <v>108</v>
      </c>
      <c r="AJ12" s="3188">
        <v>1080</v>
      </c>
      <c r="AK12" s="3188">
        <v>1080</v>
      </c>
      <c r="AL12" s="3188" t="s">
        <v>2820</v>
      </c>
      <c r="AM12" s="3188" t="s">
        <v>2820</v>
      </c>
      <c r="AN12" s="3188">
        <v>0</v>
      </c>
      <c r="AO12" s="3188" t="s">
        <v>3091</v>
      </c>
      <c r="AP12" s="3188" t="s">
        <v>2820</v>
      </c>
      <c r="AQ12" s="3188" t="s">
        <v>2820</v>
      </c>
      <c r="AR12" s="3188" t="s">
        <v>2820</v>
      </c>
      <c r="AS12" s="3188"/>
    </row>
    <row r="13" spans="1:45" s="2941" customFormat="1">
      <c r="A13" s="3188" t="s">
        <v>3172</v>
      </c>
      <c r="B13" s="3188" t="s">
        <v>1948</v>
      </c>
      <c r="C13" s="3188" t="s">
        <v>3022</v>
      </c>
      <c r="D13" s="3188" t="s">
        <v>3173</v>
      </c>
      <c r="E13" s="3188" t="s">
        <v>2820</v>
      </c>
      <c r="F13" s="3188" t="s">
        <v>3174</v>
      </c>
      <c r="G13" s="3188" t="s">
        <v>3082</v>
      </c>
      <c r="H13" s="3188" t="s">
        <v>3175</v>
      </c>
      <c r="I13" s="3188" t="s">
        <v>3176</v>
      </c>
      <c r="J13" s="3188">
        <v>55333.599999999999</v>
      </c>
      <c r="K13" s="3188">
        <v>66400</v>
      </c>
      <c r="L13" s="3188" t="s">
        <v>3177</v>
      </c>
      <c r="M13" s="3188" t="s">
        <v>2820</v>
      </c>
      <c r="N13" s="3188" t="s">
        <v>2820</v>
      </c>
      <c r="O13" s="3188" t="s">
        <v>2820</v>
      </c>
      <c r="P13" s="3188" t="s">
        <v>2820</v>
      </c>
      <c r="Q13" s="3188" t="s">
        <v>2820</v>
      </c>
      <c r="R13" s="3188" t="s">
        <v>2820</v>
      </c>
      <c r="S13" s="3188" t="s">
        <v>2820</v>
      </c>
      <c r="T13" s="3188" t="s">
        <v>2820</v>
      </c>
      <c r="U13" s="3188" t="s">
        <v>2820</v>
      </c>
      <c r="V13" s="3188" t="s">
        <v>2820</v>
      </c>
      <c r="W13" s="3188" t="s">
        <v>3085</v>
      </c>
      <c r="X13" s="3188" t="s">
        <v>3164</v>
      </c>
      <c r="Y13" s="3188" t="s">
        <v>3165</v>
      </c>
      <c r="Z13" s="3188" t="s">
        <v>3166</v>
      </c>
      <c r="AA13" s="3188" t="s">
        <v>3166</v>
      </c>
      <c r="AB13" s="3188" t="s">
        <v>3175</v>
      </c>
      <c r="AC13" s="3188" t="s">
        <v>3089</v>
      </c>
      <c r="AD13" s="3188" t="s">
        <v>3178</v>
      </c>
      <c r="AE13" s="3188">
        <v>2000</v>
      </c>
      <c r="AF13" s="3188">
        <v>9634</v>
      </c>
      <c r="AG13" s="3188">
        <v>9634</v>
      </c>
      <c r="AH13" s="3188">
        <v>116.07</v>
      </c>
      <c r="AI13" s="3188">
        <v>116.07</v>
      </c>
      <c r="AJ13" s="3188">
        <v>1450.9</v>
      </c>
      <c r="AK13" s="3188">
        <v>1450.9</v>
      </c>
      <c r="AL13" s="3188" t="s">
        <v>2820</v>
      </c>
      <c r="AM13" s="3188" t="s">
        <v>2820</v>
      </c>
      <c r="AN13" s="3188">
        <v>0</v>
      </c>
      <c r="AO13" s="3188" t="s">
        <v>3091</v>
      </c>
      <c r="AP13" s="3188" t="s">
        <v>2820</v>
      </c>
      <c r="AQ13" s="3188" t="s">
        <v>2820</v>
      </c>
      <c r="AR13" s="3188" t="s">
        <v>2820</v>
      </c>
      <c r="AS13" s="3188"/>
    </row>
    <row r="14" spans="1:45" s="2941" customFormat="1">
      <c r="A14" s="3188" t="s">
        <v>3179</v>
      </c>
      <c r="B14" s="3188" t="s">
        <v>1948</v>
      </c>
      <c r="C14" s="3188" t="s">
        <v>3022</v>
      </c>
      <c r="D14" s="3188" t="s">
        <v>3094</v>
      </c>
      <c r="E14" s="3188" t="s">
        <v>2820</v>
      </c>
      <c r="F14" s="3188" t="s">
        <v>3179</v>
      </c>
      <c r="G14" s="3188" t="s">
        <v>3082</v>
      </c>
      <c r="H14" s="3188" t="s">
        <v>3180</v>
      </c>
      <c r="I14" s="3188" t="s">
        <v>3022</v>
      </c>
      <c r="J14" s="3188">
        <v>34726.1</v>
      </c>
      <c r="K14" s="3188">
        <v>52089.15</v>
      </c>
      <c r="L14" s="3188" t="s">
        <v>3163</v>
      </c>
      <c r="M14" s="3188" t="s">
        <v>2820</v>
      </c>
      <c r="N14" s="3188" t="s">
        <v>2820</v>
      </c>
      <c r="O14" s="3188" t="s">
        <v>2820</v>
      </c>
      <c r="P14" s="3188" t="s">
        <v>2820</v>
      </c>
      <c r="Q14" s="3188" t="s">
        <v>2820</v>
      </c>
      <c r="R14" s="3188" t="s">
        <v>2820</v>
      </c>
      <c r="S14" s="3188" t="s">
        <v>2820</v>
      </c>
      <c r="T14" s="3188" t="s">
        <v>2820</v>
      </c>
      <c r="U14" s="3188" t="s">
        <v>2820</v>
      </c>
      <c r="V14" s="3188" t="s">
        <v>2820</v>
      </c>
      <c r="W14" s="3188" t="s">
        <v>3085</v>
      </c>
      <c r="X14" s="3188" t="s">
        <v>3181</v>
      </c>
      <c r="Y14" s="3188" t="s">
        <v>3182</v>
      </c>
      <c r="Z14" s="3188" t="s">
        <v>3183</v>
      </c>
      <c r="AA14" s="3188" t="s">
        <v>3183</v>
      </c>
      <c r="AB14" s="3188" t="s">
        <v>3180</v>
      </c>
      <c r="AC14" s="3188" t="s">
        <v>3089</v>
      </c>
      <c r="AD14" s="3188" t="s">
        <v>3184</v>
      </c>
      <c r="AE14" s="3188">
        <v>1200</v>
      </c>
      <c r="AF14" s="3188">
        <v>5625.63</v>
      </c>
      <c r="AG14" s="3188">
        <v>5625.63</v>
      </c>
      <c r="AH14" s="3188">
        <v>108</v>
      </c>
      <c r="AI14" s="3188">
        <v>108</v>
      </c>
      <c r="AJ14" s="3188">
        <v>1080</v>
      </c>
      <c r="AK14" s="3188">
        <v>1080</v>
      </c>
      <c r="AL14" s="3188" t="s">
        <v>2820</v>
      </c>
      <c r="AM14" s="3188" t="s">
        <v>2820</v>
      </c>
      <c r="AN14" s="3188">
        <v>0</v>
      </c>
      <c r="AO14" s="3188" t="s">
        <v>3091</v>
      </c>
      <c r="AP14" s="3188" t="s">
        <v>2820</v>
      </c>
      <c r="AQ14" s="3188" t="s">
        <v>2820</v>
      </c>
      <c r="AR14" s="3188" t="s">
        <v>2820</v>
      </c>
      <c r="AS14" s="3188"/>
    </row>
    <row r="15" spans="1:45" s="2941" customFormat="1">
      <c r="A15" s="3188" t="s">
        <v>3185</v>
      </c>
      <c r="B15" s="3188" t="s">
        <v>1948</v>
      </c>
      <c r="C15" s="3188" t="s">
        <v>3022</v>
      </c>
      <c r="D15" s="3188" t="s">
        <v>3173</v>
      </c>
      <c r="E15" s="3188" t="s">
        <v>2820</v>
      </c>
      <c r="F15" s="3188" t="s">
        <v>3186</v>
      </c>
      <c r="G15" s="3188" t="s">
        <v>3082</v>
      </c>
      <c r="H15" s="3188" t="s">
        <v>3187</v>
      </c>
      <c r="I15" s="3188" t="s">
        <v>3114</v>
      </c>
      <c r="J15" s="3188">
        <v>32779.72</v>
      </c>
      <c r="K15" s="3188">
        <v>39335.660000000003</v>
      </c>
      <c r="L15" s="3188" t="s">
        <v>3177</v>
      </c>
      <c r="M15" s="3188" t="s">
        <v>2820</v>
      </c>
      <c r="N15" s="3188" t="s">
        <v>2820</v>
      </c>
      <c r="O15" s="3188" t="s">
        <v>2820</v>
      </c>
      <c r="P15" s="3188" t="s">
        <v>2820</v>
      </c>
      <c r="Q15" s="3188" t="s">
        <v>2820</v>
      </c>
      <c r="R15" s="3188" t="s">
        <v>2820</v>
      </c>
      <c r="S15" s="3188" t="s">
        <v>2820</v>
      </c>
      <c r="T15" s="3188" t="s">
        <v>2820</v>
      </c>
      <c r="U15" s="3188" t="s">
        <v>2820</v>
      </c>
      <c r="V15" s="3188" t="s">
        <v>2820</v>
      </c>
      <c r="W15" s="3188" t="s">
        <v>3085</v>
      </c>
      <c r="X15" s="3188" t="s">
        <v>3188</v>
      </c>
      <c r="Y15" s="3188" t="s">
        <v>3189</v>
      </c>
      <c r="Z15" s="3188" t="s">
        <v>3190</v>
      </c>
      <c r="AA15" s="3188" t="s">
        <v>3190</v>
      </c>
      <c r="AB15" s="3188" t="s">
        <v>3187</v>
      </c>
      <c r="AC15" s="3188" t="s">
        <v>3089</v>
      </c>
      <c r="AD15" s="3188" t="s">
        <v>3191</v>
      </c>
      <c r="AE15" s="3188">
        <v>900</v>
      </c>
      <c r="AF15" s="3188">
        <v>4456</v>
      </c>
      <c r="AG15" s="3188">
        <v>4456</v>
      </c>
      <c r="AH15" s="3188">
        <v>90.63</v>
      </c>
      <c r="AI15" s="3188">
        <v>90.63</v>
      </c>
      <c r="AJ15" s="3188">
        <v>1132.81</v>
      </c>
      <c r="AK15" s="3188">
        <v>1132.8</v>
      </c>
      <c r="AL15" s="3188" t="s">
        <v>2820</v>
      </c>
      <c r="AM15" s="3188" t="s">
        <v>2820</v>
      </c>
      <c r="AN15" s="3188">
        <v>0</v>
      </c>
      <c r="AO15" s="3188" t="s">
        <v>3091</v>
      </c>
      <c r="AP15" s="3188" t="s">
        <v>2820</v>
      </c>
      <c r="AQ15" s="3188" t="s">
        <v>2820</v>
      </c>
      <c r="AR15" s="3188" t="s">
        <v>2820</v>
      </c>
      <c r="AS15" s="3188"/>
    </row>
    <row r="16" spans="1:45" s="2941" customFormat="1">
      <c r="A16" s="3188" t="s">
        <v>3192</v>
      </c>
      <c r="B16" s="3188" t="s">
        <v>1948</v>
      </c>
      <c r="C16" s="3188" t="s">
        <v>3022</v>
      </c>
      <c r="D16" s="3188" t="s">
        <v>3173</v>
      </c>
      <c r="E16" s="3188" t="s">
        <v>2820</v>
      </c>
      <c r="F16" s="3188" t="s">
        <v>3193</v>
      </c>
      <c r="G16" s="3188" t="s">
        <v>3082</v>
      </c>
      <c r="H16" s="3188" t="s">
        <v>3194</v>
      </c>
      <c r="I16" s="3188" t="s">
        <v>3114</v>
      </c>
      <c r="J16" s="3188">
        <v>57769</v>
      </c>
      <c r="K16" s="3188">
        <v>57769</v>
      </c>
      <c r="L16" s="3188" t="s">
        <v>3195</v>
      </c>
      <c r="M16" s="3188" t="s">
        <v>2820</v>
      </c>
      <c r="N16" s="3188" t="s">
        <v>2820</v>
      </c>
      <c r="O16" s="3188" t="s">
        <v>2820</v>
      </c>
      <c r="P16" s="3188" t="s">
        <v>2820</v>
      </c>
      <c r="Q16" s="3188" t="s">
        <v>2820</v>
      </c>
      <c r="R16" s="3188" t="s">
        <v>2820</v>
      </c>
      <c r="S16" s="3188" t="s">
        <v>2820</v>
      </c>
      <c r="T16" s="3188" t="s">
        <v>2820</v>
      </c>
      <c r="U16" s="3188" t="s">
        <v>2820</v>
      </c>
      <c r="V16" s="3188" t="s">
        <v>2820</v>
      </c>
      <c r="W16" s="3188" t="s">
        <v>3085</v>
      </c>
      <c r="X16" s="3188" t="s">
        <v>3188</v>
      </c>
      <c r="Y16" s="3188" t="s">
        <v>3189</v>
      </c>
      <c r="Z16" s="3188" t="s">
        <v>3190</v>
      </c>
      <c r="AA16" s="3188" t="s">
        <v>3190</v>
      </c>
      <c r="AB16" s="3188" t="s">
        <v>3194</v>
      </c>
      <c r="AC16" s="3188" t="s">
        <v>3089</v>
      </c>
      <c r="AD16" s="3188" t="s">
        <v>3196</v>
      </c>
      <c r="AE16" s="3188">
        <v>1510</v>
      </c>
      <c r="AF16" s="3188">
        <v>7505</v>
      </c>
      <c r="AG16" s="3188">
        <v>7505</v>
      </c>
      <c r="AH16" s="3188">
        <v>86.61</v>
      </c>
      <c r="AI16" s="3188">
        <v>86.61</v>
      </c>
      <c r="AJ16" s="3188">
        <v>1299.1300000000001</v>
      </c>
      <c r="AK16" s="3188">
        <v>1299.1400000000001</v>
      </c>
      <c r="AL16" s="3188" t="s">
        <v>2820</v>
      </c>
      <c r="AM16" s="3188" t="s">
        <v>2820</v>
      </c>
      <c r="AN16" s="3188">
        <v>0</v>
      </c>
      <c r="AO16" s="3188" t="s">
        <v>3091</v>
      </c>
      <c r="AP16" s="3188" t="s">
        <v>2820</v>
      </c>
      <c r="AQ16" s="3188" t="s">
        <v>2820</v>
      </c>
      <c r="AR16" s="3188" t="s">
        <v>2820</v>
      </c>
      <c r="AS16" s="3188"/>
    </row>
    <row r="17" spans="1:45" s="2941" customFormat="1">
      <c r="A17" s="3188" t="s">
        <v>3197</v>
      </c>
      <c r="B17" s="3188" t="s">
        <v>1948</v>
      </c>
      <c r="C17" s="3188" t="s">
        <v>3022</v>
      </c>
      <c r="D17" s="3188" t="s">
        <v>3111</v>
      </c>
      <c r="E17" s="3188" t="s">
        <v>2820</v>
      </c>
      <c r="F17" s="3188" t="s">
        <v>3198</v>
      </c>
      <c r="G17" s="3188" t="s">
        <v>3082</v>
      </c>
      <c r="H17" s="3188" t="s">
        <v>3199</v>
      </c>
      <c r="I17" s="3188" t="s">
        <v>3114</v>
      </c>
      <c r="J17" s="3188">
        <v>11912.8</v>
      </c>
      <c r="K17" s="3188">
        <v>9530</v>
      </c>
      <c r="L17" s="3188">
        <v>0.8</v>
      </c>
      <c r="M17" s="3188" t="s">
        <v>2820</v>
      </c>
      <c r="N17" s="3188" t="s">
        <v>2820</v>
      </c>
      <c r="O17" s="3188" t="s">
        <v>2820</v>
      </c>
      <c r="P17" s="3188" t="s">
        <v>2820</v>
      </c>
      <c r="Q17" s="3188" t="s">
        <v>2820</v>
      </c>
      <c r="R17" s="3188" t="s">
        <v>2820</v>
      </c>
      <c r="S17" s="3188" t="s">
        <v>2820</v>
      </c>
      <c r="T17" s="3188" t="s">
        <v>2820</v>
      </c>
      <c r="U17" s="3188" t="s">
        <v>2820</v>
      </c>
      <c r="V17" s="3188" t="s">
        <v>2820</v>
      </c>
      <c r="W17" s="3188" t="s">
        <v>3085</v>
      </c>
      <c r="X17" s="3188" t="s">
        <v>3200</v>
      </c>
      <c r="Y17" s="3188" t="s">
        <v>3201</v>
      </c>
      <c r="Z17" s="3188" t="s">
        <v>3202</v>
      </c>
      <c r="AA17" s="3188" t="s">
        <v>3202</v>
      </c>
      <c r="AB17" s="3188" t="s">
        <v>3199</v>
      </c>
      <c r="AC17" s="3188" t="s">
        <v>3089</v>
      </c>
      <c r="AD17" s="3188" t="s">
        <v>3203</v>
      </c>
      <c r="AE17" s="3188">
        <v>530</v>
      </c>
      <c r="AF17" s="3188">
        <v>1798</v>
      </c>
      <c r="AG17" s="3188">
        <v>1798</v>
      </c>
      <c r="AH17" s="3188">
        <v>100.62</v>
      </c>
      <c r="AI17" s="3188">
        <v>100.62</v>
      </c>
      <c r="AJ17" s="3188">
        <v>1886.67</v>
      </c>
      <c r="AK17" s="3188">
        <v>1886.67</v>
      </c>
      <c r="AL17" s="3188" t="s">
        <v>2820</v>
      </c>
      <c r="AM17" s="3188" t="s">
        <v>2820</v>
      </c>
      <c r="AN17" s="3188">
        <v>0</v>
      </c>
      <c r="AO17" s="3188" t="s">
        <v>3091</v>
      </c>
      <c r="AP17" s="3188" t="s">
        <v>2820</v>
      </c>
      <c r="AQ17" s="3188" t="s">
        <v>2820</v>
      </c>
      <c r="AR17" s="3188" t="s">
        <v>2820</v>
      </c>
      <c r="AS17" s="3188"/>
    </row>
    <row r="18" spans="1:45" s="2941" customFormat="1">
      <c r="A18" s="3188" t="s">
        <v>3204</v>
      </c>
      <c r="B18" s="3188" t="s">
        <v>1948</v>
      </c>
      <c r="C18" s="3188" t="s">
        <v>3022</v>
      </c>
      <c r="D18" s="3188" t="s">
        <v>3094</v>
      </c>
      <c r="E18" s="3188" t="s">
        <v>2820</v>
      </c>
      <c r="F18" s="3188" t="s">
        <v>3204</v>
      </c>
      <c r="G18" s="3188" t="s">
        <v>3082</v>
      </c>
      <c r="H18" s="3188" t="s">
        <v>3205</v>
      </c>
      <c r="I18" s="3188" t="s">
        <v>3022</v>
      </c>
      <c r="J18" s="3188">
        <v>103751.8</v>
      </c>
      <c r="K18" s="3188">
        <v>155627.70000000001</v>
      </c>
      <c r="L18" s="3188" t="s">
        <v>3163</v>
      </c>
      <c r="M18" s="3188" t="s">
        <v>2820</v>
      </c>
      <c r="N18" s="3188" t="s">
        <v>2820</v>
      </c>
      <c r="O18" s="3188" t="s">
        <v>2820</v>
      </c>
      <c r="P18" s="3188" t="s">
        <v>2820</v>
      </c>
      <c r="Q18" s="3188" t="s">
        <v>2820</v>
      </c>
      <c r="R18" s="3188" t="s">
        <v>2820</v>
      </c>
      <c r="S18" s="3188" t="s">
        <v>2820</v>
      </c>
      <c r="T18" s="3188" t="s">
        <v>2820</v>
      </c>
      <c r="U18" s="3188" t="s">
        <v>2820</v>
      </c>
      <c r="V18" s="3188" t="s">
        <v>2820</v>
      </c>
      <c r="W18" s="3188" t="s">
        <v>3085</v>
      </c>
      <c r="X18" s="3188" t="s">
        <v>3206</v>
      </c>
      <c r="Y18" s="3188" t="s">
        <v>3207</v>
      </c>
      <c r="Z18" s="3188" t="s">
        <v>3188</v>
      </c>
      <c r="AA18" s="3188" t="s">
        <v>3188</v>
      </c>
      <c r="AB18" s="3188" t="s">
        <v>3205</v>
      </c>
      <c r="AC18" s="3188" t="s">
        <v>3089</v>
      </c>
      <c r="AD18" s="3188" t="s">
        <v>3208</v>
      </c>
      <c r="AE18" s="3188">
        <v>3400</v>
      </c>
      <c r="AF18" s="3188">
        <v>16807.79</v>
      </c>
      <c r="AG18" s="3188">
        <v>16807.79</v>
      </c>
      <c r="AH18" s="3188">
        <v>108</v>
      </c>
      <c r="AI18" s="3188">
        <v>108</v>
      </c>
      <c r="AJ18" s="3188">
        <v>1079.99</v>
      </c>
      <c r="AK18" s="3188">
        <v>1080</v>
      </c>
      <c r="AL18" s="3188" t="s">
        <v>2820</v>
      </c>
      <c r="AM18" s="3188" t="s">
        <v>2820</v>
      </c>
      <c r="AN18" s="3188">
        <v>0</v>
      </c>
      <c r="AO18" s="3188" t="s">
        <v>3091</v>
      </c>
      <c r="AP18" s="3188" t="s">
        <v>2820</v>
      </c>
      <c r="AQ18" s="3188" t="s">
        <v>2820</v>
      </c>
      <c r="AR18" s="3188" t="s">
        <v>2820</v>
      </c>
      <c r="AS18" s="3188"/>
    </row>
    <row r="19" spans="1:45" s="2941" customFormat="1">
      <c r="A19" s="3188" t="s">
        <v>3209</v>
      </c>
      <c r="B19" s="3188" t="s">
        <v>1948</v>
      </c>
      <c r="C19" s="3188" t="s">
        <v>3022</v>
      </c>
      <c r="D19" s="3188" t="s">
        <v>3094</v>
      </c>
      <c r="E19" s="3188" t="s">
        <v>2820</v>
      </c>
      <c r="F19" s="3188" t="s">
        <v>3209</v>
      </c>
      <c r="G19" s="3188" t="s">
        <v>3082</v>
      </c>
      <c r="H19" s="3188" t="s">
        <v>3210</v>
      </c>
      <c r="I19" s="3188" t="s">
        <v>3022</v>
      </c>
      <c r="J19" s="3188">
        <v>61106.9</v>
      </c>
      <c r="K19" s="3188">
        <v>122213.8</v>
      </c>
      <c r="L19" s="3188" t="s">
        <v>3211</v>
      </c>
      <c r="M19" s="3188" t="s">
        <v>2820</v>
      </c>
      <c r="N19" s="3188" t="s">
        <v>2820</v>
      </c>
      <c r="O19" s="3188" t="s">
        <v>2820</v>
      </c>
      <c r="P19" s="3188" t="s">
        <v>2820</v>
      </c>
      <c r="Q19" s="3188" t="s">
        <v>2820</v>
      </c>
      <c r="R19" s="3188" t="s">
        <v>2820</v>
      </c>
      <c r="S19" s="3188" t="s">
        <v>2820</v>
      </c>
      <c r="T19" s="3188" t="s">
        <v>2820</v>
      </c>
      <c r="U19" s="3188" t="s">
        <v>2820</v>
      </c>
      <c r="V19" s="3188" t="s">
        <v>2820</v>
      </c>
      <c r="W19" s="3188" t="s">
        <v>3085</v>
      </c>
      <c r="X19" s="3188" t="s">
        <v>3212</v>
      </c>
      <c r="Y19" s="3188" t="s">
        <v>3213</v>
      </c>
      <c r="Z19" s="3188" t="s">
        <v>3214</v>
      </c>
      <c r="AA19" s="3188" t="s">
        <v>3214</v>
      </c>
      <c r="AB19" s="3188" t="s">
        <v>3210</v>
      </c>
      <c r="AC19" s="3188" t="s">
        <v>3089</v>
      </c>
      <c r="AD19" s="3188" t="s">
        <v>3215</v>
      </c>
      <c r="AE19" s="3188">
        <v>2700</v>
      </c>
      <c r="AF19" s="3188">
        <v>13199.09</v>
      </c>
      <c r="AG19" s="3188">
        <v>13199.09</v>
      </c>
      <c r="AH19" s="3188">
        <v>144</v>
      </c>
      <c r="AI19" s="3188">
        <v>144</v>
      </c>
      <c r="AJ19" s="3188">
        <v>1080</v>
      </c>
      <c r="AK19" s="3188">
        <v>1080</v>
      </c>
      <c r="AL19" s="3188" t="s">
        <v>2820</v>
      </c>
      <c r="AM19" s="3188" t="s">
        <v>2820</v>
      </c>
      <c r="AN19" s="3188">
        <v>0</v>
      </c>
      <c r="AO19" s="3188" t="s">
        <v>3091</v>
      </c>
      <c r="AP19" s="3188" t="s">
        <v>2820</v>
      </c>
      <c r="AQ19" s="3188" t="s">
        <v>2820</v>
      </c>
      <c r="AR19" s="3188" t="s">
        <v>2820</v>
      </c>
      <c r="AS19" s="3188"/>
    </row>
    <row r="20" spans="1:45" s="2941" customFormat="1">
      <c r="A20" s="3188" t="s">
        <v>3216</v>
      </c>
      <c r="B20" s="3188" t="s">
        <v>1948</v>
      </c>
      <c r="C20" s="3188" t="s">
        <v>3022</v>
      </c>
      <c r="D20" s="3188" t="s">
        <v>3094</v>
      </c>
      <c r="E20" s="3188" t="s">
        <v>2820</v>
      </c>
      <c r="F20" s="3188" t="s">
        <v>3216</v>
      </c>
      <c r="G20" s="3188" t="s">
        <v>3082</v>
      </c>
      <c r="H20" s="3188" t="s">
        <v>3217</v>
      </c>
      <c r="I20" s="3188" t="s">
        <v>3022</v>
      </c>
      <c r="J20" s="3188">
        <v>2718.4</v>
      </c>
      <c r="K20" s="3188">
        <v>4077.6</v>
      </c>
      <c r="L20" s="3188" t="s">
        <v>3170</v>
      </c>
      <c r="M20" s="3188" t="s">
        <v>2820</v>
      </c>
      <c r="N20" s="3188" t="s">
        <v>2820</v>
      </c>
      <c r="O20" s="3188" t="s">
        <v>2820</v>
      </c>
      <c r="P20" s="3188" t="s">
        <v>2820</v>
      </c>
      <c r="Q20" s="3188" t="s">
        <v>2820</v>
      </c>
      <c r="R20" s="3188" t="s">
        <v>2820</v>
      </c>
      <c r="S20" s="3188" t="s">
        <v>2820</v>
      </c>
      <c r="T20" s="3188" t="s">
        <v>2820</v>
      </c>
      <c r="U20" s="3188" t="s">
        <v>2820</v>
      </c>
      <c r="V20" s="3188" t="s">
        <v>2820</v>
      </c>
      <c r="W20" s="3188" t="s">
        <v>3085</v>
      </c>
      <c r="X20" s="3188" t="s">
        <v>3218</v>
      </c>
      <c r="Y20" s="3188" t="s">
        <v>3219</v>
      </c>
      <c r="Z20" s="3188" t="s">
        <v>3220</v>
      </c>
      <c r="AA20" s="3188" t="s">
        <v>3220</v>
      </c>
      <c r="AB20" s="3188" t="s">
        <v>3217</v>
      </c>
      <c r="AC20" s="3188" t="s">
        <v>3089</v>
      </c>
      <c r="AD20" s="3188" t="s">
        <v>3221</v>
      </c>
      <c r="AE20" s="3188">
        <v>150</v>
      </c>
      <c r="AF20" s="3188">
        <v>611.63</v>
      </c>
      <c r="AG20" s="3188">
        <v>611.63</v>
      </c>
      <c r="AH20" s="3188">
        <v>150</v>
      </c>
      <c r="AI20" s="3188">
        <v>150</v>
      </c>
      <c r="AJ20" s="3188">
        <v>1500</v>
      </c>
      <c r="AK20" s="3188">
        <v>1500</v>
      </c>
      <c r="AL20" s="3188" t="s">
        <v>2820</v>
      </c>
      <c r="AM20" s="3188" t="s">
        <v>2820</v>
      </c>
      <c r="AN20" s="3188">
        <v>0</v>
      </c>
      <c r="AO20" s="3188" t="s">
        <v>3091</v>
      </c>
      <c r="AP20" s="3188" t="s">
        <v>2820</v>
      </c>
      <c r="AQ20" s="3188" t="s">
        <v>2820</v>
      </c>
      <c r="AR20" s="3188" t="s">
        <v>2820</v>
      </c>
      <c r="AS20" s="3188"/>
    </row>
    <row r="21" spans="1:45" s="2941" customFormat="1">
      <c r="A21" s="3188" t="s">
        <v>3222</v>
      </c>
      <c r="B21" s="3188" t="s">
        <v>1948</v>
      </c>
      <c r="C21" s="3188" t="s">
        <v>3022</v>
      </c>
      <c r="D21" s="3188" t="s">
        <v>3094</v>
      </c>
      <c r="E21" s="3188" t="s">
        <v>2820</v>
      </c>
      <c r="F21" s="3188" t="s">
        <v>3222</v>
      </c>
      <c r="G21" s="3188" t="s">
        <v>3082</v>
      </c>
      <c r="H21" s="3188" t="s">
        <v>3223</v>
      </c>
      <c r="I21" s="3188" t="s">
        <v>3022</v>
      </c>
      <c r="J21" s="3188">
        <v>11807.8</v>
      </c>
      <c r="K21" s="3188">
        <v>17711.7</v>
      </c>
      <c r="L21" s="3188" t="s">
        <v>3163</v>
      </c>
      <c r="M21" s="3188" t="s">
        <v>2820</v>
      </c>
      <c r="N21" s="3188" t="s">
        <v>2820</v>
      </c>
      <c r="O21" s="3188" t="s">
        <v>2820</v>
      </c>
      <c r="P21" s="3188" t="s">
        <v>2820</v>
      </c>
      <c r="Q21" s="3188" t="s">
        <v>2820</v>
      </c>
      <c r="R21" s="3188" t="s">
        <v>2820</v>
      </c>
      <c r="S21" s="3188" t="s">
        <v>2820</v>
      </c>
      <c r="T21" s="3188" t="s">
        <v>2820</v>
      </c>
      <c r="U21" s="3188" t="s">
        <v>2820</v>
      </c>
      <c r="V21" s="3188" t="s">
        <v>2820</v>
      </c>
      <c r="W21" s="3188" t="s">
        <v>3085</v>
      </c>
      <c r="X21" s="3188" t="s">
        <v>3218</v>
      </c>
      <c r="Y21" s="3188" t="s">
        <v>3219</v>
      </c>
      <c r="Z21" s="3188" t="s">
        <v>3224</v>
      </c>
      <c r="AA21" s="3188" t="s">
        <v>3224</v>
      </c>
      <c r="AB21" s="3188" t="s">
        <v>3223</v>
      </c>
      <c r="AC21" s="3188" t="s">
        <v>3089</v>
      </c>
      <c r="AD21" s="3188" t="s">
        <v>3225</v>
      </c>
      <c r="AE21" s="3188">
        <v>540</v>
      </c>
      <c r="AF21" s="3188">
        <v>2656.76</v>
      </c>
      <c r="AG21" s="3188">
        <v>2656.76</v>
      </c>
      <c r="AH21" s="3188">
        <v>150</v>
      </c>
      <c r="AI21" s="3188">
        <v>150</v>
      </c>
      <c r="AJ21" s="3188">
        <v>1500</v>
      </c>
      <c r="AK21" s="3188">
        <v>1500</v>
      </c>
      <c r="AL21" s="3188" t="s">
        <v>2820</v>
      </c>
      <c r="AM21" s="3188" t="s">
        <v>2820</v>
      </c>
      <c r="AN21" s="3188">
        <v>0</v>
      </c>
      <c r="AO21" s="3188" t="s">
        <v>3091</v>
      </c>
      <c r="AP21" s="3188" t="s">
        <v>2820</v>
      </c>
      <c r="AQ21" s="3188" t="s">
        <v>2820</v>
      </c>
      <c r="AR21" s="3188" t="s">
        <v>2820</v>
      </c>
      <c r="AS21" s="3188"/>
    </row>
    <row r="22" spans="1:45" s="2941" customFormat="1">
      <c r="A22" s="3188" t="s">
        <v>3226</v>
      </c>
      <c r="B22" s="3188" t="s">
        <v>1948</v>
      </c>
      <c r="C22" s="3188" t="s">
        <v>3022</v>
      </c>
      <c r="D22" s="3188" t="s">
        <v>3094</v>
      </c>
      <c r="E22" s="3188" t="s">
        <v>2820</v>
      </c>
      <c r="F22" s="3188" t="s">
        <v>3226</v>
      </c>
      <c r="G22" s="3188" t="s">
        <v>3082</v>
      </c>
      <c r="H22" s="3188" t="s">
        <v>3227</v>
      </c>
      <c r="I22" s="3188" t="s">
        <v>3022</v>
      </c>
      <c r="J22" s="3188">
        <v>40514.6</v>
      </c>
      <c r="K22" s="3188">
        <v>81029.2</v>
      </c>
      <c r="L22" s="3188" t="s">
        <v>3211</v>
      </c>
      <c r="M22" s="3188" t="s">
        <v>2820</v>
      </c>
      <c r="N22" s="3188" t="s">
        <v>2820</v>
      </c>
      <c r="O22" s="3188" t="s">
        <v>2820</v>
      </c>
      <c r="P22" s="3188" t="s">
        <v>2820</v>
      </c>
      <c r="Q22" s="3188" t="s">
        <v>2820</v>
      </c>
      <c r="R22" s="3188" t="s">
        <v>2820</v>
      </c>
      <c r="S22" s="3188" t="s">
        <v>2820</v>
      </c>
      <c r="T22" s="3188" t="s">
        <v>2820</v>
      </c>
      <c r="U22" s="3188" t="s">
        <v>2820</v>
      </c>
      <c r="V22" s="3188" t="s">
        <v>2820</v>
      </c>
      <c r="W22" s="3188" t="s">
        <v>3085</v>
      </c>
      <c r="X22" s="3188" t="s">
        <v>3218</v>
      </c>
      <c r="Y22" s="3188" t="s">
        <v>3219</v>
      </c>
      <c r="Z22" s="3188" t="s">
        <v>3224</v>
      </c>
      <c r="AA22" s="3188" t="s">
        <v>3224</v>
      </c>
      <c r="AB22" s="3188" t="s">
        <v>3227</v>
      </c>
      <c r="AC22" s="3188" t="s">
        <v>3089</v>
      </c>
      <c r="AD22" s="3188" t="s">
        <v>3228</v>
      </c>
      <c r="AE22" s="3188">
        <v>1500</v>
      </c>
      <c r="AF22" s="3188">
        <v>7049.53</v>
      </c>
      <c r="AG22" s="3188">
        <v>7049.53</v>
      </c>
      <c r="AH22" s="3188">
        <v>116</v>
      </c>
      <c r="AI22" s="3188">
        <v>116</v>
      </c>
      <c r="AJ22" s="3188">
        <v>869.99</v>
      </c>
      <c r="AK22" s="3188">
        <v>870</v>
      </c>
      <c r="AL22" s="3188" t="s">
        <v>2820</v>
      </c>
      <c r="AM22" s="3188" t="s">
        <v>2820</v>
      </c>
      <c r="AN22" s="3188">
        <v>0</v>
      </c>
      <c r="AO22" s="3188" t="s">
        <v>3091</v>
      </c>
      <c r="AP22" s="3188" t="s">
        <v>2820</v>
      </c>
      <c r="AQ22" s="3188" t="s">
        <v>2820</v>
      </c>
      <c r="AR22" s="3188" t="s">
        <v>2820</v>
      </c>
      <c r="AS22" s="3188"/>
    </row>
    <row r="23" spans="1:45" s="2941" customFormat="1">
      <c r="A23" s="3188" t="s">
        <v>3229</v>
      </c>
      <c r="B23" s="3188" t="s">
        <v>1948</v>
      </c>
      <c r="C23" s="3188" t="s">
        <v>3022</v>
      </c>
      <c r="D23" s="3188" t="s">
        <v>3230</v>
      </c>
      <c r="E23" s="3188" t="s">
        <v>2820</v>
      </c>
      <c r="F23" s="3188" t="s">
        <v>3231</v>
      </c>
      <c r="G23" s="3188" t="s">
        <v>3082</v>
      </c>
      <c r="H23" s="3188" t="s">
        <v>3232</v>
      </c>
      <c r="I23" s="3188" t="s">
        <v>3233</v>
      </c>
      <c r="J23" s="3188">
        <v>125884.4</v>
      </c>
      <c r="K23" s="3188">
        <v>125884</v>
      </c>
      <c r="L23" s="3188">
        <v>1</v>
      </c>
      <c r="M23" s="3188" t="s">
        <v>2820</v>
      </c>
      <c r="N23" s="3188" t="s">
        <v>2820</v>
      </c>
      <c r="O23" s="3188" t="s">
        <v>2820</v>
      </c>
      <c r="P23" s="3188" t="s">
        <v>2820</v>
      </c>
      <c r="Q23" s="3188" t="s">
        <v>2820</v>
      </c>
      <c r="R23" s="3188" t="s">
        <v>2820</v>
      </c>
      <c r="S23" s="3188" t="s">
        <v>2820</v>
      </c>
      <c r="T23" s="3188" t="s">
        <v>2820</v>
      </c>
      <c r="U23" s="3188" t="s">
        <v>2820</v>
      </c>
      <c r="V23" s="3188" t="s">
        <v>2820</v>
      </c>
      <c r="W23" s="3188" t="s">
        <v>3085</v>
      </c>
      <c r="X23" s="3188" t="s">
        <v>3218</v>
      </c>
      <c r="Y23" s="3188" t="s">
        <v>3219</v>
      </c>
      <c r="Z23" s="3188" t="s">
        <v>3224</v>
      </c>
      <c r="AA23" s="3188" t="s">
        <v>3224</v>
      </c>
      <c r="AB23" s="3188" t="s">
        <v>3232</v>
      </c>
      <c r="AC23" s="3188" t="s">
        <v>3089</v>
      </c>
      <c r="AD23" s="3188" t="s">
        <v>3234</v>
      </c>
      <c r="AE23" s="3188">
        <v>2000</v>
      </c>
      <c r="AF23" s="3188">
        <v>9927.85</v>
      </c>
      <c r="AG23" s="3188">
        <v>9927.85</v>
      </c>
      <c r="AH23" s="3188">
        <v>52.58</v>
      </c>
      <c r="AI23" s="3188">
        <v>52.58</v>
      </c>
      <c r="AJ23" s="3188">
        <v>788.65</v>
      </c>
      <c r="AK23" s="3188">
        <v>788.64</v>
      </c>
      <c r="AL23" s="3188" t="s">
        <v>2820</v>
      </c>
      <c r="AM23" s="3188" t="s">
        <v>2820</v>
      </c>
      <c r="AN23" s="3188">
        <v>0</v>
      </c>
      <c r="AO23" s="3188" t="s">
        <v>3091</v>
      </c>
      <c r="AP23" s="3188" t="s">
        <v>2820</v>
      </c>
      <c r="AQ23" s="3188" t="s">
        <v>2820</v>
      </c>
      <c r="AR23" s="3188" t="s">
        <v>2820</v>
      </c>
      <c r="AS23" s="3188"/>
    </row>
    <row r="24" spans="1:45" s="2941" customFormat="1">
      <c r="A24" s="3188" t="s">
        <v>3235</v>
      </c>
      <c r="B24" s="3188" t="s">
        <v>1948</v>
      </c>
      <c r="C24" s="3188" t="s">
        <v>3022</v>
      </c>
      <c r="D24" s="3188" t="s">
        <v>3094</v>
      </c>
      <c r="E24" s="3188" t="s">
        <v>2820</v>
      </c>
      <c r="F24" s="3188" t="s">
        <v>3236</v>
      </c>
      <c r="G24" s="3188" t="s">
        <v>3082</v>
      </c>
      <c r="H24" s="3188" t="s">
        <v>3237</v>
      </c>
      <c r="I24" s="3188" t="s">
        <v>3022</v>
      </c>
      <c r="J24" s="3188">
        <v>31860</v>
      </c>
      <c r="K24" s="3188">
        <v>63720</v>
      </c>
      <c r="L24" s="3188" t="s">
        <v>3211</v>
      </c>
      <c r="M24" s="3188" t="s">
        <v>2820</v>
      </c>
      <c r="N24" s="3188" t="s">
        <v>2820</v>
      </c>
      <c r="O24" s="3188" t="s">
        <v>2820</v>
      </c>
      <c r="P24" s="3188" t="s">
        <v>2820</v>
      </c>
      <c r="Q24" s="3188" t="s">
        <v>2820</v>
      </c>
      <c r="R24" s="3188" t="s">
        <v>2820</v>
      </c>
      <c r="S24" s="3188" t="s">
        <v>2820</v>
      </c>
      <c r="T24" s="3188" t="s">
        <v>2820</v>
      </c>
      <c r="U24" s="3188" t="s">
        <v>2820</v>
      </c>
      <c r="V24" s="3188" t="s">
        <v>2820</v>
      </c>
      <c r="W24" s="3188" t="s">
        <v>3085</v>
      </c>
      <c r="X24" s="3188" t="s">
        <v>3238</v>
      </c>
      <c r="Y24" s="3188" t="s">
        <v>3239</v>
      </c>
      <c r="Z24" s="3188" t="s">
        <v>3240</v>
      </c>
      <c r="AA24" s="3188" t="s">
        <v>3240</v>
      </c>
      <c r="AB24" s="3188" t="s">
        <v>3237</v>
      </c>
      <c r="AC24" s="3188" t="s">
        <v>3089</v>
      </c>
      <c r="AD24" s="3188" t="s">
        <v>3241</v>
      </c>
      <c r="AE24" s="3188">
        <v>1200</v>
      </c>
      <c r="AF24" s="3188">
        <v>5543.64</v>
      </c>
      <c r="AG24" s="3188">
        <v>5543.64</v>
      </c>
      <c r="AH24" s="3188">
        <v>116</v>
      </c>
      <c r="AI24" s="3188">
        <v>116</v>
      </c>
      <c r="AJ24" s="3188">
        <v>870</v>
      </c>
      <c r="AK24" s="3188">
        <v>870</v>
      </c>
      <c r="AL24" s="3188" t="s">
        <v>2820</v>
      </c>
      <c r="AM24" s="3188" t="s">
        <v>2820</v>
      </c>
      <c r="AN24" s="3188">
        <v>0</v>
      </c>
      <c r="AO24" s="3188" t="s">
        <v>3091</v>
      </c>
      <c r="AP24" s="3188" t="s">
        <v>2820</v>
      </c>
      <c r="AQ24" s="3188" t="s">
        <v>2820</v>
      </c>
      <c r="AR24" s="3188" t="s">
        <v>2820</v>
      </c>
      <c r="AS24" s="3188"/>
    </row>
    <row r="25" spans="1:45" s="2941" customFormat="1">
      <c r="A25" s="3188" t="s">
        <v>3242</v>
      </c>
      <c r="B25" s="3188" t="s">
        <v>1948</v>
      </c>
      <c r="C25" s="3188" t="s">
        <v>3022</v>
      </c>
      <c r="D25" s="3188" t="s">
        <v>3173</v>
      </c>
      <c r="E25" s="3188" t="s">
        <v>2820</v>
      </c>
      <c r="F25" s="3188" t="s">
        <v>3174</v>
      </c>
      <c r="G25" s="3188" t="s">
        <v>3082</v>
      </c>
      <c r="H25" s="3188" t="s">
        <v>3243</v>
      </c>
      <c r="I25" s="3188" t="s">
        <v>3176</v>
      </c>
      <c r="J25" s="3188">
        <v>32326.54</v>
      </c>
      <c r="K25" s="3188">
        <v>38791.85</v>
      </c>
      <c r="L25" s="3188" t="s">
        <v>3177</v>
      </c>
      <c r="M25" s="3188" t="s">
        <v>2820</v>
      </c>
      <c r="N25" s="3188" t="s">
        <v>2820</v>
      </c>
      <c r="O25" s="3188" t="s">
        <v>2820</v>
      </c>
      <c r="P25" s="3188" t="s">
        <v>2820</v>
      </c>
      <c r="Q25" s="3188" t="s">
        <v>2820</v>
      </c>
      <c r="R25" s="3188" t="s">
        <v>2820</v>
      </c>
      <c r="S25" s="3188" t="s">
        <v>2820</v>
      </c>
      <c r="T25" s="3188" t="s">
        <v>2820</v>
      </c>
      <c r="U25" s="3188" t="s">
        <v>2820</v>
      </c>
      <c r="V25" s="3188" t="s">
        <v>2820</v>
      </c>
      <c r="W25" s="3188" t="s">
        <v>3085</v>
      </c>
      <c r="X25" s="3188" t="s">
        <v>3244</v>
      </c>
      <c r="Y25" s="3188" t="s">
        <v>3245</v>
      </c>
      <c r="Z25" s="3188" t="s">
        <v>3246</v>
      </c>
      <c r="AA25" s="3188" t="s">
        <v>3246</v>
      </c>
      <c r="AB25" s="3188" t="s">
        <v>3243</v>
      </c>
      <c r="AC25" s="3188" t="s">
        <v>3089</v>
      </c>
      <c r="AD25" s="3188" t="s">
        <v>3247</v>
      </c>
      <c r="AE25" s="3188">
        <v>900</v>
      </c>
      <c r="AF25" s="3188">
        <v>4194</v>
      </c>
      <c r="AG25" s="3188">
        <v>4194</v>
      </c>
      <c r="AH25" s="3188">
        <v>86.49</v>
      </c>
      <c r="AI25" s="3188">
        <v>86.49</v>
      </c>
      <c r="AJ25" s="3188">
        <v>1081.1500000000001</v>
      </c>
      <c r="AK25" s="3188">
        <v>1081.1500000000001</v>
      </c>
      <c r="AL25" s="3188" t="s">
        <v>2820</v>
      </c>
      <c r="AM25" s="3188" t="s">
        <v>2820</v>
      </c>
      <c r="AN25" s="3188">
        <v>0</v>
      </c>
      <c r="AO25" s="3188" t="s">
        <v>3091</v>
      </c>
      <c r="AP25" s="3188" t="s">
        <v>2820</v>
      </c>
      <c r="AQ25" s="3188" t="s">
        <v>2820</v>
      </c>
      <c r="AR25" s="3188" t="s">
        <v>2820</v>
      </c>
      <c r="AS25" s="3188"/>
    </row>
    <row r="26" spans="1:45" s="2941" customFormat="1">
      <c r="A26" s="3188" t="s">
        <v>3248</v>
      </c>
      <c r="B26" s="3188" t="s">
        <v>1948</v>
      </c>
      <c r="C26" s="3188" t="s">
        <v>3022</v>
      </c>
      <c r="D26" s="3188" t="s">
        <v>3173</v>
      </c>
      <c r="E26" s="3188" t="s">
        <v>2820</v>
      </c>
      <c r="F26" s="3188" t="s">
        <v>3174</v>
      </c>
      <c r="G26" s="3188" t="s">
        <v>3082</v>
      </c>
      <c r="H26" s="3188" t="s">
        <v>3249</v>
      </c>
      <c r="I26" s="3188" t="s">
        <v>3176</v>
      </c>
      <c r="J26" s="3188">
        <v>31995.71</v>
      </c>
      <c r="K26" s="3188">
        <v>38394.85</v>
      </c>
      <c r="L26" s="3188" t="s">
        <v>3177</v>
      </c>
      <c r="M26" s="3188" t="s">
        <v>2820</v>
      </c>
      <c r="N26" s="3188" t="s">
        <v>2820</v>
      </c>
      <c r="O26" s="3188" t="s">
        <v>2820</v>
      </c>
      <c r="P26" s="3188" t="s">
        <v>2820</v>
      </c>
      <c r="Q26" s="3188" t="s">
        <v>2820</v>
      </c>
      <c r="R26" s="3188" t="s">
        <v>2820</v>
      </c>
      <c r="S26" s="3188" t="s">
        <v>2820</v>
      </c>
      <c r="T26" s="3188" t="s">
        <v>2820</v>
      </c>
      <c r="U26" s="3188" t="s">
        <v>2820</v>
      </c>
      <c r="V26" s="3188" t="s">
        <v>2820</v>
      </c>
      <c r="W26" s="3188" t="s">
        <v>3085</v>
      </c>
      <c r="X26" s="3188" t="s">
        <v>3244</v>
      </c>
      <c r="Y26" s="3188" t="s">
        <v>3245</v>
      </c>
      <c r="Z26" s="3188" t="s">
        <v>3250</v>
      </c>
      <c r="AA26" s="3188" t="s">
        <v>3250</v>
      </c>
      <c r="AB26" s="3188" t="s">
        <v>3249</v>
      </c>
      <c r="AC26" s="3188" t="s">
        <v>3089</v>
      </c>
      <c r="AD26" s="3188" t="s">
        <v>3251</v>
      </c>
      <c r="AE26" s="3188">
        <v>900</v>
      </c>
      <c r="AF26" s="3188">
        <v>4151</v>
      </c>
      <c r="AG26" s="3188">
        <v>4151</v>
      </c>
      <c r="AH26" s="3188">
        <v>86.49</v>
      </c>
      <c r="AI26" s="3188">
        <v>86.49</v>
      </c>
      <c r="AJ26" s="3188">
        <v>1081.1300000000001</v>
      </c>
      <c r="AK26" s="3188">
        <v>1081.1300000000001</v>
      </c>
      <c r="AL26" s="3188" t="s">
        <v>2820</v>
      </c>
      <c r="AM26" s="3188" t="s">
        <v>2820</v>
      </c>
      <c r="AN26" s="3188">
        <v>0</v>
      </c>
      <c r="AO26" s="3188" t="s">
        <v>3091</v>
      </c>
      <c r="AP26" s="3188" t="s">
        <v>2820</v>
      </c>
      <c r="AQ26" s="3188" t="s">
        <v>2820</v>
      </c>
      <c r="AR26" s="3188" t="s">
        <v>2820</v>
      </c>
      <c r="AS26" s="3188"/>
    </row>
    <row r="27" spans="1:45" s="2941" customFormat="1">
      <c r="A27" s="3188" t="s">
        <v>3252</v>
      </c>
      <c r="B27" s="3188" t="s">
        <v>1948</v>
      </c>
      <c r="C27" s="3188" t="s">
        <v>3022</v>
      </c>
      <c r="D27" s="3188" t="s">
        <v>3173</v>
      </c>
      <c r="E27" s="3188" t="s">
        <v>2820</v>
      </c>
      <c r="F27" s="3188" t="s">
        <v>3253</v>
      </c>
      <c r="G27" s="3188" t="s">
        <v>3082</v>
      </c>
      <c r="H27" s="3188" t="s">
        <v>3254</v>
      </c>
      <c r="I27" s="3188" t="s">
        <v>3176</v>
      </c>
      <c r="J27" s="3188">
        <v>49749.07</v>
      </c>
      <c r="K27" s="3188">
        <v>49749.07</v>
      </c>
      <c r="L27" s="3188" t="s">
        <v>3195</v>
      </c>
      <c r="M27" s="3188" t="s">
        <v>2820</v>
      </c>
      <c r="N27" s="3188" t="s">
        <v>2820</v>
      </c>
      <c r="O27" s="3188" t="s">
        <v>2820</v>
      </c>
      <c r="P27" s="3188" t="s">
        <v>2820</v>
      </c>
      <c r="Q27" s="3188" t="s">
        <v>2820</v>
      </c>
      <c r="R27" s="3188" t="s">
        <v>2820</v>
      </c>
      <c r="S27" s="3188" t="s">
        <v>2820</v>
      </c>
      <c r="T27" s="3188" t="s">
        <v>2820</v>
      </c>
      <c r="U27" s="3188" t="s">
        <v>2820</v>
      </c>
      <c r="V27" s="3188" t="s">
        <v>2820</v>
      </c>
      <c r="W27" s="3188" t="s">
        <v>3085</v>
      </c>
      <c r="X27" s="3188" t="s">
        <v>3244</v>
      </c>
      <c r="Y27" s="3188" t="s">
        <v>3245</v>
      </c>
      <c r="Z27" s="3188" t="s">
        <v>3239</v>
      </c>
      <c r="AA27" s="3188" t="s">
        <v>3239</v>
      </c>
      <c r="AB27" s="3188" t="s">
        <v>3254</v>
      </c>
      <c r="AC27" s="3188" t="s">
        <v>3089</v>
      </c>
      <c r="AD27" s="3188" t="s">
        <v>3255</v>
      </c>
      <c r="AE27" s="3188">
        <v>1300</v>
      </c>
      <c r="AF27" s="3188">
        <v>6156</v>
      </c>
      <c r="AG27" s="3188">
        <v>6156</v>
      </c>
      <c r="AH27" s="3188">
        <v>82.49</v>
      </c>
      <c r="AI27" s="3188">
        <v>82.49</v>
      </c>
      <c r="AJ27" s="3188">
        <v>1237.4100000000001</v>
      </c>
      <c r="AK27" s="3188">
        <v>1237.4100000000001</v>
      </c>
      <c r="AL27" s="3188" t="s">
        <v>2820</v>
      </c>
      <c r="AM27" s="3188" t="s">
        <v>2820</v>
      </c>
      <c r="AN27" s="3188">
        <v>0</v>
      </c>
      <c r="AO27" s="3188" t="s">
        <v>3091</v>
      </c>
      <c r="AP27" s="3188" t="s">
        <v>2820</v>
      </c>
      <c r="AQ27" s="3188" t="s">
        <v>2820</v>
      </c>
      <c r="AR27" s="3188" t="s">
        <v>2820</v>
      </c>
      <c r="AS27" s="3188"/>
    </row>
    <row r="28" spans="1:45" s="2941" customFormat="1">
      <c r="A28" s="3188" t="s">
        <v>3256</v>
      </c>
      <c r="B28" s="3188" t="s">
        <v>1948</v>
      </c>
      <c r="C28" s="3188" t="s">
        <v>3022</v>
      </c>
      <c r="D28" s="3188" t="s">
        <v>3094</v>
      </c>
      <c r="E28" s="3188" t="s">
        <v>2820</v>
      </c>
      <c r="F28" s="3188" t="s">
        <v>3256</v>
      </c>
      <c r="G28" s="3188" t="s">
        <v>3082</v>
      </c>
      <c r="H28" s="3188" t="s">
        <v>3257</v>
      </c>
      <c r="I28" s="3188" t="s">
        <v>3022</v>
      </c>
      <c r="J28" s="3188">
        <v>233050</v>
      </c>
      <c r="K28" s="3188">
        <v>279660</v>
      </c>
      <c r="L28" s="3188" t="s">
        <v>3177</v>
      </c>
      <c r="M28" s="3188" t="s">
        <v>2820</v>
      </c>
      <c r="N28" s="3188" t="s">
        <v>2820</v>
      </c>
      <c r="O28" s="3188" t="s">
        <v>2820</v>
      </c>
      <c r="P28" s="3188" t="s">
        <v>2820</v>
      </c>
      <c r="Q28" s="3188" t="s">
        <v>2820</v>
      </c>
      <c r="R28" s="3188" t="s">
        <v>2820</v>
      </c>
      <c r="S28" s="3188" t="s">
        <v>2820</v>
      </c>
      <c r="T28" s="3188" t="s">
        <v>2820</v>
      </c>
      <c r="U28" s="3188" t="s">
        <v>2820</v>
      </c>
      <c r="V28" s="3188" t="s">
        <v>2820</v>
      </c>
      <c r="W28" s="3188" t="s">
        <v>3085</v>
      </c>
      <c r="X28" s="3188" t="s">
        <v>3258</v>
      </c>
      <c r="Y28" s="3188" t="s">
        <v>3259</v>
      </c>
      <c r="Z28" s="3188" t="s">
        <v>3260</v>
      </c>
      <c r="AA28" s="3188" t="s">
        <v>3260</v>
      </c>
      <c r="AB28" s="3188" t="s">
        <v>3257</v>
      </c>
      <c r="AC28" s="3188" t="s">
        <v>3089</v>
      </c>
      <c r="AD28" s="3188" t="s">
        <v>3130</v>
      </c>
      <c r="AE28" s="3188">
        <v>4400</v>
      </c>
      <c r="AF28" s="3188">
        <v>21533.81</v>
      </c>
      <c r="AG28" s="3188">
        <v>21533.81</v>
      </c>
      <c r="AH28" s="3188">
        <v>61.6</v>
      </c>
      <c r="AI28" s="3188">
        <v>61.6</v>
      </c>
      <c r="AJ28" s="3188">
        <v>770</v>
      </c>
      <c r="AK28" s="3188">
        <v>770</v>
      </c>
      <c r="AL28" s="3188" t="s">
        <v>2820</v>
      </c>
      <c r="AM28" s="3188" t="s">
        <v>2820</v>
      </c>
      <c r="AN28" s="3188">
        <v>0</v>
      </c>
      <c r="AO28" s="3188" t="s">
        <v>3091</v>
      </c>
      <c r="AP28" s="3188" t="s">
        <v>2820</v>
      </c>
      <c r="AQ28" s="3188" t="s">
        <v>2820</v>
      </c>
      <c r="AR28" s="3188" t="s">
        <v>2820</v>
      </c>
      <c r="AS28" s="3188"/>
    </row>
    <row r="29" spans="1:45" s="2941" customFormat="1">
      <c r="A29" s="3188" t="s">
        <v>3261</v>
      </c>
      <c r="B29" s="3188" t="s">
        <v>1948</v>
      </c>
      <c r="C29" s="3188" t="s">
        <v>3022</v>
      </c>
      <c r="D29" s="3188" t="s">
        <v>3173</v>
      </c>
      <c r="E29" s="3188" t="s">
        <v>2820</v>
      </c>
      <c r="F29" s="3188" t="s">
        <v>3262</v>
      </c>
      <c r="G29" s="3188" t="s">
        <v>3082</v>
      </c>
      <c r="H29" s="3188" t="s">
        <v>3263</v>
      </c>
      <c r="I29" s="3188" t="s">
        <v>3176</v>
      </c>
      <c r="J29" s="3188">
        <v>10121</v>
      </c>
      <c r="K29" s="3188">
        <v>10121</v>
      </c>
      <c r="L29" s="3188">
        <v>1</v>
      </c>
      <c r="M29" s="3188" t="s">
        <v>2820</v>
      </c>
      <c r="N29" s="3188" t="s">
        <v>2820</v>
      </c>
      <c r="O29" s="3188" t="s">
        <v>2820</v>
      </c>
      <c r="P29" s="3188" t="s">
        <v>2820</v>
      </c>
      <c r="Q29" s="3188" t="s">
        <v>2820</v>
      </c>
      <c r="R29" s="3188" t="s">
        <v>2820</v>
      </c>
      <c r="S29" s="3188" t="s">
        <v>2820</v>
      </c>
      <c r="T29" s="3188" t="s">
        <v>2820</v>
      </c>
      <c r="U29" s="3188" t="s">
        <v>2820</v>
      </c>
      <c r="V29" s="3188" t="s">
        <v>2820</v>
      </c>
      <c r="W29" s="3188" t="s">
        <v>3085</v>
      </c>
      <c r="X29" s="3188" t="s">
        <v>3258</v>
      </c>
      <c r="Y29" s="3188" t="s">
        <v>3259</v>
      </c>
      <c r="Z29" s="3188" t="s">
        <v>3260</v>
      </c>
      <c r="AA29" s="3188" t="s">
        <v>3260</v>
      </c>
      <c r="AB29" s="3188" t="s">
        <v>3263</v>
      </c>
      <c r="AC29" s="3188" t="s">
        <v>3089</v>
      </c>
      <c r="AD29" s="3188" t="s">
        <v>3264</v>
      </c>
      <c r="AE29" s="3188">
        <v>100</v>
      </c>
      <c r="AF29" s="3188">
        <v>926</v>
      </c>
      <c r="AG29" s="3188">
        <v>926</v>
      </c>
      <c r="AH29" s="3188">
        <v>61</v>
      </c>
      <c r="AI29" s="3188">
        <v>61</v>
      </c>
      <c r="AJ29" s="3188">
        <v>914.92</v>
      </c>
      <c r="AK29" s="3188">
        <v>914.92</v>
      </c>
      <c r="AL29" s="3188" t="s">
        <v>2820</v>
      </c>
      <c r="AM29" s="3188" t="s">
        <v>2820</v>
      </c>
      <c r="AN29" s="3188">
        <v>0</v>
      </c>
      <c r="AO29" s="3188" t="s">
        <v>3091</v>
      </c>
      <c r="AP29" s="3188" t="s">
        <v>2820</v>
      </c>
      <c r="AQ29" s="3188" t="s">
        <v>2820</v>
      </c>
      <c r="AR29" s="3188" t="s">
        <v>2820</v>
      </c>
      <c r="AS29" s="3188"/>
    </row>
    <row r="30" spans="1:45" s="3186" customFormat="1">
      <c r="A30" s="3196" t="s">
        <v>3286</v>
      </c>
      <c r="B30" s="3185" t="s">
        <v>1948</v>
      </c>
      <c r="C30" s="3185" t="s">
        <v>3022</v>
      </c>
      <c r="D30" s="3185" t="s">
        <v>3080</v>
      </c>
      <c r="E30" s="3185" t="s">
        <v>2820</v>
      </c>
      <c r="F30" s="3185" t="s">
        <v>3081</v>
      </c>
      <c r="G30" s="3185" t="s">
        <v>3082</v>
      </c>
      <c r="H30" s="3185" t="s">
        <v>3083</v>
      </c>
      <c r="I30" s="3185" t="s">
        <v>3084</v>
      </c>
      <c r="J30" s="3185">
        <v>107244</v>
      </c>
      <c r="K30" s="3185">
        <v>160866</v>
      </c>
      <c r="L30" s="3185">
        <v>1.5</v>
      </c>
      <c r="M30" s="3185" t="s">
        <v>2820</v>
      </c>
      <c r="N30" s="3185" t="s">
        <v>2820</v>
      </c>
      <c r="O30" s="3185" t="s">
        <v>2820</v>
      </c>
      <c r="P30" s="3185" t="s">
        <v>2820</v>
      </c>
      <c r="Q30" s="3185" t="s">
        <v>2820</v>
      </c>
      <c r="R30" s="3185" t="s">
        <v>2820</v>
      </c>
      <c r="S30" s="3185" t="s">
        <v>2820</v>
      </c>
      <c r="T30" s="3185" t="s">
        <v>2820</v>
      </c>
      <c r="U30" s="3185" t="s">
        <v>2820</v>
      </c>
      <c r="V30" s="3185" t="s">
        <v>2820</v>
      </c>
      <c r="W30" s="3185" t="s">
        <v>3085</v>
      </c>
      <c r="X30" s="3185" t="s">
        <v>3086</v>
      </c>
      <c r="Y30" s="3185" t="s">
        <v>3087</v>
      </c>
      <c r="Z30" s="3185" t="s">
        <v>3088</v>
      </c>
      <c r="AA30" s="3185" t="s">
        <v>3088</v>
      </c>
      <c r="AB30" s="3185" t="s">
        <v>3083</v>
      </c>
      <c r="AC30" s="3185" t="s">
        <v>3089</v>
      </c>
      <c r="AD30" s="3185" t="s">
        <v>3090</v>
      </c>
      <c r="AE30" s="3185">
        <v>3400</v>
      </c>
      <c r="AF30" s="3185">
        <v>16971.36</v>
      </c>
      <c r="AG30" s="3185">
        <v>16971.36</v>
      </c>
      <c r="AH30" s="3185">
        <v>105.5</v>
      </c>
      <c r="AI30" s="3185">
        <v>105.5</v>
      </c>
      <c r="AJ30" s="3185">
        <v>1054.99</v>
      </c>
      <c r="AK30" s="3185">
        <v>1055</v>
      </c>
      <c r="AL30" s="3185" t="s">
        <v>2820</v>
      </c>
      <c r="AM30" s="3185" t="s">
        <v>2820</v>
      </c>
      <c r="AN30" s="3185">
        <v>0</v>
      </c>
      <c r="AO30" s="3185" t="s">
        <v>3091</v>
      </c>
      <c r="AP30" s="3185" t="s">
        <v>2820</v>
      </c>
      <c r="AQ30" s="3185" t="s">
        <v>2820</v>
      </c>
      <c r="AR30" s="3185" t="s">
        <v>2820</v>
      </c>
      <c r="AS30" s="3185"/>
    </row>
    <row r="31" spans="1:45" s="3186" customFormat="1">
      <c r="A31" s="3185" t="s">
        <v>3092</v>
      </c>
      <c r="B31" s="3185" t="s">
        <v>1948</v>
      </c>
      <c r="C31" s="3185" t="s">
        <v>3022</v>
      </c>
      <c r="D31" s="3185" t="s">
        <v>3080</v>
      </c>
      <c r="E31" s="3185" t="s">
        <v>2820</v>
      </c>
      <c r="F31" s="3185" t="s">
        <v>3081</v>
      </c>
      <c r="G31" s="3185" t="s">
        <v>3082</v>
      </c>
      <c r="H31" s="3185" t="s">
        <v>3093</v>
      </c>
      <c r="I31" s="3185" t="s">
        <v>3084</v>
      </c>
      <c r="J31" s="3185">
        <v>126492.9</v>
      </c>
      <c r="K31" s="3185">
        <v>189739</v>
      </c>
      <c r="L31" s="3185">
        <v>1.5</v>
      </c>
      <c r="M31" s="3185" t="s">
        <v>2820</v>
      </c>
      <c r="N31" s="3185" t="s">
        <v>2820</v>
      </c>
      <c r="O31" s="3185" t="s">
        <v>2820</v>
      </c>
      <c r="P31" s="3185" t="s">
        <v>2820</v>
      </c>
      <c r="Q31" s="3185" t="s">
        <v>2820</v>
      </c>
      <c r="R31" s="3185" t="s">
        <v>2820</v>
      </c>
      <c r="S31" s="3185" t="s">
        <v>2820</v>
      </c>
      <c r="T31" s="3185" t="s">
        <v>2820</v>
      </c>
      <c r="U31" s="3185" t="s">
        <v>2820</v>
      </c>
      <c r="V31" s="3185" t="s">
        <v>2820</v>
      </c>
      <c r="W31" s="3185" t="s">
        <v>3085</v>
      </c>
      <c r="X31" s="3185" t="s">
        <v>3086</v>
      </c>
      <c r="Y31" s="3185" t="s">
        <v>3087</v>
      </c>
      <c r="Z31" s="3185" t="s">
        <v>3088</v>
      </c>
      <c r="AA31" s="3185" t="s">
        <v>3088</v>
      </c>
      <c r="AB31" s="3185" t="s">
        <v>3093</v>
      </c>
      <c r="AC31" s="3185" t="s">
        <v>3089</v>
      </c>
      <c r="AD31" s="3185" t="s">
        <v>3090</v>
      </c>
      <c r="AE31" s="3185">
        <v>4003</v>
      </c>
      <c r="AF31" s="3185">
        <v>20017.490000000002</v>
      </c>
      <c r="AG31" s="3185">
        <v>20017.490000000002</v>
      </c>
      <c r="AH31" s="3185">
        <v>105.5</v>
      </c>
      <c r="AI31" s="3185">
        <v>105.5</v>
      </c>
      <c r="AJ31" s="3185">
        <v>1055</v>
      </c>
      <c r="AK31" s="3185">
        <v>1055</v>
      </c>
      <c r="AL31" s="3185" t="s">
        <v>2820</v>
      </c>
      <c r="AM31" s="3185" t="s">
        <v>2820</v>
      </c>
      <c r="AN31" s="3185">
        <v>0</v>
      </c>
      <c r="AO31" s="3185" t="s">
        <v>3091</v>
      </c>
      <c r="AP31" s="3185" t="s">
        <v>2820</v>
      </c>
      <c r="AQ31" s="3185" t="s">
        <v>2820</v>
      </c>
      <c r="AR31" s="3185" t="s">
        <v>2820</v>
      </c>
      <c r="AS31" s="3185"/>
    </row>
    <row r="32" spans="1:45" s="3191" customFormat="1" ht="14.25">
      <c r="A32" s="3189" t="s">
        <v>3265</v>
      </c>
      <c r="B32" s="3190" t="s">
        <v>1948</v>
      </c>
      <c r="C32" s="3190" t="s">
        <v>3022</v>
      </c>
      <c r="D32" s="3190" t="s">
        <v>3094</v>
      </c>
      <c r="E32" s="3190" t="s">
        <v>2820</v>
      </c>
      <c r="F32" s="3190" t="s">
        <v>3095</v>
      </c>
      <c r="G32" s="3190" t="s">
        <v>3082</v>
      </c>
      <c r="H32" s="3190" t="s">
        <v>3096</v>
      </c>
      <c r="I32" s="3190" t="s">
        <v>3097</v>
      </c>
      <c r="J32" s="3190">
        <v>26676.58</v>
      </c>
      <c r="K32" s="3190">
        <v>37347</v>
      </c>
      <c r="L32" s="3190" t="s">
        <v>3098</v>
      </c>
      <c r="M32" s="3190" t="s">
        <v>2820</v>
      </c>
      <c r="N32" s="3190" t="s">
        <v>2820</v>
      </c>
      <c r="O32" s="3190" t="s">
        <v>2820</v>
      </c>
      <c r="P32" s="3190" t="s">
        <v>2820</v>
      </c>
      <c r="Q32" s="3190" t="s">
        <v>2820</v>
      </c>
      <c r="R32" s="3190" t="s">
        <v>2820</v>
      </c>
      <c r="S32" s="3190" t="s">
        <v>2820</v>
      </c>
      <c r="T32" s="3190" t="s">
        <v>2820</v>
      </c>
      <c r="U32" s="3190" t="s">
        <v>2820</v>
      </c>
      <c r="V32" s="3190" t="s">
        <v>2820</v>
      </c>
      <c r="W32" s="3190" t="s">
        <v>3085</v>
      </c>
      <c r="X32" s="3190" t="s">
        <v>3099</v>
      </c>
      <c r="Y32" s="3190" t="s">
        <v>3100</v>
      </c>
      <c r="Z32" s="3190" t="s">
        <v>3086</v>
      </c>
      <c r="AA32" s="3190" t="s">
        <v>3086</v>
      </c>
      <c r="AB32" s="3190" t="s">
        <v>3096</v>
      </c>
      <c r="AC32" s="3190" t="s">
        <v>3089</v>
      </c>
      <c r="AD32" s="3190" t="s">
        <v>3101</v>
      </c>
      <c r="AE32" s="3190">
        <v>600</v>
      </c>
      <c r="AF32" s="3190">
        <v>3035</v>
      </c>
      <c r="AG32" s="3190">
        <v>3035</v>
      </c>
      <c r="AH32" s="3190">
        <v>75.849999999999994</v>
      </c>
      <c r="AI32" s="3190">
        <v>75.849999999999994</v>
      </c>
      <c r="AJ32" s="3190">
        <v>812.64</v>
      </c>
      <c r="AK32" s="3190">
        <v>812.64</v>
      </c>
      <c r="AL32" s="3190" t="s">
        <v>2820</v>
      </c>
      <c r="AM32" s="3190" t="s">
        <v>2820</v>
      </c>
      <c r="AN32" s="3190">
        <v>0</v>
      </c>
      <c r="AO32" s="3190" t="s">
        <v>3091</v>
      </c>
      <c r="AP32" s="3190" t="s">
        <v>2820</v>
      </c>
      <c r="AQ32" s="3190" t="s">
        <v>2820</v>
      </c>
      <c r="AR32" s="3190" t="s">
        <v>2820</v>
      </c>
      <c r="AS32" s="3190"/>
    </row>
  </sheetData>
  <phoneticPr fontId="23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H29"/>
  <sheetViews>
    <sheetView workbookViewId="0">
      <selection activeCell="D23" sqref="D23:E23"/>
    </sheetView>
  </sheetViews>
  <sheetFormatPr defaultRowHeight="13.5"/>
  <cols>
    <col min="2" max="2" width="12.125" customWidth="1"/>
    <col min="3" max="3" width="18.25" customWidth="1"/>
    <col min="4" max="4" width="14" customWidth="1"/>
    <col min="5" max="5" width="15.5" customWidth="1"/>
  </cols>
  <sheetData>
    <row r="2" spans="2:8">
      <c r="B2" s="3583" t="s">
        <v>3291</v>
      </c>
      <c r="C2" s="3583"/>
      <c r="D2" s="3583"/>
      <c r="E2" s="3583"/>
    </row>
    <row r="3" spans="2:8">
      <c r="B3" s="3581" t="s">
        <v>3292</v>
      </c>
      <c r="C3" s="3581"/>
      <c r="D3" s="3582">
        <v>1.5</v>
      </c>
      <c r="E3" s="3582"/>
    </row>
    <row r="4" spans="2:8">
      <c r="B4" s="3581" t="s">
        <v>3293</v>
      </c>
      <c r="C4" s="3581"/>
      <c r="D4" s="3582">
        <v>30</v>
      </c>
      <c r="E4" s="3582"/>
    </row>
    <row r="5" spans="2:8">
      <c r="B5" s="3581" t="s">
        <v>3294</v>
      </c>
      <c r="C5" s="3581"/>
      <c r="D5" s="3582">
        <f>'数据-汇总表'!E3</f>
        <v>80808</v>
      </c>
      <c r="E5" s="3582"/>
    </row>
    <row r="6" spans="2:8">
      <c r="B6" s="3581" t="s">
        <v>3289</v>
      </c>
      <c r="C6" s="3581"/>
      <c r="D6" s="3582">
        <f>ROUND(D3*D4*D5/10000,2)</f>
        <v>363.64</v>
      </c>
      <c r="E6" s="3582"/>
    </row>
    <row r="8" spans="2:8">
      <c r="B8" s="3583" t="s">
        <v>3295</v>
      </c>
      <c r="C8" s="3583"/>
      <c r="D8" s="3583"/>
      <c r="E8" s="3583"/>
      <c r="H8" s="3202" t="s">
        <v>3310</v>
      </c>
    </row>
    <row r="9" spans="2:8">
      <c r="B9" s="3197"/>
      <c r="C9" s="3198" t="s">
        <v>3296</v>
      </c>
      <c r="D9" s="3199" t="s">
        <v>3297</v>
      </c>
      <c r="E9" s="3199" t="s">
        <v>3298</v>
      </c>
    </row>
    <row r="10" spans="2:8">
      <c r="B10" s="3197" t="s">
        <v>3299</v>
      </c>
      <c r="C10" s="3200">
        <v>0</v>
      </c>
      <c r="D10" s="3199" t="s">
        <v>3300</v>
      </c>
      <c r="E10" s="3201">
        <f>ROUND(C10/12,2)</f>
        <v>0</v>
      </c>
    </row>
    <row r="11" spans="2:8">
      <c r="B11" s="3197" t="s">
        <v>3301</v>
      </c>
      <c r="C11" s="3198" t="s">
        <v>3300</v>
      </c>
      <c r="D11" s="3200">
        <v>0</v>
      </c>
      <c r="E11" s="3201">
        <f>ROUND(D11/5,2)</f>
        <v>0</v>
      </c>
      <c r="H11">
        <f>(D6+C14+D19)*D22</f>
        <v>2639.2799999999997</v>
      </c>
    </row>
    <row r="12" spans="2:8">
      <c r="B12" s="3197" t="s">
        <v>3302</v>
      </c>
      <c r="C12" s="3580">
        <f>ROUND((E10*7+E11*5)/12,2)</f>
        <v>0</v>
      </c>
      <c r="D12" s="3580"/>
      <c r="E12" s="3580"/>
    </row>
    <row r="13" spans="2:8">
      <c r="B13" s="3197" t="s">
        <v>3303</v>
      </c>
      <c r="C13" s="3582">
        <v>1.2</v>
      </c>
      <c r="D13" s="3582"/>
      <c r="E13" s="3582"/>
    </row>
    <row r="14" spans="2:8">
      <c r="B14" s="3197" t="s">
        <v>3289</v>
      </c>
      <c r="C14" s="3582">
        <f>ROUND(C12*C13/10000,2)</f>
        <v>0</v>
      </c>
      <c r="D14" s="3582"/>
      <c r="E14" s="3582"/>
    </row>
    <row r="16" spans="2:8">
      <c r="B16" s="3583" t="s">
        <v>3304</v>
      </c>
      <c r="C16" s="3583"/>
      <c r="D16" s="3583"/>
      <c r="E16" s="3583"/>
    </row>
    <row r="17" spans="2:5">
      <c r="B17" s="3581" t="s">
        <v>3305</v>
      </c>
      <c r="C17" s="3581"/>
      <c r="D17" s="3582">
        <v>67</v>
      </c>
      <c r="E17" s="3582"/>
    </row>
    <row r="18" spans="2:5">
      <c r="B18" s="3584" t="s">
        <v>3306</v>
      </c>
      <c r="C18" s="3584"/>
      <c r="D18" s="3582">
        <v>2000</v>
      </c>
      <c r="E18" s="3582"/>
    </row>
    <row r="19" spans="2:5">
      <c r="B19" s="3584" t="s">
        <v>3289</v>
      </c>
      <c r="C19" s="3584"/>
      <c r="D19" s="3585">
        <f>ROUND(D17*D18/10000,2)</f>
        <v>13.4</v>
      </c>
      <c r="E19" s="3585"/>
    </row>
    <row r="21" spans="2:5">
      <c r="B21" s="3583" t="s">
        <v>3307</v>
      </c>
      <c r="C21" s="3583"/>
      <c r="D21" s="3583"/>
      <c r="E21" s="3583"/>
    </row>
    <row r="22" spans="2:5">
      <c r="B22" s="3581" t="s">
        <v>3308</v>
      </c>
      <c r="C22" s="3581"/>
      <c r="D22" s="3582">
        <v>7</v>
      </c>
      <c r="E22" s="3582"/>
    </row>
    <row r="23" spans="2:5">
      <c r="B23" s="3581" t="s">
        <v>3309</v>
      </c>
      <c r="C23" s="3581"/>
      <c r="D23" s="3582">
        <v>1</v>
      </c>
      <c r="E23" s="3582"/>
    </row>
    <row r="24" spans="2:5">
      <c r="B24" s="3581" t="s">
        <v>3290</v>
      </c>
      <c r="C24" s="3581"/>
      <c r="D24" s="3582">
        <f>D22*D23</f>
        <v>7</v>
      </c>
      <c r="E24" s="3582"/>
    </row>
    <row r="26" spans="2:5">
      <c r="B26" s="3583" t="s">
        <v>3311</v>
      </c>
      <c r="C26" s="3583"/>
      <c r="D26" s="3583"/>
      <c r="E26" s="3583"/>
    </row>
    <row r="27" spans="2:5">
      <c r="B27" s="3581" t="s">
        <v>3312</v>
      </c>
      <c r="C27" s="3581"/>
      <c r="D27" s="3582">
        <f>D5</f>
        <v>80808</v>
      </c>
      <c r="E27" s="3582"/>
    </row>
    <row r="28" spans="2:5">
      <c r="B28" s="3581" t="s">
        <v>3313</v>
      </c>
      <c r="C28" s="3581"/>
      <c r="D28" s="3582">
        <v>50</v>
      </c>
      <c r="E28" s="3582"/>
    </row>
    <row r="29" spans="2:5">
      <c r="B29" s="3578" t="s">
        <v>3314</v>
      </c>
      <c r="C29" s="3579"/>
      <c r="D29" s="3580">
        <f>ROUND(D27*D28/10000,2)</f>
        <v>404.04</v>
      </c>
      <c r="E29" s="3580"/>
    </row>
  </sheetData>
  <mergeCells count="34">
    <mergeCell ref="B8:E8"/>
    <mergeCell ref="C12:E12"/>
    <mergeCell ref="C13:E13"/>
    <mergeCell ref="B2:E2"/>
    <mergeCell ref="B3:C3"/>
    <mergeCell ref="D3:E3"/>
    <mergeCell ref="B4:C4"/>
    <mergeCell ref="D4:E4"/>
    <mergeCell ref="B5:C5"/>
    <mergeCell ref="D5:E5"/>
    <mergeCell ref="B6:C6"/>
    <mergeCell ref="D6:E6"/>
    <mergeCell ref="B23:C23"/>
    <mergeCell ref="D23:E23"/>
    <mergeCell ref="C14:E14"/>
    <mergeCell ref="B16:E16"/>
    <mergeCell ref="B17:C17"/>
    <mergeCell ref="D17:E17"/>
    <mergeCell ref="B18:C18"/>
    <mergeCell ref="D18:E18"/>
    <mergeCell ref="B19:C19"/>
    <mergeCell ref="D19:E19"/>
    <mergeCell ref="B21:E21"/>
    <mergeCell ref="B22:C22"/>
    <mergeCell ref="D22:E22"/>
    <mergeCell ref="B29:C29"/>
    <mergeCell ref="D29:E29"/>
    <mergeCell ref="B24:C24"/>
    <mergeCell ref="D24:E24"/>
    <mergeCell ref="B26:E26"/>
    <mergeCell ref="B27:C27"/>
    <mergeCell ref="D27:E27"/>
    <mergeCell ref="B28:C28"/>
    <mergeCell ref="D28:E28"/>
  </mergeCells>
  <phoneticPr fontId="2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16"/>
  <sheetViews>
    <sheetView tabSelected="1" topLeftCell="B2" zoomScale="110" zoomScaleNormal="110" workbookViewId="0">
      <selection activeCell="R14" sqref="R14"/>
    </sheetView>
  </sheetViews>
  <sheetFormatPr defaultRowHeight="22.5" customHeight="1"/>
  <cols>
    <col min="1" max="1" width="18.125" style="3203" customWidth="1"/>
    <col min="2" max="2" width="12.125" style="3203" customWidth="1"/>
    <col min="3" max="3" width="18.25" style="3203" customWidth="1"/>
    <col min="4" max="4" width="9" style="3230"/>
    <col min="5" max="5" width="9.5" style="3203" bestFit="1" customWidth="1"/>
    <col min="6" max="16384" width="9" style="3203"/>
  </cols>
  <sheetData>
    <row r="1" spans="1:18" ht="22.5" customHeight="1">
      <c r="A1" s="3586" t="s">
        <v>3316</v>
      </c>
      <c r="B1" s="3586" t="s">
        <v>3317</v>
      </c>
      <c r="C1" s="3586" t="s">
        <v>3318</v>
      </c>
      <c r="D1" s="3589" t="s">
        <v>3319</v>
      </c>
      <c r="E1" s="3586" t="s">
        <v>3320</v>
      </c>
      <c r="F1" s="3586" t="s">
        <v>3321</v>
      </c>
      <c r="G1" s="3586" t="s">
        <v>3322</v>
      </c>
      <c r="H1" s="3586" t="s">
        <v>3323</v>
      </c>
      <c r="I1" s="3586" t="s">
        <v>3324</v>
      </c>
      <c r="J1" s="3586" t="s">
        <v>3325</v>
      </c>
      <c r="K1" s="3586" t="s">
        <v>3326</v>
      </c>
      <c r="L1" s="3586" t="s">
        <v>3327</v>
      </c>
      <c r="M1" s="3586" t="s">
        <v>3328</v>
      </c>
      <c r="N1" s="3586" t="s">
        <v>3342</v>
      </c>
      <c r="O1" s="3588" t="s">
        <v>3329</v>
      </c>
      <c r="P1" s="3586" t="s">
        <v>3330</v>
      </c>
    </row>
    <row r="2" spans="1:18" ht="22.5" customHeight="1" thickBot="1">
      <c r="A2" s="3587"/>
      <c r="B2" s="3587"/>
      <c r="C2" s="3587"/>
      <c r="D2" s="3590"/>
      <c r="E2" s="3587"/>
      <c r="F2" s="3587"/>
      <c r="G2" s="3587"/>
      <c r="H2" s="3587"/>
      <c r="I2" s="3587"/>
      <c r="J2" s="3587"/>
      <c r="K2" s="3587"/>
      <c r="L2" s="3587"/>
      <c r="M2" s="3587"/>
      <c r="N2" s="3587"/>
      <c r="O2" s="3587"/>
      <c r="P2" s="3587"/>
      <c r="R2" s="3204" t="s">
        <v>3331</v>
      </c>
    </row>
    <row r="3" spans="1:18" ht="22.5" customHeight="1" thickTop="1">
      <c r="A3" s="3205" t="str">
        <f>'数据-基础表'!C13</f>
        <v>1#电池厂房</v>
      </c>
      <c r="B3" s="3206">
        <v>1</v>
      </c>
      <c r="C3" s="3232" t="s">
        <v>3333</v>
      </c>
      <c r="D3" s="3207" t="s">
        <v>3334</v>
      </c>
      <c r="E3" s="3208">
        <v>23710</v>
      </c>
      <c r="F3" s="3240">
        <v>2500</v>
      </c>
      <c r="G3" s="3208">
        <f>F3*10/100</f>
        <v>250</v>
      </c>
      <c r="H3" s="3208">
        <f>F3+G3</f>
        <v>2750</v>
      </c>
      <c r="I3" s="3208">
        <f>H3*3/100</f>
        <v>82.5</v>
      </c>
      <c r="J3" s="3208">
        <f>ROUND((H3+I3)*1/100,2)</f>
        <v>28.33</v>
      </c>
      <c r="K3" s="3208">
        <f>ROUND((H3+I3+J3)*((1+0.0435)^(1/2)-1),2)</f>
        <v>61.56</v>
      </c>
      <c r="L3" s="3208">
        <f>ROUND((R3*10/100),2)</f>
        <v>286.08</v>
      </c>
      <c r="M3" s="3208">
        <f>H3+I3+J3+K3+L3</f>
        <v>3208.47</v>
      </c>
      <c r="N3" s="3237">
        <f>90%*90%</f>
        <v>0.81</v>
      </c>
      <c r="O3" s="3209">
        <f t="shared" ref="O3:O12" si="0">ROUND(M3*N3,0)</f>
        <v>2599</v>
      </c>
      <c r="P3" s="3210">
        <f>ROUND(O3*E3/10000,2)</f>
        <v>6162.23</v>
      </c>
      <c r="R3" s="3211">
        <f>H3+I3+J3</f>
        <v>2860.83</v>
      </c>
    </row>
    <row r="4" spans="1:18" ht="22.5" customHeight="1">
      <c r="A4" s="3212" t="str">
        <f>'数据-基础表'!C14</f>
        <v>生产检测车间</v>
      </c>
      <c r="B4" s="3213">
        <v>2</v>
      </c>
      <c r="C4" s="3228" t="s">
        <v>3343</v>
      </c>
      <c r="D4" s="3214" t="s">
        <v>3335</v>
      </c>
      <c r="E4" s="3215">
        <v>22686</v>
      </c>
      <c r="F4" s="3241">
        <v>2500</v>
      </c>
      <c r="G4" s="3208">
        <f t="shared" ref="G4:G12" si="1">F4*10/100</f>
        <v>250</v>
      </c>
      <c r="H4" s="3208">
        <f t="shared" ref="H4:H12" si="2">F4+G4</f>
        <v>2750</v>
      </c>
      <c r="I4" s="3208">
        <f t="shared" ref="I4:I12" si="3">H4*3/100</f>
        <v>82.5</v>
      </c>
      <c r="J4" s="3208">
        <f t="shared" ref="J4:J13" si="4">ROUND((H4+I4)*1/100,2)</f>
        <v>28.33</v>
      </c>
      <c r="K4" s="3208">
        <f t="shared" ref="K4:K12" si="5">ROUND((H4+I4+J4)*((1+0.0435)^(1/2)-1),2)</f>
        <v>61.56</v>
      </c>
      <c r="L4" s="3208">
        <f t="shared" ref="L4:L12" si="6">ROUND((R4*10/100),2)</f>
        <v>286.08</v>
      </c>
      <c r="M4" s="3215">
        <f t="shared" ref="M4:M13" si="7">H4+I4+J4+K4+L4</f>
        <v>3208.47</v>
      </c>
      <c r="N4" s="3238">
        <f>N3</f>
        <v>0.81</v>
      </c>
      <c r="O4" s="3235">
        <f t="shared" si="0"/>
        <v>2599</v>
      </c>
      <c r="P4" s="3210">
        <f t="shared" ref="P4:P12" si="8">ROUND(O4*E4/10000,2)</f>
        <v>5896.09</v>
      </c>
      <c r="R4" s="3211">
        <f t="shared" ref="R4:R13" si="9">H4+I4+J4</f>
        <v>2860.83</v>
      </c>
    </row>
    <row r="5" spans="1:18" ht="22.5" customHeight="1">
      <c r="A5" s="3216" t="str">
        <f>'数据-基础表'!C15</f>
        <v>1#标准厂房</v>
      </c>
      <c r="B5" s="3217">
        <v>3</v>
      </c>
      <c r="C5" s="3229" t="str">
        <f>C4</f>
        <v>框架</v>
      </c>
      <c r="D5" s="3218" t="s">
        <v>3336</v>
      </c>
      <c r="E5" s="3219">
        <v>6500</v>
      </c>
      <c r="F5" s="3242">
        <v>2200</v>
      </c>
      <c r="G5" s="3208">
        <f t="shared" si="1"/>
        <v>220</v>
      </c>
      <c r="H5" s="3208">
        <f t="shared" si="2"/>
        <v>2420</v>
      </c>
      <c r="I5" s="3208">
        <f t="shared" si="3"/>
        <v>72.599999999999994</v>
      </c>
      <c r="J5" s="3208">
        <f t="shared" si="4"/>
        <v>24.93</v>
      </c>
      <c r="K5" s="3208">
        <f t="shared" si="5"/>
        <v>54.17</v>
      </c>
      <c r="L5" s="3208">
        <f t="shared" si="6"/>
        <v>251.75</v>
      </c>
      <c r="M5" s="3219">
        <f t="shared" si="7"/>
        <v>2823.45</v>
      </c>
      <c r="N5" s="3239">
        <f>N3</f>
        <v>0.81</v>
      </c>
      <c r="O5" s="3236">
        <f t="shared" si="0"/>
        <v>2287</v>
      </c>
      <c r="P5" s="3210">
        <f t="shared" si="8"/>
        <v>1486.55</v>
      </c>
      <c r="R5" s="3211">
        <f t="shared" si="9"/>
        <v>2517.5299999999997</v>
      </c>
    </row>
    <row r="6" spans="1:18" ht="22.5" customHeight="1">
      <c r="A6" s="3212" t="str">
        <f>'数据-基础表'!C16</f>
        <v>1#单身宿舍</v>
      </c>
      <c r="B6" s="3213">
        <v>4</v>
      </c>
      <c r="C6" s="3228" t="str">
        <f>C4</f>
        <v>框架</v>
      </c>
      <c r="D6" s="3214" t="s">
        <v>3337</v>
      </c>
      <c r="E6" s="3215">
        <v>8238</v>
      </c>
      <c r="F6" s="3243">
        <f>F5</f>
        <v>2200</v>
      </c>
      <c r="G6" s="3208">
        <f t="shared" si="1"/>
        <v>220</v>
      </c>
      <c r="H6" s="3208">
        <f t="shared" si="2"/>
        <v>2420</v>
      </c>
      <c r="I6" s="3208">
        <f t="shared" si="3"/>
        <v>72.599999999999994</v>
      </c>
      <c r="J6" s="3208">
        <f t="shared" si="4"/>
        <v>24.93</v>
      </c>
      <c r="K6" s="3208">
        <f t="shared" si="5"/>
        <v>54.17</v>
      </c>
      <c r="L6" s="3208">
        <f t="shared" si="6"/>
        <v>251.75</v>
      </c>
      <c r="M6" s="3215">
        <f t="shared" si="7"/>
        <v>2823.45</v>
      </c>
      <c r="N6" s="3238">
        <f>N3</f>
        <v>0.81</v>
      </c>
      <c r="O6" s="3235">
        <f t="shared" si="0"/>
        <v>2287</v>
      </c>
      <c r="P6" s="3210">
        <f t="shared" si="8"/>
        <v>1884.03</v>
      </c>
      <c r="R6" s="3211">
        <f t="shared" si="9"/>
        <v>2517.5299999999997</v>
      </c>
    </row>
    <row r="7" spans="1:18" ht="22.5" customHeight="1">
      <c r="A7" s="3216" t="str">
        <f>'数据-基础表'!C17</f>
        <v>2#标准厂房</v>
      </c>
      <c r="B7" s="3217">
        <v>5</v>
      </c>
      <c r="C7" s="3229" t="str">
        <f>C4</f>
        <v>框架</v>
      </c>
      <c r="D7" s="3233" t="s">
        <v>3338</v>
      </c>
      <c r="E7" s="3219">
        <v>11032</v>
      </c>
      <c r="F7" s="3242">
        <f>F5</f>
        <v>2200</v>
      </c>
      <c r="G7" s="3208">
        <f t="shared" si="1"/>
        <v>220</v>
      </c>
      <c r="H7" s="3208">
        <f t="shared" si="2"/>
        <v>2420</v>
      </c>
      <c r="I7" s="3208">
        <f t="shared" si="3"/>
        <v>72.599999999999994</v>
      </c>
      <c r="J7" s="3208">
        <f t="shared" si="4"/>
        <v>24.93</v>
      </c>
      <c r="K7" s="3208">
        <f t="shared" si="5"/>
        <v>54.17</v>
      </c>
      <c r="L7" s="3208">
        <f t="shared" si="6"/>
        <v>251.75</v>
      </c>
      <c r="M7" s="3219">
        <f t="shared" si="7"/>
        <v>2823.45</v>
      </c>
      <c r="N7" s="3239">
        <f>N3</f>
        <v>0.81</v>
      </c>
      <c r="O7" s="3236">
        <f t="shared" si="0"/>
        <v>2287</v>
      </c>
      <c r="P7" s="3210">
        <f t="shared" si="8"/>
        <v>2523.02</v>
      </c>
      <c r="R7" s="3211">
        <f t="shared" si="9"/>
        <v>2517.5299999999997</v>
      </c>
    </row>
    <row r="8" spans="1:18" ht="22.5" customHeight="1">
      <c r="A8" s="3212" t="str">
        <f>'数据-基础表'!C18</f>
        <v>2#单身宿舍</v>
      </c>
      <c r="B8" s="3213">
        <v>6</v>
      </c>
      <c r="C8" s="3228" t="str">
        <f>C4</f>
        <v>框架</v>
      </c>
      <c r="D8" s="3234" t="s">
        <v>3338</v>
      </c>
      <c r="E8" s="3215">
        <v>8238</v>
      </c>
      <c r="F8" s="3243">
        <f>F5</f>
        <v>2200</v>
      </c>
      <c r="G8" s="3208">
        <f t="shared" si="1"/>
        <v>220</v>
      </c>
      <c r="H8" s="3208">
        <f t="shared" si="2"/>
        <v>2420</v>
      </c>
      <c r="I8" s="3208">
        <f t="shared" si="3"/>
        <v>72.599999999999994</v>
      </c>
      <c r="J8" s="3208">
        <f t="shared" si="4"/>
        <v>24.93</v>
      </c>
      <c r="K8" s="3208">
        <f t="shared" si="5"/>
        <v>54.17</v>
      </c>
      <c r="L8" s="3208">
        <f t="shared" si="6"/>
        <v>251.75</v>
      </c>
      <c r="M8" s="3215">
        <f t="shared" si="7"/>
        <v>2823.45</v>
      </c>
      <c r="N8" s="3238">
        <f>N3</f>
        <v>0.81</v>
      </c>
      <c r="O8" s="3235">
        <f t="shared" si="0"/>
        <v>2287</v>
      </c>
      <c r="P8" s="3210">
        <f t="shared" si="8"/>
        <v>1884.03</v>
      </c>
      <c r="R8" s="3211">
        <f t="shared" si="9"/>
        <v>2517.5299999999997</v>
      </c>
    </row>
    <row r="9" spans="1:18" ht="22.5" customHeight="1">
      <c r="A9" s="3216" t="str">
        <f>'数据-基础表'!C19</f>
        <v>门卫1</v>
      </c>
      <c r="B9" s="3217">
        <v>7</v>
      </c>
      <c r="C9" s="3229" t="s">
        <v>3341</v>
      </c>
      <c r="D9" s="3233" t="s">
        <v>3339</v>
      </c>
      <c r="E9" s="3219">
        <v>16</v>
      </c>
      <c r="F9" s="3217">
        <v>1000</v>
      </c>
      <c r="G9" s="3208">
        <f t="shared" si="1"/>
        <v>100</v>
      </c>
      <c r="H9" s="3208">
        <f t="shared" si="2"/>
        <v>1100</v>
      </c>
      <c r="I9" s="3208">
        <f t="shared" si="3"/>
        <v>33</v>
      </c>
      <c r="J9" s="3208">
        <f t="shared" si="4"/>
        <v>11.33</v>
      </c>
      <c r="K9" s="3208">
        <f t="shared" si="5"/>
        <v>24.62</v>
      </c>
      <c r="L9" s="3208">
        <f t="shared" si="6"/>
        <v>114.43</v>
      </c>
      <c r="M9" s="3219">
        <f t="shared" si="7"/>
        <v>1283.3799999999999</v>
      </c>
      <c r="N9" s="3239">
        <f>N3</f>
        <v>0.81</v>
      </c>
      <c r="O9" s="3236">
        <f t="shared" si="0"/>
        <v>1040</v>
      </c>
      <c r="P9" s="3210">
        <f t="shared" si="8"/>
        <v>1.66</v>
      </c>
      <c r="R9" s="3211">
        <f t="shared" si="9"/>
        <v>1144.33</v>
      </c>
    </row>
    <row r="10" spans="1:18" ht="22.5" customHeight="1">
      <c r="A10" s="3212" t="str">
        <f>'数据-基础表'!C20</f>
        <v>门卫2</v>
      </c>
      <c r="B10" s="3213">
        <v>8</v>
      </c>
      <c r="C10" s="3228" t="s">
        <v>3341</v>
      </c>
      <c r="D10" s="3234" t="s">
        <v>3340</v>
      </c>
      <c r="E10" s="3215">
        <v>48</v>
      </c>
      <c r="F10" s="3213">
        <f>F9</f>
        <v>1000</v>
      </c>
      <c r="G10" s="3208">
        <f t="shared" si="1"/>
        <v>100</v>
      </c>
      <c r="H10" s="3208">
        <f t="shared" si="2"/>
        <v>1100</v>
      </c>
      <c r="I10" s="3208">
        <f t="shared" si="3"/>
        <v>33</v>
      </c>
      <c r="J10" s="3208">
        <f t="shared" si="4"/>
        <v>11.33</v>
      </c>
      <c r="K10" s="3208">
        <f t="shared" si="5"/>
        <v>24.62</v>
      </c>
      <c r="L10" s="3208">
        <f t="shared" si="6"/>
        <v>114.43</v>
      </c>
      <c r="M10" s="3215">
        <f t="shared" si="7"/>
        <v>1283.3799999999999</v>
      </c>
      <c r="N10" s="3238">
        <f>N3</f>
        <v>0.81</v>
      </c>
      <c r="O10" s="3235">
        <f t="shared" si="0"/>
        <v>1040</v>
      </c>
      <c r="P10" s="3210">
        <f t="shared" si="8"/>
        <v>4.99</v>
      </c>
      <c r="R10" s="3211">
        <f t="shared" si="9"/>
        <v>1144.33</v>
      </c>
    </row>
    <row r="11" spans="1:18" ht="22.5" customHeight="1">
      <c r="A11" s="3216" t="str">
        <f>'数据-基础表'!C21</f>
        <v>连廊</v>
      </c>
      <c r="B11" s="3217">
        <v>9</v>
      </c>
      <c r="C11" s="3229" t="s">
        <v>3333</v>
      </c>
      <c r="D11" s="3233" t="s">
        <v>3339</v>
      </c>
      <c r="E11" s="3219">
        <v>100</v>
      </c>
      <c r="F11" s="3244">
        <v>2000</v>
      </c>
      <c r="G11" s="3208">
        <f t="shared" si="1"/>
        <v>200</v>
      </c>
      <c r="H11" s="3208">
        <f t="shared" si="2"/>
        <v>2200</v>
      </c>
      <c r="I11" s="3208">
        <f t="shared" si="3"/>
        <v>66</v>
      </c>
      <c r="J11" s="3208">
        <f t="shared" si="4"/>
        <v>22.66</v>
      </c>
      <c r="K11" s="3208">
        <f t="shared" si="5"/>
        <v>49.25</v>
      </c>
      <c r="L11" s="3208">
        <f t="shared" si="6"/>
        <v>228.87</v>
      </c>
      <c r="M11" s="3219">
        <f t="shared" si="7"/>
        <v>2566.7799999999997</v>
      </c>
      <c r="N11" s="3239">
        <f>N3</f>
        <v>0.81</v>
      </c>
      <c r="O11" s="3236">
        <f t="shared" si="0"/>
        <v>2079</v>
      </c>
      <c r="P11" s="3210">
        <f t="shared" si="8"/>
        <v>20.79</v>
      </c>
      <c r="R11" s="3211">
        <f t="shared" si="9"/>
        <v>2288.66</v>
      </c>
    </row>
    <row r="12" spans="1:18" ht="22.5" customHeight="1" thickBot="1">
      <c r="A12" s="3212" t="str">
        <f>'数据-基础表'!C22</f>
        <v>1#废水处理区操作间</v>
      </c>
      <c r="B12" s="3213">
        <v>10</v>
      </c>
      <c r="C12" s="3228" t="s">
        <v>3333</v>
      </c>
      <c r="D12" s="3234" t="s">
        <v>3339</v>
      </c>
      <c r="E12" s="3215">
        <v>240</v>
      </c>
      <c r="F12" s="3235">
        <v>1500</v>
      </c>
      <c r="G12" s="3208">
        <f t="shared" si="1"/>
        <v>150</v>
      </c>
      <c r="H12" s="3208">
        <f t="shared" si="2"/>
        <v>1650</v>
      </c>
      <c r="I12" s="3208">
        <f t="shared" si="3"/>
        <v>49.5</v>
      </c>
      <c r="J12" s="3208">
        <f t="shared" si="4"/>
        <v>17</v>
      </c>
      <c r="K12" s="3208">
        <f t="shared" si="5"/>
        <v>36.94</v>
      </c>
      <c r="L12" s="3208">
        <f t="shared" si="6"/>
        <v>171.65</v>
      </c>
      <c r="M12" s="3215">
        <f t="shared" si="7"/>
        <v>1925.0900000000001</v>
      </c>
      <c r="N12" s="3238">
        <f>N3</f>
        <v>0.81</v>
      </c>
      <c r="O12" s="3235">
        <f t="shared" si="0"/>
        <v>1559</v>
      </c>
      <c r="P12" s="3210">
        <f t="shared" si="8"/>
        <v>37.42</v>
      </c>
      <c r="R12" s="3211">
        <f t="shared" si="9"/>
        <v>1716.5</v>
      </c>
    </row>
    <row r="13" spans="1:18" ht="22.5" hidden="1" customHeight="1">
      <c r="A13" s="3222"/>
      <c r="B13" s="3217">
        <v>11</v>
      </c>
      <c r="C13" s="3217"/>
      <c r="D13" s="3218"/>
      <c r="E13" s="3219"/>
      <c r="F13" s="3217"/>
      <c r="G13" s="3219">
        <f t="shared" ref="G13" si="10">F13*15/100</f>
        <v>0</v>
      </c>
      <c r="H13" s="3219">
        <f t="shared" ref="H13" si="11">F13+G13</f>
        <v>0</v>
      </c>
      <c r="I13" s="3219">
        <f t="shared" ref="I13" si="12">H13*3/100</f>
        <v>0</v>
      </c>
      <c r="J13" s="3208">
        <f t="shared" si="4"/>
        <v>0</v>
      </c>
      <c r="K13" s="3219">
        <f t="shared" ref="K13" si="13">ROUND((H13+I13+J13)*((1+0.0435)^(1/2)-1),2)</f>
        <v>0</v>
      </c>
      <c r="L13" s="3219">
        <f t="shared" ref="L13" si="14">ROUND((R13*15/100),2)</f>
        <v>0</v>
      </c>
      <c r="M13" s="3219">
        <f t="shared" si="7"/>
        <v>0</v>
      </c>
      <c r="N13" s="3220">
        <v>10.75</v>
      </c>
      <c r="O13" s="3219">
        <f t="shared" ref="O13" si="15">ROUND(M13*N13,2)</f>
        <v>0</v>
      </c>
      <c r="P13" s="3221">
        <f t="shared" ref="P13" si="16">ROUND(O13*E13/10000,2)</f>
        <v>0</v>
      </c>
      <c r="R13" s="3211">
        <f t="shared" si="9"/>
        <v>0</v>
      </c>
    </row>
    <row r="14" spans="1:18" ht="22.5" customHeight="1" thickTop="1" thickBot="1">
      <c r="A14" s="3223" t="s">
        <v>3332</v>
      </c>
      <c r="B14" s="3224"/>
      <c r="C14" s="3224"/>
      <c r="D14" s="3225"/>
      <c r="E14" s="3226">
        <f>SUM(E3:E13)</f>
        <v>80808</v>
      </c>
      <c r="F14" s="3224"/>
      <c r="G14" s="3224"/>
      <c r="H14" s="3224"/>
      <c r="I14" s="3224"/>
      <c r="J14" s="3224"/>
      <c r="K14" s="3224"/>
      <c r="L14" s="3224"/>
      <c r="M14" s="3224"/>
      <c r="N14" s="3224"/>
      <c r="O14" s="3224"/>
      <c r="P14" s="3227">
        <f>SUM(P3:P13)</f>
        <v>19900.809999999998</v>
      </c>
    </row>
    <row r="16" spans="1:18" ht="22.5" customHeight="1">
      <c r="P16" s="3231"/>
    </row>
  </sheetData>
  <mergeCells count="16">
    <mergeCell ref="K1:K2"/>
    <mergeCell ref="A1:A2"/>
    <mergeCell ref="B1:B2"/>
    <mergeCell ref="C1:C2"/>
    <mergeCell ref="D1:D2"/>
    <mergeCell ref="E1:E2"/>
    <mergeCell ref="F1:F2"/>
    <mergeCell ref="G1:G2"/>
    <mergeCell ref="H1:H2"/>
    <mergeCell ref="I1:I2"/>
    <mergeCell ref="J1:J2"/>
    <mergeCell ref="L1:L2"/>
    <mergeCell ref="M1:M2"/>
    <mergeCell ref="N1:N2"/>
    <mergeCell ref="O1:O2"/>
    <mergeCell ref="P1:P2"/>
  </mergeCells>
  <phoneticPr fontId="2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5:H18"/>
  <sheetViews>
    <sheetView workbookViewId="0">
      <selection activeCell="D23" sqref="D23:E23"/>
    </sheetView>
  </sheetViews>
  <sheetFormatPr defaultRowHeight="13.5"/>
  <cols>
    <col min="2" max="2" width="12.125" customWidth="1"/>
    <col min="3" max="3" width="18.25" customWidth="1"/>
  </cols>
  <sheetData>
    <row r="5" spans="2:8">
      <c r="B5" s="3269" t="s">
        <v>3369</v>
      </c>
      <c r="C5" s="3269" t="s">
        <v>3370</v>
      </c>
      <c r="D5" s="3269" t="s">
        <v>3371</v>
      </c>
      <c r="E5" s="3269" t="s">
        <v>3372</v>
      </c>
      <c r="F5" s="3269" t="s">
        <v>3373</v>
      </c>
      <c r="G5" s="3269" t="s">
        <v>3374</v>
      </c>
      <c r="H5" s="3269" t="s">
        <v>3375</v>
      </c>
    </row>
    <row r="6" spans="2:8">
      <c r="B6" s="3270">
        <v>1</v>
      </c>
      <c r="C6" s="3270" t="s">
        <v>3376</v>
      </c>
      <c r="D6" s="3270" t="s">
        <v>3377</v>
      </c>
      <c r="E6" s="3271">
        <f>'[4]附属物-树木'!D50</f>
        <v>0</v>
      </c>
      <c r="F6" s="3272"/>
      <c r="G6" s="3271"/>
      <c r="H6" s="3271">
        <f>ROUND(树木!E46/10000,2)</f>
        <v>8.39</v>
      </c>
    </row>
    <row r="7" spans="2:8">
      <c r="B7" s="3273">
        <v>2</v>
      </c>
      <c r="C7" s="3270" t="s">
        <v>3378</v>
      </c>
      <c r="D7" s="3270" t="s">
        <v>3379</v>
      </c>
      <c r="E7" s="3273">
        <f>5600+8570</f>
        <v>14170</v>
      </c>
      <c r="F7" s="3272">
        <v>0.05</v>
      </c>
      <c r="G7" s="3273">
        <v>0.8</v>
      </c>
      <c r="H7" s="3271">
        <f>ROUND(E7*F7*G7*$C$18/10000,2)</f>
        <v>17.489999999999998</v>
      </c>
    </row>
    <row r="8" spans="2:8">
      <c r="B8" s="3270">
        <v>3</v>
      </c>
      <c r="C8" s="3270" t="s">
        <v>3380</v>
      </c>
      <c r="D8" s="3270" t="s">
        <v>3379</v>
      </c>
      <c r="E8" s="3271">
        <v>760</v>
      </c>
      <c r="F8" s="3272">
        <v>0.33</v>
      </c>
      <c r="G8" s="3271">
        <v>0.8</v>
      </c>
      <c r="H8" s="3271">
        <f t="shared" ref="H8:H11" si="0">ROUND(E8*F8*G8*$C$18/10000,2)</f>
        <v>6.19</v>
      </c>
    </row>
    <row r="9" spans="2:8">
      <c r="B9" s="3273">
        <v>4</v>
      </c>
      <c r="C9" s="3274" t="s">
        <v>3381</v>
      </c>
      <c r="D9" s="3274" t="s">
        <v>3382</v>
      </c>
      <c r="E9" s="3273">
        <v>591.20000000000005</v>
      </c>
      <c r="F9" s="3273">
        <v>0.79</v>
      </c>
      <c r="G9" s="3273">
        <v>0.8</v>
      </c>
      <c r="H9" s="3271">
        <f t="shared" si="0"/>
        <v>11.53</v>
      </c>
    </row>
    <row r="10" spans="2:8">
      <c r="B10" s="3270">
        <v>5</v>
      </c>
      <c r="C10" s="3270" t="s">
        <v>3383</v>
      </c>
      <c r="D10" s="3270" t="s">
        <v>3382</v>
      </c>
      <c r="E10" s="3271">
        <f>10.4+13</f>
        <v>23.4</v>
      </c>
      <c r="F10" s="3272">
        <v>600</v>
      </c>
      <c r="G10" s="3271">
        <v>0.8</v>
      </c>
      <c r="H10" s="3271">
        <f>ROUND(E10*F10*G10/10000,2)</f>
        <v>1.1200000000000001</v>
      </c>
    </row>
    <row r="11" spans="2:8">
      <c r="B11" s="3273">
        <v>6</v>
      </c>
      <c r="C11" s="3274" t="s">
        <v>3384</v>
      </c>
      <c r="D11" s="3274" t="s">
        <v>3379</v>
      </c>
      <c r="E11" s="3273">
        <f>32.13*19.1</f>
        <v>613.68300000000011</v>
      </c>
      <c r="F11" s="3273">
        <v>0.21</v>
      </c>
      <c r="G11" s="3273">
        <v>0.6</v>
      </c>
      <c r="H11" s="3271">
        <f t="shared" si="0"/>
        <v>2.39</v>
      </c>
    </row>
    <row r="12" spans="2:8">
      <c r="B12" s="3270">
        <v>7</v>
      </c>
      <c r="C12" s="3270" t="s">
        <v>3385</v>
      </c>
      <c r="D12" s="3270" t="s">
        <v>3382</v>
      </c>
      <c r="E12" s="3271">
        <f>12*3</f>
        <v>36</v>
      </c>
      <c r="F12" s="3272">
        <v>800</v>
      </c>
      <c r="G12" s="3271">
        <v>0.7</v>
      </c>
      <c r="H12" s="3271">
        <f>ROUND(E12*F12*G12/10000,2)</f>
        <v>2.02</v>
      </c>
    </row>
    <row r="13" spans="2:8">
      <c r="B13" s="3273">
        <v>8</v>
      </c>
      <c r="C13" s="3274" t="s">
        <v>3386</v>
      </c>
      <c r="D13" s="3274" t="s">
        <v>3387</v>
      </c>
      <c r="E13" s="3273">
        <v>15</v>
      </c>
      <c r="F13" s="3273">
        <v>2000</v>
      </c>
      <c r="G13" s="3273">
        <v>0.7</v>
      </c>
      <c r="H13" s="3271">
        <f>ROUND(E13*F13*G13/10000,2)</f>
        <v>2.1</v>
      </c>
    </row>
    <row r="14" spans="2:8">
      <c r="B14" s="3270">
        <v>9</v>
      </c>
      <c r="C14" s="3270" t="s">
        <v>3388</v>
      </c>
      <c r="D14" s="3270" t="s">
        <v>3387</v>
      </c>
      <c r="E14" s="3271">
        <v>148</v>
      </c>
      <c r="F14" s="3272">
        <v>2000</v>
      </c>
      <c r="G14" s="3271">
        <v>0.7</v>
      </c>
      <c r="H14" s="3271">
        <f>ROUND(E14*F14*G14/10000,2)</f>
        <v>20.72</v>
      </c>
    </row>
    <row r="15" spans="2:8">
      <c r="B15" s="3270" t="s">
        <v>3389</v>
      </c>
      <c r="C15" s="3271"/>
      <c r="D15" s="3271"/>
      <c r="E15" s="3271"/>
      <c r="F15" s="3271"/>
      <c r="G15" s="3271"/>
      <c r="H15" s="3271">
        <f>SUM(H6:H14)</f>
        <v>71.95</v>
      </c>
    </row>
    <row r="16" spans="2:8">
      <c r="B16" s="3275"/>
      <c r="C16" s="3275"/>
      <c r="D16" s="3275"/>
      <c r="E16" s="3275"/>
      <c r="F16" s="3275"/>
      <c r="G16" s="3275"/>
      <c r="H16" s="3275"/>
    </row>
    <row r="17" spans="2:8">
      <c r="B17" s="3275"/>
      <c r="C17" s="3275"/>
      <c r="D17" s="3275"/>
      <c r="E17" s="3275"/>
      <c r="F17" s="3275"/>
      <c r="G17" s="3275"/>
      <c r="H17" s="3275"/>
    </row>
    <row r="18" spans="2:8">
      <c r="B18" s="3276" t="s">
        <v>3390</v>
      </c>
      <c r="C18" s="3275">
        <f>295*1.046</f>
        <v>308.57</v>
      </c>
      <c r="D18" s="3275"/>
      <c r="E18" s="3275"/>
      <c r="F18" s="3275"/>
      <c r="G18" s="3275"/>
      <c r="H18" s="3275"/>
    </row>
  </sheetData>
  <phoneticPr fontId="2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46"/>
  <sheetViews>
    <sheetView topLeftCell="A31" workbookViewId="0">
      <selection activeCell="D23" sqref="D23:E23"/>
    </sheetView>
  </sheetViews>
  <sheetFormatPr defaultRowHeight="13.5"/>
  <cols>
    <col min="2" max="2" width="12.125" customWidth="1"/>
    <col min="3" max="3" width="18.25" customWidth="1"/>
  </cols>
  <sheetData>
    <row r="1" spans="1:5" ht="15">
      <c r="A1" s="3277"/>
      <c r="B1" s="3278" t="s">
        <v>3391</v>
      </c>
      <c r="C1" s="3278" t="s">
        <v>3392</v>
      </c>
      <c r="D1" s="3278" t="s">
        <v>3393</v>
      </c>
      <c r="E1" s="3278" t="s">
        <v>3394</v>
      </c>
    </row>
    <row r="2" spans="1:5" ht="15">
      <c r="A2" s="3591" t="s">
        <v>3395</v>
      </c>
      <c r="B2" s="3279">
        <v>4</v>
      </c>
      <c r="C2" s="3280">
        <v>2</v>
      </c>
      <c r="D2" s="3277">
        <v>6</v>
      </c>
      <c r="E2" s="3277">
        <f t="shared" ref="E2:E45" si="0">B2*C2*D2</f>
        <v>48</v>
      </c>
    </row>
    <row r="3" spans="1:5" ht="15">
      <c r="A3" s="3592"/>
      <c r="B3" s="3279">
        <v>5</v>
      </c>
      <c r="C3" s="3280">
        <v>1</v>
      </c>
      <c r="D3" s="3277">
        <v>6</v>
      </c>
      <c r="E3" s="3277">
        <f t="shared" si="0"/>
        <v>30</v>
      </c>
    </row>
    <row r="4" spans="1:5" ht="15">
      <c r="A4" s="3592"/>
      <c r="B4" s="3279">
        <v>6</v>
      </c>
      <c r="C4" s="3280">
        <v>4</v>
      </c>
      <c r="D4" s="3277">
        <v>6</v>
      </c>
      <c r="E4" s="3277">
        <f t="shared" si="0"/>
        <v>144</v>
      </c>
    </row>
    <row r="5" spans="1:5" ht="15">
      <c r="A5" s="3592"/>
      <c r="B5" s="3279">
        <v>7</v>
      </c>
      <c r="C5" s="3280">
        <v>4</v>
      </c>
      <c r="D5" s="3277">
        <v>6</v>
      </c>
      <c r="E5" s="3277">
        <f t="shared" si="0"/>
        <v>168</v>
      </c>
    </row>
    <row r="6" spans="1:5" ht="15">
      <c r="A6" s="3592"/>
      <c r="B6" s="3279">
        <v>8</v>
      </c>
      <c r="C6" s="3280">
        <v>9</v>
      </c>
      <c r="D6" s="3277">
        <v>6</v>
      </c>
      <c r="E6" s="3277">
        <f t="shared" si="0"/>
        <v>432</v>
      </c>
    </row>
    <row r="7" spans="1:5" ht="15">
      <c r="A7" s="3592"/>
      <c r="B7" s="3279">
        <v>9</v>
      </c>
      <c r="C7" s="3280">
        <v>2</v>
      </c>
      <c r="D7" s="3277">
        <v>6</v>
      </c>
      <c r="E7" s="3277">
        <f t="shared" si="0"/>
        <v>108</v>
      </c>
    </row>
    <row r="8" spans="1:5" ht="15">
      <c r="A8" s="3592"/>
      <c r="B8" s="3279">
        <v>10</v>
      </c>
      <c r="C8" s="3280">
        <v>19</v>
      </c>
      <c r="D8" s="3277">
        <v>12</v>
      </c>
      <c r="E8" s="3277">
        <f t="shared" si="0"/>
        <v>2280</v>
      </c>
    </row>
    <row r="9" spans="1:5" ht="15">
      <c r="A9" s="3592"/>
      <c r="B9" s="3279">
        <v>11</v>
      </c>
      <c r="C9" s="3280">
        <v>26</v>
      </c>
      <c r="D9" s="3277">
        <v>12</v>
      </c>
      <c r="E9" s="3277">
        <f t="shared" si="0"/>
        <v>3432</v>
      </c>
    </row>
    <row r="10" spans="1:5" ht="15">
      <c r="A10" s="3592"/>
      <c r="B10" s="3279">
        <v>12</v>
      </c>
      <c r="C10" s="3280">
        <v>23</v>
      </c>
      <c r="D10" s="3277">
        <v>12</v>
      </c>
      <c r="E10" s="3277">
        <f t="shared" si="0"/>
        <v>3312</v>
      </c>
    </row>
    <row r="11" spans="1:5" ht="15">
      <c r="A11" s="3592"/>
      <c r="B11" s="3279">
        <v>13</v>
      </c>
      <c r="C11" s="3280">
        <v>19</v>
      </c>
      <c r="D11" s="3277">
        <v>12</v>
      </c>
      <c r="E11" s="3277">
        <f t="shared" si="0"/>
        <v>2964</v>
      </c>
    </row>
    <row r="12" spans="1:5" ht="15">
      <c r="A12" s="3592"/>
      <c r="B12" s="3279">
        <v>14</v>
      </c>
      <c r="C12" s="3280">
        <v>23</v>
      </c>
      <c r="D12" s="3277">
        <v>12</v>
      </c>
      <c r="E12" s="3277">
        <f t="shared" si="0"/>
        <v>3864</v>
      </c>
    </row>
    <row r="13" spans="1:5" ht="15">
      <c r="A13" s="3592"/>
      <c r="B13" s="3279">
        <v>15</v>
      </c>
      <c r="C13" s="3280">
        <v>20</v>
      </c>
      <c r="D13" s="3277">
        <v>12</v>
      </c>
      <c r="E13" s="3277">
        <f t="shared" si="0"/>
        <v>3600</v>
      </c>
    </row>
    <row r="14" spans="1:5" ht="15">
      <c r="A14" s="3592"/>
      <c r="B14" s="3279">
        <v>16</v>
      </c>
      <c r="C14" s="3280">
        <v>27</v>
      </c>
      <c r="D14" s="3277">
        <v>12</v>
      </c>
      <c r="E14" s="3277">
        <f t="shared" si="0"/>
        <v>5184</v>
      </c>
    </row>
    <row r="15" spans="1:5" ht="15">
      <c r="A15" s="3592"/>
      <c r="B15" s="3279">
        <v>17</v>
      </c>
      <c r="C15" s="3280">
        <v>14</v>
      </c>
      <c r="D15" s="3277">
        <v>12</v>
      </c>
      <c r="E15" s="3277">
        <f t="shared" si="0"/>
        <v>2856</v>
      </c>
    </row>
    <row r="16" spans="1:5" ht="15">
      <c r="A16" s="3592"/>
      <c r="B16" s="3279">
        <v>18</v>
      </c>
      <c r="C16" s="3280">
        <v>6</v>
      </c>
      <c r="D16" s="3277">
        <v>12</v>
      </c>
      <c r="E16" s="3277">
        <f t="shared" si="0"/>
        <v>1296</v>
      </c>
    </row>
    <row r="17" spans="1:5" ht="15">
      <c r="A17" s="3592"/>
      <c r="B17" s="3279">
        <v>19</v>
      </c>
      <c r="C17" s="3280">
        <v>13</v>
      </c>
      <c r="D17" s="3277">
        <v>12</v>
      </c>
      <c r="E17" s="3277">
        <f t="shared" si="0"/>
        <v>2964</v>
      </c>
    </row>
    <row r="18" spans="1:5" ht="15">
      <c r="A18" s="3592"/>
      <c r="B18" s="3279">
        <v>20</v>
      </c>
      <c r="C18" s="3280">
        <v>37</v>
      </c>
      <c r="D18" s="3277">
        <v>20</v>
      </c>
      <c r="E18" s="3277">
        <f t="shared" si="0"/>
        <v>14800</v>
      </c>
    </row>
    <row r="19" spans="1:5" ht="15">
      <c r="A19" s="3592"/>
      <c r="B19" s="3279">
        <v>21</v>
      </c>
      <c r="C19" s="3280">
        <v>11</v>
      </c>
      <c r="D19" s="3277">
        <v>20</v>
      </c>
      <c r="E19" s="3277">
        <f t="shared" si="0"/>
        <v>4620</v>
      </c>
    </row>
    <row r="20" spans="1:5" ht="15">
      <c r="A20" s="3592"/>
      <c r="B20" s="3279">
        <v>22</v>
      </c>
      <c r="C20" s="3280">
        <v>15</v>
      </c>
      <c r="D20" s="3277">
        <v>20</v>
      </c>
      <c r="E20" s="3277">
        <f t="shared" si="0"/>
        <v>6600</v>
      </c>
    </row>
    <row r="21" spans="1:5" ht="15">
      <c r="A21" s="3592"/>
      <c r="B21" s="3279">
        <v>23</v>
      </c>
      <c r="C21" s="3280">
        <v>10</v>
      </c>
      <c r="D21" s="3277">
        <v>20</v>
      </c>
      <c r="E21" s="3277">
        <f t="shared" si="0"/>
        <v>4600</v>
      </c>
    </row>
    <row r="22" spans="1:5" ht="15">
      <c r="A22" s="3592"/>
      <c r="B22" s="3279">
        <v>24</v>
      </c>
      <c r="C22" s="3280">
        <v>7</v>
      </c>
      <c r="D22" s="3277">
        <v>20</v>
      </c>
      <c r="E22" s="3277">
        <f t="shared" si="0"/>
        <v>3360</v>
      </c>
    </row>
    <row r="23" spans="1:5" ht="15">
      <c r="A23" s="3592"/>
      <c r="B23" s="3279">
        <v>25</v>
      </c>
      <c r="C23" s="3280">
        <v>9</v>
      </c>
      <c r="D23" s="3277">
        <v>20</v>
      </c>
      <c r="E23" s="3277">
        <f t="shared" si="0"/>
        <v>4500</v>
      </c>
    </row>
    <row r="24" spans="1:5" ht="15">
      <c r="A24" s="3592"/>
      <c r="B24" s="3279">
        <v>26</v>
      </c>
      <c r="C24" s="3280">
        <v>6</v>
      </c>
      <c r="D24" s="3277">
        <v>20</v>
      </c>
      <c r="E24" s="3277">
        <f t="shared" si="0"/>
        <v>3120</v>
      </c>
    </row>
    <row r="25" spans="1:5" ht="15">
      <c r="A25" s="3592"/>
      <c r="B25" s="3279">
        <v>27</v>
      </c>
      <c r="C25" s="3280">
        <v>6</v>
      </c>
      <c r="D25" s="3277">
        <v>2</v>
      </c>
      <c r="E25" s="3277">
        <f t="shared" si="0"/>
        <v>324</v>
      </c>
    </row>
    <row r="26" spans="1:5" ht="15">
      <c r="A26" s="3592"/>
      <c r="B26" s="3279">
        <v>28</v>
      </c>
      <c r="C26" s="3280">
        <v>2</v>
      </c>
      <c r="D26" s="3277">
        <v>20</v>
      </c>
      <c r="E26" s="3277">
        <f t="shared" si="0"/>
        <v>1120</v>
      </c>
    </row>
    <row r="27" spans="1:5" ht="15">
      <c r="A27" s="3592"/>
      <c r="B27" s="3279">
        <v>29</v>
      </c>
      <c r="C27" s="3280">
        <v>1</v>
      </c>
      <c r="D27" s="3277">
        <v>20</v>
      </c>
      <c r="E27" s="3277">
        <f t="shared" si="0"/>
        <v>580</v>
      </c>
    </row>
    <row r="28" spans="1:5" ht="15">
      <c r="A28" s="3592"/>
      <c r="B28" s="3279">
        <v>30</v>
      </c>
      <c r="C28" s="3280">
        <v>1</v>
      </c>
      <c r="D28" s="3277">
        <v>32</v>
      </c>
      <c r="E28" s="3277">
        <f t="shared" si="0"/>
        <v>960</v>
      </c>
    </row>
    <row r="29" spans="1:5" ht="15">
      <c r="A29" s="3593"/>
      <c r="B29" s="3279">
        <v>33</v>
      </c>
      <c r="C29" s="3280">
        <v>1</v>
      </c>
      <c r="D29" s="3277">
        <v>32</v>
      </c>
      <c r="E29" s="3277">
        <f t="shared" si="0"/>
        <v>1056</v>
      </c>
    </row>
    <row r="30" spans="1:5" ht="15">
      <c r="A30" s="3591" t="s">
        <v>3396</v>
      </c>
      <c r="B30" s="3279">
        <v>9</v>
      </c>
      <c r="C30" s="3280">
        <v>3</v>
      </c>
      <c r="D30" s="3277">
        <v>6</v>
      </c>
      <c r="E30" s="3277">
        <f t="shared" si="0"/>
        <v>162</v>
      </c>
    </row>
    <row r="31" spans="1:5" ht="15">
      <c r="A31" s="3592"/>
      <c r="B31" s="3279">
        <v>12</v>
      </c>
      <c r="C31" s="3280">
        <v>1</v>
      </c>
      <c r="D31" s="3277">
        <v>12</v>
      </c>
      <c r="E31" s="3277">
        <f t="shared" si="0"/>
        <v>144</v>
      </c>
    </row>
    <row r="32" spans="1:5" ht="15">
      <c r="A32" s="3593"/>
      <c r="B32" s="3279">
        <v>18</v>
      </c>
      <c r="C32" s="3280">
        <v>1</v>
      </c>
      <c r="D32" s="3277">
        <v>12</v>
      </c>
      <c r="E32" s="3277">
        <f t="shared" si="0"/>
        <v>216</v>
      </c>
    </row>
    <row r="33" spans="1:5" ht="15">
      <c r="A33" s="3591" t="s">
        <v>3397</v>
      </c>
      <c r="B33" s="3279">
        <v>10</v>
      </c>
      <c r="C33" s="3280">
        <v>1</v>
      </c>
      <c r="D33" s="3277">
        <v>20</v>
      </c>
      <c r="E33" s="3277">
        <f t="shared" si="0"/>
        <v>200</v>
      </c>
    </row>
    <row r="34" spans="1:5" ht="15">
      <c r="A34" s="3592"/>
      <c r="B34" s="3279">
        <v>12</v>
      </c>
      <c r="C34" s="3280">
        <v>2</v>
      </c>
      <c r="D34" s="3277">
        <v>20</v>
      </c>
      <c r="E34" s="3277">
        <f t="shared" si="0"/>
        <v>480</v>
      </c>
    </row>
    <row r="35" spans="1:5" ht="15">
      <c r="A35" s="3592"/>
      <c r="B35" s="3279">
        <v>15</v>
      </c>
      <c r="C35" s="3280">
        <v>1</v>
      </c>
      <c r="D35" s="3277">
        <v>20</v>
      </c>
      <c r="E35" s="3277">
        <f t="shared" si="0"/>
        <v>300</v>
      </c>
    </row>
    <row r="36" spans="1:5" ht="15">
      <c r="A36" s="3592"/>
      <c r="B36" s="3279">
        <v>16</v>
      </c>
      <c r="C36" s="3280">
        <v>1</v>
      </c>
      <c r="D36" s="3277">
        <v>20</v>
      </c>
      <c r="E36" s="3277">
        <f t="shared" si="0"/>
        <v>320</v>
      </c>
    </row>
    <row r="37" spans="1:5" ht="15">
      <c r="A37" s="3593"/>
      <c r="B37" s="3279">
        <v>27</v>
      </c>
      <c r="C37" s="3280">
        <v>1</v>
      </c>
      <c r="D37" s="3277">
        <v>32</v>
      </c>
      <c r="E37" s="3277">
        <f t="shared" si="0"/>
        <v>864</v>
      </c>
    </row>
    <row r="38" spans="1:5" ht="15">
      <c r="A38" s="3591" t="s">
        <v>3398</v>
      </c>
      <c r="B38" s="3279">
        <v>6</v>
      </c>
      <c r="C38" s="3280">
        <v>1</v>
      </c>
      <c r="D38" s="3277">
        <v>12</v>
      </c>
      <c r="E38" s="3277">
        <f t="shared" si="0"/>
        <v>72</v>
      </c>
    </row>
    <row r="39" spans="1:5" ht="15">
      <c r="A39" s="3592"/>
      <c r="B39" s="3279">
        <v>8</v>
      </c>
      <c r="C39" s="3281">
        <v>2</v>
      </c>
      <c r="D39" s="3277">
        <v>12</v>
      </c>
      <c r="E39" s="3277">
        <f t="shared" si="0"/>
        <v>192</v>
      </c>
    </row>
    <row r="40" spans="1:5" ht="15">
      <c r="A40" s="3592"/>
      <c r="B40" s="3279">
        <v>13</v>
      </c>
      <c r="C40" s="3281">
        <v>1</v>
      </c>
      <c r="D40" s="3277">
        <v>20</v>
      </c>
      <c r="E40" s="3277">
        <f t="shared" si="0"/>
        <v>260</v>
      </c>
    </row>
    <row r="41" spans="1:5" ht="15">
      <c r="A41" s="3593"/>
      <c r="B41" s="3279">
        <v>15</v>
      </c>
      <c r="C41" s="3281">
        <v>1</v>
      </c>
      <c r="D41" s="3277">
        <v>20</v>
      </c>
      <c r="E41" s="3277">
        <f t="shared" si="0"/>
        <v>300</v>
      </c>
    </row>
    <row r="42" spans="1:5" ht="15">
      <c r="A42" s="3591" t="s">
        <v>3399</v>
      </c>
      <c r="B42" s="3279">
        <v>5</v>
      </c>
      <c r="C42" s="3281">
        <v>1</v>
      </c>
      <c r="D42" s="3277">
        <v>12</v>
      </c>
      <c r="E42" s="3277">
        <f t="shared" si="0"/>
        <v>60</v>
      </c>
    </row>
    <row r="43" spans="1:5" ht="15">
      <c r="A43" s="3592"/>
      <c r="B43" s="3279">
        <v>16</v>
      </c>
      <c r="C43" s="3281">
        <v>1</v>
      </c>
      <c r="D43" s="3277">
        <v>20</v>
      </c>
      <c r="E43" s="3277">
        <f t="shared" si="0"/>
        <v>320</v>
      </c>
    </row>
    <row r="44" spans="1:5" ht="15">
      <c r="A44" s="3593"/>
      <c r="B44" s="3279">
        <v>17</v>
      </c>
      <c r="C44" s="3281">
        <v>1</v>
      </c>
      <c r="D44" s="3277">
        <v>20</v>
      </c>
      <c r="E44" s="3277">
        <f t="shared" si="0"/>
        <v>340</v>
      </c>
    </row>
    <row r="45" spans="1:5" ht="15">
      <c r="A45" s="3282" t="s">
        <v>3400</v>
      </c>
      <c r="B45" s="3279">
        <v>13</v>
      </c>
      <c r="C45" s="3281">
        <v>2</v>
      </c>
      <c r="D45" s="3277">
        <v>52</v>
      </c>
      <c r="E45" s="3277">
        <f t="shared" si="0"/>
        <v>1352</v>
      </c>
    </row>
    <row r="46" spans="1:5" ht="15">
      <c r="A46" s="3283" t="s">
        <v>3401</v>
      </c>
      <c r="B46" s="3277"/>
      <c r="C46" s="3277">
        <f>SUM(C2:C45)</f>
        <v>339</v>
      </c>
      <c r="D46" s="3277"/>
      <c r="E46" s="3277">
        <f>SUM(E2:E45)</f>
        <v>83904</v>
      </c>
    </row>
  </sheetData>
  <mergeCells count="5">
    <mergeCell ref="A2:A29"/>
    <mergeCell ref="A30:A32"/>
    <mergeCell ref="A33:A37"/>
    <mergeCell ref="A38:A41"/>
    <mergeCell ref="A42:A44"/>
  </mergeCells>
  <phoneticPr fontId="2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8" t="s">
        <v>2041</v>
      </c>
      <c r="B1" s="3288"/>
      <c r="C1" s="3288"/>
      <c r="D1" s="3288"/>
      <c r="E1" s="3288"/>
      <c r="F1" s="3288"/>
      <c r="G1" s="3288"/>
      <c r="H1" s="3288"/>
      <c r="I1" s="3288"/>
      <c r="J1" s="3288"/>
      <c r="K1" s="3288"/>
      <c r="L1" s="3288"/>
      <c r="M1" s="3288"/>
      <c r="N1" s="3288"/>
      <c r="O1" s="3288"/>
      <c r="P1" s="3288"/>
      <c r="Q1" s="3288"/>
      <c r="R1" s="3288"/>
    </row>
    <row r="2" spans="1:18">
      <c r="A2" s="1809" t="s">
        <v>2043</v>
      </c>
      <c r="B2" s="1809"/>
      <c r="C2" s="1809"/>
      <c r="D2" s="1809"/>
      <c r="E2" s="1809"/>
      <c r="F2" s="1809"/>
      <c r="G2" s="1809"/>
      <c r="H2" s="1809"/>
      <c r="I2" s="1810"/>
      <c r="J2" s="1810"/>
      <c r="K2" s="1811" t="str">
        <f>"估价期日："&amp;TEXT(项目基本情况!D3,"yyyy年m月d日;;")</f>
        <v>估价期日：2018年7月9日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89" t="s">
        <v>2032</v>
      </c>
      <c r="B3" s="3289" t="s">
        <v>2734</v>
      </c>
      <c r="C3" s="3290" t="s">
        <v>2033</v>
      </c>
      <c r="D3" s="3289" t="s">
        <v>2738</v>
      </c>
      <c r="E3" s="3292" t="s">
        <v>2034</v>
      </c>
      <c r="F3" s="3292"/>
      <c r="G3" s="3292"/>
      <c r="H3" s="3292" t="s">
        <v>2035</v>
      </c>
      <c r="I3" s="3292"/>
      <c r="J3" s="3292"/>
      <c r="K3" s="3290" t="s">
        <v>2036</v>
      </c>
      <c r="L3" s="3290" t="s">
        <v>2037</v>
      </c>
      <c r="M3" s="3289" t="s">
        <v>2735</v>
      </c>
      <c r="N3" s="3291" t="str">
        <f>"（分摊）"&amp;项目基本情况!B16&amp;"国有建设用地使用权面积/㎡"</f>
        <v>（分摊）出让国有建设用地使用权面积/㎡</v>
      </c>
      <c r="O3" s="3289" t="s">
        <v>2066</v>
      </c>
      <c r="P3" s="3290" t="s">
        <v>2046</v>
      </c>
      <c r="Q3" s="3290" t="s">
        <v>2067</v>
      </c>
      <c r="R3" s="3290" t="s">
        <v>2038</v>
      </c>
    </row>
    <row r="4" spans="1:18" ht="36.75" customHeight="1">
      <c r="A4" s="3289"/>
      <c r="B4" s="3289"/>
      <c r="C4" s="3290"/>
      <c r="D4" s="3289"/>
      <c r="E4" s="2651" t="s">
        <v>2045</v>
      </c>
      <c r="F4" s="2651" t="s">
        <v>2747</v>
      </c>
      <c r="G4" s="2651" t="s">
        <v>2039</v>
      </c>
      <c r="H4" s="2651" t="s">
        <v>2040</v>
      </c>
      <c r="I4" s="2651" t="s">
        <v>2748</v>
      </c>
      <c r="J4" s="2651" t="s">
        <v>2039</v>
      </c>
      <c r="K4" s="3290"/>
      <c r="L4" s="3290"/>
      <c r="M4" s="3289"/>
      <c r="N4" s="3291"/>
      <c r="O4" s="3289"/>
      <c r="P4" s="3290"/>
      <c r="Q4" s="3290"/>
      <c r="R4" s="3290"/>
    </row>
    <row r="5" spans="1:18" ht="135" customHeight="1">
      <c r="A5" s="1945" t="s">
        <v>2658</v>
      </c>
      <c r="B5" s="2869" t="s">
        <v>2656</v>
      </c>
      <c r="C5" s="2650">
        <v>22</v>
      </c>
      <c r="D5" s="2649" t="s">
        <v>2657</v>
      </c>
      <c r="E5" s="1812" t="str">
        <f>项目基本情况!B12</f>
        <v>工业</v>
      </c>
      <c r="F5" s="2649">
        <v>258</v>
      </c>
      <c r="G5" s="1812">
        <f>项目基本情况!B13</f>
        <v>0</v>
      </c>
      <c r="H5" s="2649">
        <v>1.5</v>
      </c>
      <c r="I5" s="2649">
        <v>1.5</v>
      </c>
      <c r="J5" s="2649">
        <v>1.5</v>
      </c>
      <c r="K5" s="1812" t="str">
        <f>"红线外"&amp;项目基本情况!T40&amp;"、宗地红线内"&amp;项目基本情况!B35</f>
        <v>红线外六通、宗地红线内</v>
      </c>
      <c r="L5" s="1812" t="str">
        <f>"红线外"&amp;项目基本情况!T40&amp;"、宗地红线内场地"&amp;项目基本情况!D36</f>
        <v>红线外六通、宗地红线内场地</v>
      </c>
      <c r="M5" s="1812">
        <f>IF(项目基本情况!B16="出让",项目基本情况!D20,"——")</f>
        <v>0</v>
      </c>
      <c r="N5" s="1812">
        <f>项目基本情况!C22</f>
        <v>86802.49</v>
      </c>
      <c r="O5" s="1812">
        <f>项目基本情况!C21</f>
        <v>80808</v>
      </c>
      <c r="P5" s="1812">
        <f ca="1">结果表!E42</f>
        <v>1390</v>
      </c>
      <c r="Q5" s="1812">
        <f ca="1">结果表!D42</f>
        <v>1493</v>
      </c>
      <c r="R5" s="1813">
        <f ca="1">结果表!C42</f>
        <v>12064</v>
      </c>
    </row>
    <row r="6" spans="1:18">
      <c r="A6" s="3285" t="str">
        <f>IF(项目基本情况!B9="市场价格","——","抵押价格")</f>
        <v>——</v>
      </c>
      <c r="B6" s="3286"/>
      <c r="C6" s="3286"/>
      <c r="D6" s="3286"/>
      <c r="E6" s="3286"/>
      <c r="F6" s="3286"/>
      <c r="G6" s="3286"/>
      <c r="H6" s="3286"/>
      <c r="I6" s="3286"/>
      <c r="J6" s="3286"/>
      <c r="K6" s="3286"/>
      <c r="L6" s="3286"/>
      <c r="M6" s="3286"/>
      <c r="N6" s="3286"/>
      <c r="O6" s="3286"/>
      <c r="P6" s="3286"/>
      <c r="Q6" s="3287"/>
      <c r="R6" s="1814" t="str">
        <f>结果表!O39</f>
        <v>——</v>
      </c>
    </row>
    <row r="7" spans="1:18">
      <c r="A7" s="3285" t="str">
        <f>IF(项目基本情况!B9="市场价格","——",IF(项目基本情况!E8="已注销及未注销","抵押担保权已注销时的抵押价格","——"))</f>
        <v>——</v>
      </c>
      <c r="B7" s="3286"/>
      <c r="C7" s="3286"/>
      <c r="D7" s="3286"/>
      <c r="E7" s="3286"/>
      <c r="F7" s="3286"/>
      <c r="G7" s="3286"/>
      <c r="H7" s="3286"/>
      <c r="I7" s="3286"/>
      <c r="J7" s="3286"/>
      <c r="K7" s="3286"/>
      <c r="L7" s="3286"/>
      <c r="M7" s="3286"/>
      <c r="N7" s="3286"/>
      <c r="O7" s="3286"/>
      <c r="P7" s="3286"/>
      <c r="Q7" s="3287"/>
      <c r="R7" s="1814" t="str">
        <f>结果表!O40</f>
        <v>——</v>
      </c>
    </row>
    <row r="8" spans="1:18">
      <c r="A8" s="3285" t="str">
        <f>IF(项目基本情况!B9="市场价格","——",项目基本情况!E9)</f>
        <v>——</v>
      </c>
      <c r="B8" s="3286"/>
      <c r="C8" s="3286"/>
      <c r="D8" s="3286"/>
      <c r="E8" s="3286"/>
      <c r="F8" s="3286"/>
      <c r="G8" s="3286"/>
      <c r="H8" s="3286"/>
      <c r="I8" s="3286"/>
      <c r="J8" s="3286"/>
      <c r="K8" s="3286"/>
      <c r="L8" s="3286"/>
      <c r="M8" s="3286"/>
      <c r="N8" s="3286"/>
      <c r="O8" s="3286"/>
      <c r="P8" s="3286"/>
      <c r="Q8" s="3287"/>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9"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94" t="s">
        <v>2068</v>
      </c>
      <c r="B1" s="3294"/>
      <c r="C1" s="3294"/>
      <c r="D1" s="3294"/>
    </row>
    <row r="2" spans="1:4" ht="47.25" customHeight="1">
      <c r="A2" s="3295" t="str">
        <f>"1.权利限制："&amp;项目基本情况!L24&amp;"未设定租赁等其他他项权利。"</f>
        <v>1.权利限制：根据估价对象《不动产权证书》原件、《国有土地使用权》复印件，截至估价期日，估价对象抵押权未见登记。未设定租赁等其他他项权利。</v>
      </c>
      <c r="B2" s="3295"/>
      <c r="C2" s="3295"/>
      <c r="D2" s="3295"/>
    </row>
    <row r="3" spans="1:4" ht="48" customHeight="1">
      <c r="A3" s="3294"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294"/>
      <c r="C3" s="3294"/>
      <c r="D3" s="3294"/>
    </row>
    <row r="4" spans="1:4" ht="36.75" customHeight="1">
      <c r="A4" s="3294" t="str">
        <f>"3.估价规划限制条件：详见"&amp;项目基本情况!E21&amp;"。"</f>
        <v>3.估价规划限制条件：详见《建设工程规划许可证》[]、《出让合同》[]。</v>
      </c>
      <c r="B4" s="3294"/>
      <c r="C4" s="3294"/>
      <c r="D4" s="3294"/>
    </row>
    <row r="5" spans="1:4">
      <c r="A5" s="3293" t="s">
        <v>2069</v>
      </c>
      <c r="B5" s="3293"/>
      <c r="C5" s="3293"/>
      <c r="D5" s="3293"/>
    </row>
    <row r="6" spans="1:4">
      <c r="A6" s="3294" t="s">
        <v>2047</v>
      </c>
      <c r="B6" s="3294"/>
      <c r="C6" s="3294"/>
      <c r="D6" s="3294"/>
    </row>
    <row r="7" spans="1:4" ht="33" customHeight="1">
      <c r="A7" s="3294" t="s">
        <v>2578</v>
      </c>
      <c r="B7" s="3294"/>
      <c r="C7" s="3294"/>
      <c r="D7" s="3294"/>
    </row>
    <row r="8" spans="1:4" ht="32.25" customHeight="1">
      <c r="A8" s="32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4"/>
      <c r="C8" s="3294"/>
      <c r="D8" s="3294"/>
    </row>
    <row r="9" spans="1:4" ht="33.75" customHeight="1">
      <c r="A9" s="3294" t="str">
        <f>IF(项目基本情况!B8="抵押","3.抵押双方在办理抵押登记手续时，应使用本公司出具的正式《土地估价报告》，特提请报告使用者注意。","——")</f>
        <v>——</v>
      </c>
      <c r="B9" s="3294"/>
      <c r="C9" s="3294"/>
      <c r="D9" s="3294"/>
    </row>
    <row r="10" spans="1:4">
      <c r="A10" s="3294" t="str">
        <f>IF(项目基本情况!B8="抵押","4.估价师所知悉的法定优先受偿款情况为：","——")</f>
        <v>——</v>
      </c>
      <c r="B10" s="3294"/>
      <c r="C10" s="3294"/>
      <c r="D10" s="3294"/>
    </row>
    <row r="11" spans="1:4" ht="37.5" customHeight="1">
      <c r="A11" s="3296" t="str">
        <f>IF(项目基本情况!B8="抵押","（1）"&amp;CONCATENATE(项目基本情况!L24,项目基本情况!L25,项目基本情况!L26),"——")</f>
        <v>——</v>
      </c>
      <c r="B11" s="3296"/>
      <c r="C11" s="3296"/>
      <c r="D11" s="3296"/>
    </row>
    <row r="12" spans="1:4" ht="168" customHeight="1">
      <c r="A12" s="3293" t="s">
        <v>2071</v>
      </c>
      <c r="B12" s="3293"/>
      <c r="C12" s="3293"/>
      <c r="D12" s="3293"/>
    </row>
    <row r="13" spans="1:4">
      <c r="A13" s="3297" t="s">
        <v>2749</v>
      </c>
      <c r="B13" s="3297"/>
      <c r="C13" s="3297"/>
      <c r="D13" s="3297"/>
    </row>
    <row r="14" spans="1:4">
      <c r="A14" s="3296" t="str">
        <f>IF(项目基本情况!B8="抵押","综上，"&amp;结果表!K47,"——")</f>
        <v>——</v>
      </c>
      <c r="B14" s="3296"/>
      <c r="C14" s="3296"/>
      <c r="D14" s="3296"/>
    </row>
    <row r="15" spans="1:4" ht="58.5" customHeight="1">
      <c r="A15" s="32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4"/>
      <c r="C15" s="3294"/>
      <c r="D15" s="3294"/>
    </row>
    <row r="16" spans="1:4" ht="70.5" customHeight="1">
      <c r="A16" s="32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4"/>
      <c r="C16" s="3294"/>
      <c r="D16" s="3294"/>
    </row>
    <row r="17" spans="1:4">
      <c r="A17" s="3294" t="s">
        <v>2705</v>
      </c>
      <c r="B17" s="3294"/>
      <c r="C17" s="3294"/>
      <c r="D17" s="3294"/>
    </row>
    <row r="18" spans="1:4">
      <c r="A18" s="3294" t="s">
        <v>2697</v>
      </c>
      <c r="B18" s="3294"/>
      <c r="C18" s="3294"/>
      <c r="D18" s="3294"/>
    </row>
    <row r="19" spans="1:4">
      <c r="A19" s="2870" t="s">
        <v>2698</v>
      </c>
      <c r="B19" s="2870" t="s">
        <v>2699</v>
      </c>
      <c r="C19" s="2870" t="s">
        <v>2700</v>
      </c>
      <c r="D19" s="2870" t="s">
        <v>2701</v>
      </c>
    </row>
    <row r="20" spans="1:4">
      <c r="A20" s="2870" t="str">
        <f>项目基本情况!B4</f>
        <v>陈颖</v>
      </c>
      <c r="B20" s="2870">
        <f ca="1">项目基本情况!C4</f>
        <v>2004110096</v>
      </c>
      <c r="C20" s="2872"/>
      <c r="D20" s="1802" t="s">
        <v>2706</v>
      </c>
    </row>
    <row r="21" spans="1:4">
      <c r="A21" s="2870" t="str">
        <f>项目基本情况!D4</f>
        <v>叶凌</v>
      </c>
      <c r="B21" s="2870">
        <f ca="1">项目基本情况!E4</f>
        <v>94010078</v>
      </c>
      <c r="C21" s="2872"/>
      <c r="D21" s="1802" t="s">
        <v>2707</v>
      </c>
    </row>
    <row r="23" spans="1:4">
      <c r="A23" s="3294" t="s">
        <v>2702</v>
      </c>
      <c r="B23" s="3294"/>
      <c r="C23" s="3294"/>
      <c r="D23" s="3294"/>
    </row>
    <row r="24" spans="1:4">
      <c r="A24" s="2870" t="s">
        <v>2698</v>
      </c>
      <c r="B24" s="2870" t="s">
        <v>2703</v>
      </c>
      <c r="C24" s="2870" t="s">
        <v>2700</v>
      </c>
      <c r="D24" s="2870" t="s">
        <v>2701</v>
      </c>
    </row>
    <row r="25" spans="1:4">
      <c r="A25" s="2873" t="s">
        <v>2704</v>
      </c>
      <c r="B25" s="2870" t="s">
        <v>952</v>
      </c>
      <c r="C25" s="2872"/>
      <c r="D25" s="1802" t="s">
        <v>2707</v>
      </c>
    </row>
    <row r="29" spans="1:4">
      <c r="D29" s="2871" t="s">
        <v>2042</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26" sqref="A26:C26"/>
      <selection pane="bottomLeft" activeCell="A26" sqref="A26:C2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305" t="s">
        <v>53</v>
      </c>
      <c r="B15" s="3306" t="s">
        <v>846</v>
      </c>
      <c r="C15" s="3302"/>
    </row>
    <row r="16" spans="1:7" ht="14.25">
      <c r="A16" s="3305"/>
      <c r="B16" s="3303" t="s">
        <v>54</v>
      </c>
      <c r="C16" s="1172" t="s">
        <v>53</v>
      </c>
    </row>
    <row r="17" spans="1:3" ht="14.25">
      <c r="A17" s="3305"/>
      <c r="B17" s="3303"/>
      <c r="C17" s="1172" t="s">
        <v>55</v>
      </c>
    </row>
    <row r="18" spans="1:3" ht="14.25">
      <c r="A18" s="3305"/>
      <c r="B18" s="3303"/>
      <c r="C18" s="1172" t="s">
        <v>56</v>
      </c>
    </row>
    <row r="19" spans="1:3" ht="14.25">
      <c r="A19" s="3305"/>
      <c r="B19" s="3301" t="s">
        <v>57</v>
      </c>
      <c r="C19" s="3302"/>
    </row>
    <row r="20" spans="1:3" ht="14.25">
      <c r="A20" s="1173" t="s">
        <v>58</v>
      </c>
      <c r="B20" s="1174"/>
      <c r="C20" s="1175"/>
    </row>
    <row r="21" spans="1:3" ht="14.25">
      <c r="A21" s="3304" t="s">
        <v>59</v>
      </c>
      <c r="B21" s="3301" t="s">
        <v>60</v>
      </c>
      <c r="C21" s="3302"/>
    </row>
    <row r="22" spans="1:3" ht="14.25">
      <c r="A22" s="3304"/>
      <c r="B22" s="3301" t="s">
        <v>61</v>
      </c>
      <c r="C22" s="3302"/>
    </row>
    <row r="23" spans="1:3" ht="14.25">
      <c r="A23" s="3304"/>
      <c r="B23" s="3301" t="s">
        <v>62</v>
      </c>
      <c r="C23" s="3302"/>
    </row>
    <row r="24" spans="1:3" ht="14.25">
      <c r="A24" s="3304"/>
      <c r="B24" s="3307" t="s">
        <v>63</v>
      </c>
      <c r="C24" s="1176" t="s">
        <v>837</v>
      </c>
    </row>
    <row r="25" spans="1:3" ht="14.25">
      <c r="A25" s="3304"/>
      <c r="B25" s="3308"/>
      <c r="C25" s="1176" t="s">
        <v>838</v>
      </c>
    </row>
    <row r="26" spans="1:3" ht="14.25">
      <c r="A26" s="3304"/>
      <c r="B26" s="3308"/>
      <c r="C26" s="1176" t="s">
        <v>839</v>
      </c>
    </row>
    <row r="27" spans="1:3" ht="14.25">
      <c r="A27" s="3304"/>
      <c r="B27" s="3308"/>
      <c r="C27" s="1176" t="s">
        <v>840</v>
      </c>
    </row>
    <row r="28" spans="1:3" ht="14.25">
      <c r="A28" s="3304"/>
      <c r="B28" s="3308"/>
      <c r="C28" s="1176" t="s">
        <v>841</v>
      </c>
    </row>
    <row r="29" spans="1:3" ht="14.25">
      <c r="A29" s="3304"/>
      <c r="B29" s="3308"/>
      <c r="C29" s="1176" t="s">
        <v>842</v>
      </c>
    </row>
    <row r="30" spans="1:3" ht="14.25">
      <c r="A30" s="3304"/>
      <c r="B30" s="3308"/>
      <c r="C30" s="1176" t="s">
        <v>843</v>
      </c>
    </row>
    <row r="31" spans="1:3" ht="14.25">
      <c r="A31" s="3304"/>
      <c r="B31" s="3308"/>
      <c r="C31" s="1176" t="s">
        <v>844</v>
      </c>
    </row>
    <row r="32" spans="1:3" ht="14.25">
      <c r="A32" s="3304"/>
      <c r="B32" s="3308"/>
      <c r="C32" s="1176" t="s">
        <v>1647</v>
      </c>
    </row>
    <row r="33" spans="1:3" ht="14.25">
      <c r="A33" s="3304"/>
      <c r="B33" s="3298" t="s">
        <v>1653</v>
      </c>
      <c r="C33" s="1176" t="s">
        <v>1648</v>
      </c>
    </row>
    <row r="34" spans="1:3" ht="14.25">
      <c r="A34" s="3304"/>
      <c r="B34" s="3299"/>
      <c r="C34" s="1181" t="s">
        <v>1649</v>
      </c>
    </row>
    <row r="35" spans="1:3" ht="14.25">
      <c r="A35" s="3304"/>
      <c r="B35" s="3299"/>
      <c r="C35" s="1182" t="s">
        <v>1650</v>
      </c>
    </row>
    <row r="36" spans="1:3" ht="14.25">
      <c r="A36" s="3304"/>
      <c r="B36" s="3299"/>
      <c r="C36" s="1182" t="s">
        <v>1651</v>
      </c>
    </row>
    <row r="37" spans="1:3" ht="14.25">
      <c r="A37" s="3304"/>
      <c r="B37" s="3300"/>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26" sqref="A26:C2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43339</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8">
        <v>43849</v>
      </c>
      <c r="D4" s="2345" t="s">
        <v>1915</v>
      </c>
      <c r="E4" s="2345">
        <f ca="1">IF(F4&lt;B2,"已过期",96010014)</f>
        <v>96010014</v>
      </c>
      <c r="F4" s="3009">
        <v>47118</v>
      </c>
    </row>
    <row r="5" spans="1:6" ht="20.25" customHeight="1">
      <c r="A5" s="2345" t="s">
        <v>1916</v>
      </c>
      <c r="B5" s="2345">
        <f ca="1">IF(C5&lt;B2,"已过期",1119970074)</f>
        <v>1119970074</v>
      </c>
      <c r="C5" s="3008">
        <v>43849</v>
      </c>
      <c r="D5" s="2345" t="s">
        <v>1916</v>
      </c>
      <c r="E5" s="2345">
        <f ca="1">IF(F5&lt;B2,"已过期",2002110027)</f>
        <v>2002110027</v>
      </c>
      <c r="F5" s="3009">
        <v>46752</v>
      </c>
    </row>
    <row r="6" spans="1:6" ht="20.25" customHeight="1">
      <c r="A6" s="2345" t="s">
        <v>1917</v>
      </c>
      <c r="B6" s="2345">
        <f ca="1">IF(C6&lt;B2,"已过期",1119970111)</f>
        <v>1119970111</v>
      </c>
      <c r="C6" s="3008">
        <v>43849</v>
      </c>
      <c r="D6" s="2345" t="s">
        <v>1917</v>
      </c>
      <c r="E6" s="2345">
        <f ca="1">IF(F6&lt;B2,"已过期",94010078)</f>
        <v>94010078</v>
      </c>
      <c r="F6" s="3009">
        <v>46387</v>
      </c>
    </row>
    <row r="7" spans="1:6" ht="20.25" customHeight="1">
      <c r="A7" s="2345" t="s">
        <v>1918</v>
      </c>
      <c r="B7" s="2345">
        <f ca="1">IF(C7&lt;B2,"已过期",1120050019)</f>
        <v>1120050019</v>
      </c>
      <c r="C7" s="3008">
        <v>43359</v>
      </c>
      <c r="D7" s="2345" t="s">
        <v>1918</v>
      </c>
      <c r="E7" s="2345">
        <f ca="1">IF(F7&lt;B2,"已过期",2002110030)</f>
        <v>2002110030</v>
      </c>
      <c r="F7" s="3009">
        <v>46387</v>
      </c>
    </row>
    <row r="8" spans="1:6" ht="20.25" customHeight="1">
      <c r="A8" s="2345" t="s">
        <v>1919</v>
      </c>
      <c r="B8" s="2345">
        <f ca="1">IF(C8&lt;B2,"已过期",1120000080)</f>
        <v>1120000080</v>
      </c>
      <c r="C8" s="3008">
        <v>43849</v>
      </c>
      <c r="D8" s="2345" t="s">
        <v>1919</v>
      </c>
      <c r="E8" s="2345">
        <f ca="1">IF(F8&lt;B2,"已过期",2000110082)</f>
        <v>2000110082</v>
      </c>
      <c r="F8" s="3009">
        <v>46387</v>
      </c>
    </row>
    <row r="9" spans="1:6" ht="20.25" customHeight="1">
      <c r="A9" s="2345" t="s">
        <v>1920</v>
      </c>
      <c r="B9" s="2345">
        <f ca="1">IF(C9&lt;B2,"已过期",1419970001)</f>
        <v>1419970001</v>
      </c>
      <c r="C9" s="3008">
        <v>43867</v>
      </c>
      <c r="D9" s="2345" t="s">
        <v>1920</v>
      </c>
      <c r="E9" s="2345">
        <f ca="1">IF(F9&lt;B2,"已过期",2002110125)</f>
        <v>2002110125</v>
      </c>
      <c r="F9" s="3009">
        <v>47118</v>
      </c>
    </row>
    <row r="10" spans="1:6" ht="20.25" customHeight="1">
      <c r="A10" s="2345" t="s">
        <v>1921</v>
      </c>
      <c r="B10" s="2345">
        <f ca="1">IF(C10&lt;B2,"已过期",1120060040)</f>
        <v>1120060040</v>
      </c>
      <c r="C10" s="3008">
        <v>43483</v>
      </c>
      <c r="D10" s="2345" t="s">
        <v>1921</v>
      </c>
      <c r="E10" s="2345">
        <f ca="1">IF(F10&lt;B2,"已过期",2004110096)</f>
        <v>2004110096</v>
      </c>
      <c r="F10" s="3009">
        <v>47118</v>
      </c>
    </row>
    <row r="11" spans="1:6" ht="20.25" customHeight="1">
      <c r="A11" s="2345" t="s">
        <v>1922</v>
      </c>
      <c r="B11" s="2345">
        <f ca="1">IF(C11&lt;B2,"已过期",1120100036)</f>
        <v>1120100036</v>
      </c>
      <c r="C11" s="3008">
        <v>43622</v>
      </c>
      <c r="D11" s="2345" t="s">
        <v>1922</v>
      </c>
      <c r="E11" s="2345">
        <f ca="1">IF(F11&lt;B2,"已过期",2010110070)</f>
        <v>2010110070</v>
      </c>
      <c r="F11" s="3009">
        <v>47907</v>
      </c>
    </row>
    <row r="12" spans="1:6" ht="20.25" customHeight="1">
      <c r="A12" s="2345" t="s">
        <v>2978</v>
      </c>
      <c r="B12" s="2345">
        <v>1120110054</v>
      </c>
      <c r="C12" s="3008">
        <v>43937</v>
      </c>
      <c r="D12" s="2345" t="s">
        <v>2978</v>
      </c>
      <c r="E12" s="2345">
        <v>2008110060</v>
      </c>
      <c r="F12" s="3009">
        <v>47177</v>
      </c>
    </row>
    <row r="13" spans="1:6" ht="20.25" customHeight="1">
      <c r="A13" s="2345" t="s">
        <v>1923</v>
      </c>
      <c r="B13" s="2345">
        <f ca="1">IF(C13&lt;B2,"已过期",1120070131)</f>
        <v>1120070131</v>
      </c>
      <c r="C13" s="3008">
        <v>43814</v>
      </c>
      <c r="D13" s="2345" t="s">
        <v>1923</v>
      </c>
      <c r="E13" s="2345">
        <v>2014110011</v>
      </c>
      <c r="F13" s="3009">
        <v>49302</v>
      </c>
    </row>
    <row r="14" spans="1:6" ht="20.25" customHeight="1">
      <c r="A14" s="2345" t="s">
        <v>1924</v>
      </c>
      <c r="B14" s="2345">
        <f ca="1">IF(C14&lt;B2,"已过期",1120130020)</f>
        <v>1120130020</v>
      </c>
      <c r="C14" s="3008">
        <v>43622</v>
      </c>
      <c r="D14" s="2345"/>
      <c r="E14" s="2345"/>
      <c r="F14" s="2345"/>
    </row>
    <row r="15" spans="1:6" ht="20.25" customHeight="1">
      <c r="A15" s="2345" t="s">
        <v>2577</v>
      </c>
      <c r="B15" s="2345">
        <v>1120070085</v>
      </c>
      <c r="C15" s="3008">
        <v>43814</v>
      </c>
      <c r="D15" s="2345" t="s">
        <v>2577</v>
      </c>
      <c r="E15" s="2345">
        <v>2004110128</v>
      </c>
      <c r="F15" s="3009">
        <v>47118</v>
      </c>
    </row>
    <row r="16" spans="1:6" ht="20.25" customHeight="1">
      <c r="A16" s="2345" t="s">
        <v>1925</v>
      </c>
      <c r="B16" s="2345">
        <f ca="1">IF(C16&lt;B2,"已过期",1120140022)</f>
        <v>1120140022</v>
      </c>
      <c r="C16" s="3008">
        <v>44029</v>
      </c>
      <c r="D16" s="2345" t="s">
        <v>1925</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1926</v>
      </c>
      <c r="E21" s="2345">
        <f ca="1">IF(F21&lt;B2,"已过期",2011110090)</f>
        <v>2011110090</v>
      </c>
      <c r="F21" s="3009">
        <v>48302</v>
      </c>
    </row>
    <row r="22" spans="1:7" ht="20.25" customHeight="1">
      <c r="A22" s="2345" t="s">
        <v>1927</v>
      </c>
      <c r="B22" s="2345">
        <f ca="1">IF(C22&lt;B2,"已过期",1120020033)</f>
        <v>1120020033</v>
      </c>
      <c r="C22" s="3008">
        <v>44339</v>
      </c>
      <c r="D22" s="2345" t="s">
        <v>1927</v>
      </c>
      <c r="E22" s="2345">
        <f ca="1">IF(F22&lt;B2,"已过期",2000110137)</f>
        <v>2000110137</v>
      </c>
      <c r="F22" s="3009">
        <v>46387</v>
      </c>
    </row>
    <row r="23" spans="1:7" ht="20.25" customHeight="1">
      <c r="A23" s="2345" t="s">
        <v>1928</v>
      </c>
      <c r="B23" s="2345">
        <f ca="1">IF(C23&lt;B2,"已过期",1120130048)</f>
        <v>1120130048</v>
      </c>
      <c r="C23" s="3008">
        <v>43686</v>
      </c>
      <c r="D23" s="2345"/>
      <c r="E23" s="2345"/>
      <c r="F23" s="2345"/>
    </row>
    <row r="24" spans="1:7" s="2349" customFormat="1" ht="20.25" customHeight="1">
      <c r="A24" s="2347" t="s">
        <v>2056</v>
      </c>
      <c r="B24" s="2347" t="s">
        <v>2056</v>
      </c>
      <c r="C24" s="3008"/>
      <c r="D24" s="3010" t="s">
        <v>2056</v>
      </c>
      <c r="E24" s="2347" t="s">
        <v>2056</v>
      </c>
      <c r="F24" s="2348"/>
    </row>
    <row r="25" spans="1:7" ht="20.25" customHeight="1">
      <c r="A25" s="3309" t="s">
        <v>1929</v>
      </c>
      <c r="B25" s="3309"/>
      <c r="C25" s="3309"/>
      <c r="D25" s="3309"/>
      <c r="E25" s="3309"/>
      <c r="F25" s="3309"/>
      <c r="G25" s="3309"/>
    </row>
    <row r="26" spans="1:7" ht="20.25" customHeight="1">
      <c r="A26" s="3310" t="s">
        <v>1930</v>
      </c>
      <c r="B26" s="3310"/>
      <c r="C26" s="3310"/>
      <c r="D26" s="3310" t="s">
        <v>1931</v>
      </c>
      <c r="E26" s="3310"/>
      <c r="F26" s="3310"/>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2944</v>
      </c>
      <c r="F29" s="2359">
        <v>43281</v>
      </c>
    </row>
    <row r="30" spans="1:7" ht="20.25" customHeight="1">
      <c r="C30" s="2360"/>
      <c r="D30" s="2360"/>
    </row>
  </sheetData>
  <sheetProtection sheet="1" objects="1" scenarios="1"/>
  <mergeCells count="3">
    <mergeCell ref="A25:G25"/>
    <mergeCell ref="A26:C26"/>
    <mergeCell ref="D26:F26"/>
  </mergeCells>
  <phoneticPr fontId="5"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6" sqref="A26:C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2548</v>
      </c>
      <c r="R1" s="2584"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2" t="s">
        <v>2956</v>
      </c>
      <c r="C18" s="1555"/>
    </row>
    <row r="19" spans="1:3">
      <c r="A19" s="8" t="s">
        <v>120</v>
      </c>
      <c r="B19" s="3112" t="s">
        <v>2964</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马驹桥镇金桥科技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311"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9日，在规划利用条件下、设定土地开发程度为红线外“六通”、宗地内场地，设定用途为，剩余土地使用年限为的出让国有建设用地使用权价格。</v>
      </c>
      <c r="D53" s="1769"/>
      <c r="E53" s="1769"/>
    </row>
    <row r="54" spans="1:5">
      <c r="A54" s="3311"/>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311"/>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311"/>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311"/>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结果汇总</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停产停业损失及搬迁</vt:lpstr>
      <vt:lpstr>建筑物价格</vt:lpstr>
      <vt:lpstr>附属物</vt:lpstr>
      <vt:lpstr>树木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2018-08-27T03:31:42Z</dcterms:modified>
</cp:coreProperties>
</file>