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F:\2024-1-0749西罗园南里\"/>
    </mc:Choice>
  </mc:AlternateContent>
  <xr:revisionPtr revIDLastSave="0" documentId="13_ncr:1_{9CFD4442-B85D-4A8E-AE7B-E77F40ACF88E}" xr6:coauthVersionLast="47" xr6:coauthVersionMax="47" xr10:uidLastSave="{00000000-0000-0000-0000-000000000000}"/>
  <bookViews>
    <workbookView xWindow="0" yWindow="0" windowWidth="19200" windowHeight="21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售价案例" sheetId="81" r:id="rId45"/>
    <sheet name="收益法 (元)" sheetId="67" r:id="rId46"/>
    <sheet name="租金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I47" i="21"/>
  <c r="G47" i="21"/>
  <c r="E47" i="21"/>
  <c r="D14" i="9" l="1"/>
  <c r="I33" i="21"/>
  <c r="G33" i="21"/>
  <c r="E33" i="21"/>
  <c r="C33" i="21"/>
  <c r="I7" i="21"/>
  <c r="G7" i="21"/>
  <c r="E7" i="21"/>
  <c r="Y6" i="1" l="1"/>
  <c r="P8" i="80"/>
  <c r="O8" i="80"/>
  <c r="Q8" i="80"/>
  <c r="Q4" i="80"/>
  <c r="Q5" i="80"/>
  <c r="Q6" i="80"/>
  <c r="Q7" i="80"/>
  <c r="Q3" i="80"/>
  <c r="D33" i="43"/>
  <c r="J52" i="67"/>
  <c r="H6" i="1"/>
  <c r="F19" i="6"/>
  <c r="D3" i="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S14" i="79"/>
  <c r="T15" i="79"/>
  <c r="W15" i="79" s="1"/>
  <c r="AA26" i="79"/>
  <c r="AD26" i="79" s="1"/>
  <c r="U36" i="79"/>
  <c r="R17" i="79"/>
  <c r="V17" i="79"/>
  <c r="M26" i="79"/>
  <c r="P26" i="79" s="1"/>
  <c r="V13" i="79"/>
  <c r="U17" i="79"/>
  <c r="S28" i="79"/>
  <c r="T30" i="79"/>
  <c r="W30" i="79" s="1"/>
  <c r="AD37" i="79"/>
  <c r="S38" i="79"/>
  <c r="U40" i="79"/>
  <c r="AD41"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6" i="71" s="1"/>
  <c r="F38" i="71"/>
  <c r="F39" i="71" s="1"/>
  <c r="F40" i="71" s="1"/>
  <c r="V40" i="71" s="1"/>
  <c r="Q37" i="71"/>
  <c r="P37" i="71"/>
  <c r="E38" i="71" s="1"/>
  <c r="E39" i="71" s="1"/>
  <c r="E40" i="71" s="1"/>
  <c r="U40"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Q67"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D63" i="71"/>
  <c r="D75" i="71"/>
  <c r="C74" i="71"/>
  <c r="D74" i="71" s="1"/>
  <c r="D87" i="71"/>
  <c r="C60" i="71"/>
  <c r="D60" i="71" s="1"/>
  <c r="P67"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AB12" i="36" s="1"/>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F32" i="34" s="1"/>
  <c r="B97" i="34"/>
  <c r="B95" i="34"/>
  <c r="B93" i="34"/>
  <c r="B75" i="34"/>
  <c r="F14" i="34" s="1"/>
  <c r="S14" i="34" s="1"/>
  <c r="B73" i="34"/>
  <c r="B71" i="34"/>
  <c r="J12" i="34" s="1"/>
  <c r="W12" i="34" s="1"/>
  <c r="B130" i="33"/>
  <c r="B128" i="33"/>
  <c r="J45" i="33" s="1"/>
  <c r="B126" i="33"/>
  <c r="B98" i="33"/>
  <c r="B96" i="33"/>
  <c r="B94" i="33"/>
  <c r="H29" i="33" s="1"/>
  <c r="U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H26" i="21" s="1"/>
  <c r="AB26" i="21" s="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AB19" i="21"/>
  <c r="J19" i="21"/>
  <c r="W19" i="21"/>
  <c r="AB41" i="21"/>
  <c r="S41" i="21"/>
  <c r="AA41" i="21"/>
  <c r="F45" i="39"/>
  <c r="S45" i="39" s="1"/>
  <c r="J44" i="39"/>
  <c r="AC44" i="39"/>
  <c r="F36" i="39"/>
  <c r="S36" i="39" s="1"/>
  <c r="H36" i="39"/>
  <c r="AB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U34" i="35"/>
  <c r="F36" i="34"/>
  <c r="J35" i="34"/>
  <c r="U34" i="34"/>
  <c r="H39" i="33"/>
  <c r="AB39" i="33" s="1"/>
  <c r="F26" i="33"/>
  <c r="AA26" i="33"/>
  <c r="U35" i="33"/>
  <c r="S40" i="33"/>
  <c r="W33" i="33"/>
  <c r="W39" i="33"/>
  <c r="H39" i="37"/>
  <c r="AB39" i="37"/>
  <c r="S27" i="35"/>
  <c r="F11" i="40"/>
  <c r="AA11" i="40" s="1"/>
  <c r="H11" i="40"/>
  <c r="AB11"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AA44" i="34" s="1"/>
  <c r="J10" i="35"/>
  <c r="AC10" i="35" s="1"/>
  <c r="J14" i="21"/>
  <c r="W14" i="21"/>
  <c r="F14" i="21"/>
  <c r="S14" i="21" s="1"/>
  <c r="H14" i="21"/>
  <c r="U14" i="21"/>
  <c r="H28" i="21"/>
  <c r="AB28" i="21" s="1"/>
  <c r="F28" i="21"/>
  <c r="AA28" i="21" s="1"/>
  <c r="J28" i="21"/>
  <c r="W28" i="21" s="1"/>
  <c r="H30" i="2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J13" i="33"/>
  <c r="H13" i="33"/>
  <c r="U13" i="33" s="1"/>
  <c r="F13" i="33"/>
  <c r="S13" i="33"/>
  <c r="J29" i="33"/>
  <c r="F29" i="33"/>
  <c r="S29" i="33" s="1"/>
  <c r="J31" i="33"/>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U46" i="33"/>
  <c r="AA14" i="33"/>
  <c r="J36" i="37"/>
  <c r="AC36" i="37"/>
  <c r="J10" i="36"/>
  <c r="AC10" i="36" s="1"/>
  <c r="AA14" i="37"/>
  <c r="W31" i="34"/>
  <c r="AA14"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BA520" i="3"/>
  <c r="AZ520" i="3" s="1"/>
  <c r="BA518" i="3"/>
  <c r="BA516" i="3"/>
  <c r="BA514" i="3"/>
  <c r="BA512" i="3"/>
  <c r="AZ512" i="3" s="1"/>
  <c r="BA510" i="3"/>
  <c r="AZ510" i="3"/>
  <c r="BA508" i="3"/>
  <c r="AZ508" i="3" s="1"/>
  <c r="BA506" i="3"/>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39" i="37"/>
  <c r="W47" i="34"/>
  <c r="AC36" i="34"/>
  <c r="AA13" i="33"/>
  <c r="W44" i="33"/>
  <c r="U11" i="33"/>
  <c r="U19" i="21"/>
  <c r="W44" i="21"/>
  <c r="AB38" i="21"/>
  <c r="F43" i="33"/>
  <c r="AA43" i="33" s="1"/>
  <c r="W15" i="34"/>
  <c r="AC15" i="34"/>
  <c r="W16" i="35"/>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AZ203" i="3" s="1"/>
  <c r="BL204" i="3"/>
  <c r="AZ204" i="3" s="1"/>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AZ391" i="3" s="1"/>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BA15" i="3"/>
  <c r="BB5" i="3"/>
  <c r="BR5" i="3"/>
  <c r="AZ380" i="3"/>
  <c r="AZ499" i="3"/>
  <c r="AZ509" i="3"/>
  <c r="G509" i="3"/>
  <c r="BL493" i="3"/>
  <c r="AZ493" i="3"/>
  <c r="U36" i="40"/>
  <c r="F83" i="43"/>
  <c r="H85" i="43" s="1"/>
  <c r="F50" i="43"/>
  <c r="H54" i="43" s="1"/>
  <c r="F72" i="43"/>
  <c r="H75" i="43" s="1"/>
  <c r="U17" i="39"/>
  <c r="S14" i="35"/>
  <c r="U35" i="21"/>
  <c r="AC35" i="21"/>
  <c r="G10" i="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80" i="3"/>
  <c r="AZ69"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U12" i="39" s="1"/>
  <c r="AB12" i="39"/>
  <c r="F39" i="40"/>
  <c r="BA14" i="3"/>
  <c r="AZ250" i="3"/>
  <c r="AZ286" i="3"/>
  <c r="B12" i="1"/>
  <c r="E12" i="1" s="1"/>
  <c r="B10" i="1"/>
  <c r="E10" i="1" s="1"/>
  <c r="K12" i="1"/>
  <c r="M12" i="1" s="1"/>
  <c r="S13" i="1"/>
  <c r="AR13" i="1" s="1"/>
  <c r="R13"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S39" i="21"/>
  <c r="AA38"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13"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F85" i="21"/>
  <c r="G85" i="21" s="1"/>
  <c r="H23" i="21"/>
  <c r="AB23" i="21" s="1"/>
  <c r="S13" i="21"/>
  <c r="D6" i="52"/>
  <c r="AP7" i="1"/>
  <c r="AB45" i="21"/>
  <c r="AB9" i="21"/>
  <c r="U9" i="21"/>
  <c r="AA32" i="21"/>
  <c r="W9" i="21"/>
  <c r="AC9" i="21"/>
  <c r="AB32" i="21"/>
  <c r="A18" i="62"/>
  <c r="B64" i="72" s="1"/>
  <c r="U32" i="39"/>
  <c r="AC32" i="39"/>
  <c r="W32" i="39"/>
  <c r="AC23" i="37"/>
  <c r="J63" i="37"/>
  <c r="K63" i="37" s="1"/>
  <c r="L63" i="37" s="1"/>
  <c r="M63" i="37" s="1"/>
  <c r="J11" i="37"/>
  <c r="AC11" i="37" s="1"/>
  <c r="H70" i="34"/>
  <c r="I70" i="34" s="1"/>
  <c r="J70" i="34" s="1"/>
  <c r="K70" i="34"/>
  <c r="L70" i="34" s="1"/>
  <c r="M70" i="34" s="1"/>
  <c r="J11" i="34"/>
  <c r="W11" i="34" s="1"/>
  <c r="AB36" i="33"/>
  <c r="AC27" i="33"/>
  <c r="W25" i="33"/>
  <c r="AB19" i="33"/>
  <c r="U19" i="33"/>
  <c r="AA17" i="33"/>
  <c r="U23" i="21"/>
  <c r="AC23" i="21"/>
  <c r="W23" i="21"/>
  <c r="H109" i="9"/>
  <c r="M49" i="9" s="1"/>
  <c r="H112" i="9"/>
  <c r="D21" i="53"/>
  <c r="B39" i="72" s="1"/>
  <c r="H111" i="9"/>
  <c r="D126" i="9" s="1"/>
  <c r="AD3" i="71"/>
  <c r="H69" i="4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F7" i="15"/>
  <c r="F20" i="31"/>
  <c r="F43" i="67"/>
  <c r="F9" i="67"/>
  <c r="M23" i="15"/>
  <c r="B9" i="76"/>
  <c r="E2" i="68"/>
  <c r="E9" i="76"/>
  <c r="F7" i="73"/>
  <c r="M24" i="67"/>
  <c r="M28" i="15"/>
  <c r="F13" i="67"/>
  <c r="E2" i="69"/>
  <c r="F6" i="73"/>
  <c r="F8" i="15"/>
  <c r="E13" i="76"/>
  <c r="B10" i="76"/>
  <c r="M8" i="15"/>
  <c r="M9" i="67"/>
  <c r="E12" i="76"/>
  <c r="E10" i="76"/>
  <c r="F13" i="15"/>
  <c r="B11" i="76"/>
  <c r="B13" i="76"/>
  <c r="M26" i="67"/>
  <c r="F43" i="15"/>
  <c r="L47" i="15"/>
  <c r="B7" i="76"/>
  <c r="L48" i="67"/>
  <c r="F6" i="67"/>
  <c r="AO13" i="1"/>
  <c r="E7" i="76"/>
  <c r="M26" i="15"/>
  <c r="F38" i="67"/>
  <c r="M8" i="67"/>
  <c r="F42" i="67"/>
  <c r="B12" i="76"/>
  <c r="B8" i="76"/>
  <c r="F26" i="67"/>
  <c r="M6" i="67"/>
  <c r="F8" i="67"/>
  <c r="D34" i="9"/>
  <c r="L48" i="15"/>
  <c r="F7" i="67"/>
  <c r="F36" i="67"/>
  <c r="F4" i="73"/>
  <c r="F26" i="15"/>
  <c r="C76" i="67"/>
  <c r="F36" i="15"/>
  <c r="M28" i="67"/>
  <c r="C76" i="15"/>
  <c r="M24" i="15"/>
  <c r="L47" i="67"/>
  <c r="M23" i="67"/>
  <c r="F42" i="15"/>
  <c r="E8" i="76"/>
  <c r="F16" i="67"/>
  <c r="F16" i="15"/>
  <c r="E11" i="76"/>
  <c r="M6" i="15"/>
  <c r="M29" i="15"/>
  <c r="F3" i="73"/>
  <c r="M22" i="15"/>
  <c r="J15" i="67"/>
  <c r="F40" i="15"/>
  <c r="J15" i="15"/>
  <c r="F9" i="15"/>
  <c r="M22" i="67"/>
  <c r="F37" i="15"/>
  <c r="F6" i="15"/>
  <c r="F5" i="73"/>
  <c r="M29" i="67"/>
  <c r="M9" i="15"/>
  <c r="F37" i="67"/>
  <c r="D35" i="9"/>
  <c r="F40" i="67"/>
  <c r="C21" i="68" l="1"/>
  <c r="H43" i="21"/>
  <c r="AB43" i="21" s="1"/>
  <c r="F43" i="21"/>
  <c r="S43" i="21" s="1"/>
  <c r="J43" i="21"/>
  <c r="AC43" i="21" s="1"/>
  <c r="S42" i="21"/>
  <c r="F26" i="21"/>
  <c r="J26" i="21"/>
  <c r="W26" i="21" s="1"/>
  <c r="S27" i="21"/>
  <c r="AC27" i="21"/>
  <c r="U27" i="21"/>
  <c r="AA36" i="21"/>
  <c r="AC34" i="21"/>
  <c r="AB42" i="21"/>
  <c r="AC42" i="21"/>
  <c r="J51" i="67"/>
  <c r="C7" i="34"/>
  <c r="C7" i="21"/>
  <c r="F54" i="9"/>
  <c r="F32" i="15"/>
  <c r="F60" i="15" s="1"/>
  <c r="M18" i="15"/>
  <c r="M18" i="67"/>
  <c r="F30" i="11"/>
  <c r="C48" i="11" s="1"/>
  <c r="D68" i="9"/>
  <c r="F30" i="69"/>
  <c r="F48" i="69" s="1"/>
  <c r="F31" i="12"/>
  <c r="F28" i="15"/>
  <c r="F32" i="67"/>
  <c r="F60" i="67" s="1"/>
  <c r="F28" i="67"/>
  <c r="M47" i="9"/>
  <c r="C7" i="35"/>
  <c r="C48" i="35" s="1"/>
  <c r="D48" i="35" s="1"/>
  <c r="C42" i="1"/>
  <c r="C24" i="12" s="1"/>
  <c r="J1" i="73"/>
  <c r="G23" i="43"/>
  <c r="C23" i="43" s="1"/>
  <c r="C7" i="33"/>
  <c r="C7" i="37"/>
  <c r="C52" i="37" s="1"/>
  <c r="D52" i="37" s="1"/>
  <c r="C7" i="40"/>
  <c r="C63" i="40" s="1"/>
  <c r="C7" i="39"/>
  <c r="C67" i="39" s="1"/>
  <c r="D67" i="39" s="1"/>
  <c r="D69" i="39" s="1"/>
  <c r="D22" i="71"/>
  <c r="C21" i="71"/>
  <c r="D21" i="71" s="1"/>
  <c r="S27" i="40"/>
  <c r="AZ139" i="3"/>
  <c r="AZ497" i="3"/>
  <c r="AZ558" i="3"/>
  <c r="AZ566" i="3"/>
  <c r="AZ582" i="3"/>
  <c r="S44" i="34"/>
  <c r="AB14" i="40"/>
  <c r="U33" i="40"/>
  <c r="AB33" i="40"/>
  <c r="U17" i="34"/>
  <c r="AB17" i="34"/>
  <c r="AZ387" i="3"/>
  <c r="AZ374" i="3"/>
  <c r="AZ124" i="3"/>
  <c r="S41" i="33"/>
  <c r="AA41" i="33"/>
  <c r="W17" i="21"/>
  <c r="AZ14" i="3"/>
  <c r="F29" i="6"/>
  <c r="AZ364" i="3"/>
  <c r="AZ329" i="3"/>
  <c r="AZ313" i="3"/>
  <c r="AZ306" i="3"/>
  <c r="W12" i="37"/>
  <c r="AC12" i="37"/>
  <c r="AZ505" i="3"/>
  <c r="AZ533" i="3"/>
  <c r="AZ522" i="3"/>
  <c r="AZ542" i="3"/>
  <c r="AA44" i="33"/>
  <c r="AB46" i="34"/>
  <c r="U46" i="34"/>
  <c r="W31" i="33"/>
  <c r="AC31" i="33"/>
  <c r="S29" i="35"/>
  <c r="AA29" i="35"/>
  <c r="AB26" i="37"/>
  <c r="U26" i="37"/>
  <c r="AZ389" i="3"/>
  <c r="AZ561" i="3"/>
  <c r="AZ513" i="3"/>
  <c r="AZ575" i="3"/>
  <c r="AZ532" i="3"/>
  <c r="U45" i="33"/>
  <c r="AB45" i="33"/>
  <c r="AB30" i="21"/>
  <c r="U30" i="21"/>
  <c r="AB23" i="34"/>
  <c r="U23" i="34"/>
  <c r="G585" i="3"/>
  <c r="H5" i="3"/>
  <c r="BL587" i="3"/>
  <c r="BA587" i="3"/>
  <c r="AZ587" i="3" s="1"/>
  <c r="BA585" i="3"/>
  <c r="W45" i="33"/>
  <c r="AC45" i="33"/>
  <c r="AZ305" i="3"/>
  <c r="AZ140" i="3"/>
  <c r="AZ360" i="3"/>
  <c r="AZ539" i="3"/>
  <c r="AZ529" i="3"/>
  <c r="AZ537" i="3"/>
  <c r="AZ518" i="3"/>
  <c r="AZ526" i="3"/>
  <c r="AZ564" i="3"/>
  <c r="AZ580" i="3"/>
  <c r="S11" i="36"/>
  <c r="H32" i="34"/>
  <c r="J14" i="34"/>
  <c r="F45" i="21"/>
  <c r="S35" i="34"/>
  <c r="AB12" i="35"/>
  <c r="W8" i="40"/>
  <c r="U33" i="33"/>
  <c r="U31" i="35"/>
  <c r="W40" i="39"/>
  <c r="B79" i="43"/>
  <c r="J9" i="33"/>
  <c r="H23" i="35"/>
  <c r="W27" i="35"/>
  <c r="J23" i="36"/>
  <c r="U39" i="40"/>
  <c r="W9" i="34"/>
  <c r="G587" i="3"/>
  <c r="F9" i="33"/>
  <c r="AA9" i="33" s="1"/>
  <c r="J12" i="35"/>
  <c r="F25" i="37"/>
  <c r="AZ376" i="3"/>
  <c r="AZ309" i="3"/>
  <c r="AZ549" i="3"/>
  <c r="H27" i="34"/>
  <c r="AZ515" i="3"/>
  <c r="AZ523" i="3"/>
  <c r="AZ547" i="3"/>
  <c r="AZ569" i="3"/>
  <c r="AZ571" i="3"/>
  <c r="AZ579" i="3"/>
  <c r="AZ516" i="3"/>
  <c r="AZ524" i="3"/>
  <c r="AC28" i="21"/>
  <c r="AC11" i="35"/>
  <c r="W22" i="35"/>
  <c r="J45" i="39"/>
  <c r="W45" i="39" s="1"/>
  <c r="BL585" i="3"/>
  <c r="B75" i="43"/>
  <c r="H24" i="36"/>
  <c r="J25" i="37"/>
  <c r="G570" i="3"/>
  <c r="G551" i="3"/>
  <c r="BL550" i="3"/>
  <c r="G542" i="3"/>
  <c r="BA551" i="3"/>
  <c r="AZ551" i="3" s="1"/>
  <c r="BA550" i="3"/>
  <c r="AZ550" i="3" s="1"/>
  <c r="BL548" i="3"/>
  <c r="AZ548" i="3" s="1"/>
  <c r="BL16" i="3"/>
  <c r="AZ16" i="3" s="1"/>
  <c r="BA401" i="3"/>
  <c r="AZ401" i="3" s="1"/>
  <c r="BA403" i="3"/>
  <c r="BA404" i="3"/>
  <c r="BA405" i="3"/>
  <c r="BL410" i="3"/>
  <c r="AZ410" i="3" s="1"/>
  <c r="G412" i="3"/>
  <c r="G418" i="3"/>
  <c r="BA422" i="3"/>
  <c r="G429" i="3"/>
  <c r="BL431" i="3"/>
  <c r="G433" i="3"/>
  <c r="BL434" i="3"/>
  <c r="G436" i="3"/>
  <c r="BL438" i="3"/>
  <c r="BL439" i="3"/>
  <c r="BA441" i="3"/>
  <c r="BL445" i="3"/>
  <c r="AZ445" i="3" s="1"/>
  <c r="BL446" i="3"/>
  <c r="BL449" i="3"/>
  <c r="BL450" i="3"/>
  <c r="BL452" i="3"/>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AZ236" i="3" s="1"/>
  <c r="BL238" i="3"/>
  <c r="AZ238" i="3" s="1"/>
  <c r="BL243" i="3"/>
  <c r="AZ243" i="3" s="1"/>
  <c r="BA247" i="3"/>
  <c r="BL247" i="3"/>
  <c r="BA249" i="3"/>
  <c r="AZ249" i="3" s="1"/>
  <c r="BL249" i="3"/>
  <c r="BA251" i="3"/>
  <c r="BL251" i="3"/>
  <c r="BA253" i="3"/>
  <c r="BL260" i="3"/>
  <c r="G262" i="3"/>
  <c r="BL263" i="3"/>
  <c r="AZ263" i="3" s="1"/>
  <c r="G264" i="3"/>
  <c r="BA274" i="3"/>
  <c r="BL274" i="3"/>
  <c r="G279" i="3"/>
  <c r="BA281" i="3"/>
  <c r="BL283" i="3"/>
  <c r="AZ283" i="3" s="1"/>
  <c r="BL284" i="3"/>
  <c r="G288" i="3"/>
  <c r="G294" i="3"/>
  <c r="BL295" i="3"/>
  <c r="AZ458" i="3"/>
  <c r="AZ462" i="3"/>
  <c r="BA239" i="3"/>
  <c r="AZ239" i="3" s="1"/>
  <c r="BL239" i="3"/>
  <c r="BA241" i="3"/>
  <c r="BL241" i="3"/>
  <c r="BA244" i="3"/>
  <c r="AZ244" i="3" s="1"/>
  <c r="BL244" i="3"/>
  <c r="BA246" i="3"/>
  <c r="BA252" i="3"/>
  <c r="AZ252" i="3" s="1"/>
  <c r="BA254" i="3"/>
  <c r="AZ254" i="3" s="1"/>
  <c r="BA256" i="3"/>
  <c r="BL256" i="3"/>
  <c r="BA258" i="3"/>
  <c r="AZ258" i="3" s="1"/>
  <c r="BL264" i="3"/>
  <c r="BL266" i="3"/>
  <c r="BA268" i="3"/>
  <c r="BA271" i="3"/>
  <c r="AZ271" i="3" s="1"/>
  <c r="BL271" i="3"/>
  <c r="BA273" i="3"/>
  <c r="AZ273" i="3" s="1"/>
  <c r="BA279" i="3"/>
  <c r="G29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AZ446" i="3" s="1"/>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A209" i="3"/>
  <c r="BL217" i="3"/>
  <c r="AZ217" i="3" s="1"/>
  <c r="BA219" i="3"/>
  <c r="AZ219" i="3" s="1"/>
  <c r="BA221" i="3"/>
  <c r="BA223" i="3"/>
  <c r="AZ223" i="3" s="1"/>
  <c r="BL228" i="3"/>
  <c r="AZ228" i="3" s="1"/>
  <c r="BA230" i="3"/>
  <c r="AZ230"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6" i="3"/>
  <c r="BA278" i="3"/>
  <c r="AZ278" i="3" s="1"/>
  <c r="BA298" i="3"/>
  <c r="AZ298" i="3" s="1"/>
  <c r="BA301" i="3"/>
  <c r="AZ301" i="3" s="1"/>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0" i="3"/>
  <c r="G46" i="3"/>
  <c r="BL48" i="3"/>
  <c r="AZ48" i="3" s="1"/>
  <c r="C47" i="71"/>
  <c r="D47" i="71" s="1"/>
  <c r="D46" i="71"/>
  <c r="C55" i="71"/>
  <c r="D54" i="71"/>
  <c r="V24" i="71"/>
  <c r="E23" i="71"/>
  <c r="E22" i="71" s="1"/>
  <c r="E21" i="71" s="1"/>
  <c r="E20" i="71" s="1"/>
  <c r="BA116" i="3"/>
  <c r="AZ116" i="3" s="1"/>
  <c r="BA121" i="3"/>
  <c r="BL121" i="3"/>
  <c r="BA124" i="3"/>
  <c r="BA126" i="3"/>
  <c r="BA129" i="3"/>
  <c r="BL133" i="3"/>
  <c r="AZ133" i="3" s="1"/>
  <c r="BL139" i="3"/>
  <c r="G140" i="3"/>
  <c r="BL141" i="3"/>
  <c r="BL143" i="3"/>
  <c r="AZ143" i="3" s="1"/>
  <c r="G146" i="3"/>
  <c r="G147" i="3"/>
  <c r="G154" i="3"/>
  <c r="G156" i="3"/>
  <c r="BL157" i="3"/>
  <c r="AZ157" i="3" s="1"/>
  <c r="BL159" i="3"/>
  <c r="AZ159" i="3" s="1"/>
  <c r="G160" i="3"/>
  <c r="BL177" i="3"/>
  <c r="G179" i="3"/>
  <c r="BL183" i="3"/>
  <c r="AZ183" i="3" s="1"/>
  <c r="BA186" i="3"/>
  <c r="AZ186" i="3" s="1"/>
  <c r="BA190" i="3"/>
  <c r="G196" i="3"/>
  <c r="BA197" i="3"/>
  <c r="AZ197" i="3" s="1"/>
  <c r="BL201" i="3"/>
  <c r="G51" i="3"/>
  <c r="BL64" i="3"/>
  <c r="P65" i="71"/>
  <c r="P66" i="71"/>
  <c r="D31" i="71"/>
  <c r="C32" i="71"/>
  <c r="N67" i="71"/>
  <c r="B66" i="71"/>
  <c r="AZ177" i="3"/>
  <c r="AZ201" i="3"/>
  <c r="BA205" i="3"/>
  <c r="AZ205" i="3" s="1"/>
  <c r="BL20" i="3"/>
  <c r="BA21" i="3"/>
  <c r="AZ21" i="3" s="1"/>
  <c r="BA25" i="3"/>
  <c r="BA26" i="3"/>
  <c r="BL28" i="3"/>
  <c r="BA29" i="3"/>
  <c r="AZ29" i="3" s="1"/>
  <c r="G38" i="3"/>
  <c r="BA38" i="3"/>
  <c r="AZ38" i="3" s="1"/>
  <c r="BL40" i="3"/>
  <c r="BL41" i="3"/>
  <c r="AZ41"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7" i="3"/>
  <c r="BA43" i="3"/>
  <c r="BL47" i="3"/>
  <c r="AZ47" i="3" s="1"/>
  <c r="G49" i="3"/>
  <c r="BA50" i="3"/>
  <c r="AZ50" i="3" s="1"/>
  <c r="AZ64" i="3"/>
  <c r="C44" i="71"/>
  <c r="D43" i="71"/>
  <c r="C52" i="71"/>
  <c r="D51" i="71"/>
  <c r="G96" i="3"/>
  <c r="BL97" i="3"/>
  <c r="AZ97" i="3" s="1"/>
  <c r="F3" i="35"/>
  <c r="S21" i="33"/>
  <c r="S21" i="37"/>
  <c r="W29" i="39"/>
  <c r="B77" i="43"/>
  <c r="AA18" i="35"/>
  <c r="T60" i="71"/>
  <c r="O66" i="71"/>
  <c r="O67" i="71"/>
  <c r="AA28" i="71"/>
  <c r="AB27" i="71"/>
  <c r="E75" i="71"/>
  <c r="E74" i="71" s="1"/>
  <c r="AB25" i="71"/>
  <c r="Y25" i="71"/>
  <c r="Z25" i="71" s="1"/>
  <c r="X38" i="71"/>
  <c r="C35" i="71"/>
  <c r="X33" i="71"/>
  <c r="AB37" i="71"/>
  <c r="V80" i="71"/>
  <c r="BA51" i="3"/>
  <c r="G55" i="3"/>
  <c r="BL56" i="3"/>
  <c r="BA58" i="3"/>
  <c r="AZ58" i="3" s="1"/>
  <c r="BL59" i="3"/>
  <c r="AZ59" i="3" s="1"/>
  <c r="BL60" i="3"/>
  <c r="BA61" i="3"/>
  <c r="AZ61" i="3" s="1"/>
  <c r="BA68" i="3"/>
  <c r="AZ68" i="3" s="1"/>
  <c r="BA73" i="3"/>
  <c r="BA80" i="3"/>
  <c r="BL84" i="3"/>
  <c r="BA89" i="3"/>
  <c r="G103" i="3"/>
  <c r="BA103" i="3"/>
  <c r="AZ103" i="3" s="1"/>
  <c r="BA104" i="3"/>
  <c r="BA106" i="3"/>
  <c r="AZ106" i="3" s="1"/>
  <c r="BL108" i="3"/>
  <c r="AZ108" i="3" s="1"/>
  <c r="BL111" i="3"/>
  <c r="AA27" i="71"/>
  <c r="AB26" i="71"/>
  <c r="C83" i="71"/>
  <c r="C79" i="71"/>
  <c r="C71" i="71"/>
  <c r="C39" i="71"/>
  <c r="X25" i="71"/>
  <c r="Y28" i="71"/>
  <c r="Z28" i="71" s="1"/>
  <c r="C28" i="71"/>
  <c r="Y37" i="71"/>
  <c r="Z37" i="71" s="1"/>
  <c r="X35" i="71"/>
  <c r="AA37" i="71"/>
  <c r="Y30" i="71"/>
  <c r="Z30" i="71" s="1"/>
  <c r="X28" i="71"/>
  <c r="X32" i="71"/>
  <c r="AA39" i="71"/>
  <c r="G33" i="3"/>
  <c r="G34" i="3"/>
  <c r="BA37" i="3"/>
  <c r="G39" i="3"/>
  <c r="BL39" i="3"/>
  <c r="AZ39" i="3" s="1"/>
  <c r="G43" i="3"/>
  <c r="G44" i="3"/>
  <c r="BA45" i="3"/>
  <c r="AZ45" i="3" s="1"/>
  <c r="BA46" i="3"/>
  <c r="BL49" i="3"/>
  <c r="AZ49" i="3" s="1"/>
  <c r="BL50" i="3"/>
  <c r="BL51" i="3"/>
  <c r="G53" i="3"/>
  <c r="BL53" i="3"/>
  <c r="BA56" i="3"/>
  <c r="BA57" i="3"/>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B88" i="43"/>
  <c r="BA52" i="3"/>
  <c r="AZ52" i="3" s="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D66" i="71"/>
  <c r="AB28" i="71"/>
  <c r="AB33" i="71"/>
  <c r="AA30" i="71"/>
  <c r="E35" i="71"/>
  <c r="E36" i="71" s="1"/>
  <c r="U36" i="71" s="1"/>
  <c r="AB31" i="71"/>
  <c r="AA36" i="71"/>
  <c r="B47" i="71"/>
  <c r="B48" i="71" s="1"/>
  <c r="S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4" i="73"/>
  <c r="D3" i="73"/>
  <c r="D9" i="69"/>
  <c r="C16" i="67"/>
  <c r="D6" i="73"/>
  <c r="D5" i="73"/>
  <c r="D7" i="73"/>
  <c r="C36" i="69"/>
  <c r="U43" i="21" l="1"/>
  <c r="W43" i="21"/>
  <c r="AA43" i="21"/>
  <c r="AC26" i="21"/>
  <c r="S26" i="21"/>
  <c r="AA26" i="21"/>
  <c r="J7" i="37"/>
  <c r="N370" i="46"/>
  <c r="Q16" i="1"/>
  <c r="F28" i="12" s="1"/>
  <c r="C29" i="12" s="1"/>
  <c r="D28" i="12" s="1"/>
  <c r="H16" i="1"/>
  <c r="N94" i="46"/>
  <c r="G26" i="43"/>
  <c r="F26" i="43"/>
  <c r="G16" i="1"/>
  <c r="F10" i="39" s="1"/>
  <c r="S10" i="39" s="1"/>
  <c r="E28" i="6"/>
  <c r="K14" i="1" s="1"/>
  <c r="K16" i="1" s="1"/>
  <c r="T52" i="71"/>
  <c r="D52" i="71"/>
  <c r="AZ126" i="3"/>
  <c r="C56" i="71"/>
  <c r="D55" i="71"/>
  <c r="AC25" i="37"/>
  <c r="W25" i="37"/>
  <c r="AB27" i="34"/>
  <c r="U27" i="34"/>
  <c r="AC9" i="33"/>
  <c r="W9" i="33"/>
  <c r="AA45" i="21"/>
  <c r="S45" i="21"/>
  <c r="C40" i="71"/>
  <c r="D39" i="71"/>
  <c r="P6" i="1"/>
  <c r="C13" i="12" s="1"/>
  <c r="AZ107" i="3"/>
  <c r="AZ89" i="3"/>
  <c r="AZ213" i="3"/>
  <c r="C20" i="71"/>
  <c r="T20" i="71" s="1"/>
  <c r="AZ66" i="3"/>
  <c r="T28" i="71"/>
  <c r="D28" i="71"/>
  <c r="U28" i="71" s="1"/>
  <c r="C27" i="71"/>
  <c r="C70" i="71"/>
  <c r="D70" i="71" s="1"/>
  <c r="D71" i="71"/>
  <c r="N65" i="71"/>
  <c r="N66" i="71"/>
  <c r="AZ297" i="3"/>
  <c r="AZ457" i="3"/>
  <c r="AZ368" i="3"/>
  <c r="AZ353" i="3"/>
  <c r="AZ241" i="3"/>
  <c r="AZ251" i="3"/>
  <c r="AZ247" i="3"/>
  <c r="AZ464" i="3"/>
  <c r="AZ441" i="3"/>
  <c r="AZ422" i="3"/>
  <c r="AZ405" i="3"/>
  <c r="AB24" i="36"/>
  <c r="U24" i="36"/>
  <c r="AA25" i="37"/>
  <c r="S25" i="37"/>
  <c r="AC23" i="36"/>
  <c r="W23" i="36"/>
  <c r="W14" i="34"/>
  <c r="AC14" i="34"/>
  <c r="AZ174" i="3"/>
  <c r="AZ299" i="3"/>
  <c r="AZ117" i="3"/>
  <c r="AZ209" i="3"/>
  <c r="AZ53" i="3"/>
  <c r="AZ57" i="3"/>
  <c r="D79" i="71"/>
  <c r="C78" i="71"/>
  <c r="D78" i="71" s="1"/>
  <c r="D44" i="71"/>
  <c r="T44" i="71"/>
  <c r="AZ190" i="3"/>
  <c r="AZ19" i="3"/>
  <c r="AZ277" i="3"/>
  <c r="AZ256" i="3"/>
  <c r="AZ274" i="3"/>
  <c r="AZ229" i="3"/>
  <c r="AZ218" i="3"/>
  <c r="AZ404" i="3"/>
  <c r="W12" i="35"/>
  <c r="AC12" i="35"/>
  <c r="AB32" i="34"/>
  <c r="U32" i="34"/>
  <c r="J7" i="36"/>
  <c r="AC7" i="36" s="1"/>
  <c r="D17" i="53"/>
  <c r="B36" i="72" s="1"/>
  <c r="E26" i="43"/>
  <c r="AZ138" i="3"/>
  <c r="AZ285" i="3"/>
  <c r="AZ492" i="3"/>
  <c r="AC45" i="39"/>
  <c r="AZ111" i="3"/>
  <c r="D83" i="71"/>
  <c r="C82" i="71"/>
  <c r="D82" i="71" s="1"/>
  <c r="AZ51" i="3"/>
  <c r="AZ5" i="3" s="1"/>
  <c r="C36" i="71"/>
  <c r="D35" i="71"/>
  <c r="AZ25" i="3"/>
  <c r="T32" i="71"/>
  <c r="D32" i="71"/>
  <c r="AZ121" i="3"/>
  <c r="AZ403" i="3"/>
  <c r="U23" i="35"/>
  <c r="AB23" i="35"/>
  <c r="AZ585" i="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E240" i="3"/>
  <c r="E487" i="3"/>
  <c r="E219" i="3"/>
  <c r="W40" i="40"/>
  <c r="AC40" i="40"/>
  <c r="AC12" i="21"/>
  <c r="W12" i="21"/>
  <c r="AB12" i="21"/>
  <c r="U12" i="21"/>
  <c r="AA27" i="34"/>
  <c r="S27" i="34"/>
  <c r="AC26" i="37"/>
  <c r="W26" i="37"/>
  <c r="BL5" i="3"/>
  <c r="B15" i="71"/>
  <c r="B14" i="71" s="1"/>
  <c r="B13" i="71" s="1"/>
  <c r="B12" i="71" s="1"/>
  <c r="S16" i="71"/>
  <c r="F7" i="36"/>
  <c r="S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9" i="69"/>
  <c r="B29" i="1" s="1"/>
  <c r="C8" i="68" s="1"/>
  <c r="C5" i="68" s="1"/>
  <c r="C9" i="68"/>
  <c r="E72" i="43"/>
  <c r="B70" i="43"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9"/>
  <c r="AE6" i="1"/>
  <c r="F41" i="67"/>
  <c r="G1" i="73"/>
  <c r="F27" i="68" l="1"/>
  <c r="C47" i="68" s="1"/>
  <c r="D45" i="68" s="1"/>
  <c r="F27" i="11"/>
  <c r="C29" i="11" s="1"/>
  <c r="D27" i="11" s="1"/>
  <c r="W7" i="36"/>
  <c r="C28" i="43"/>
  <c r="T9" i="43" s="1"/>
  <c r="V9" i="43" s="1"/>
  <c r="F45" i="69"/>
  <c r="C47" i="69"/>
  <c r="D45" i="69" s="1"/>
  <c r="C29" i="69"/>
  <c r="D27" i="69" s="1"/>
  <c r="AA10" i="39"/>
  <c r="F10" i="40"/>
  <c r="S10" i="40" s="1"/>
  <c r="H10" i="39"/>
  <c r="U10" i="39" s="1"/>
  <c r="H10" i="40"/>
  <c r="AB10" i="40" s="1"/>
  <c r="J10" i="40"/>
  <c r="AC10" i="40" s="1"/>
  <c r="J10" i="39"/>
  <c r="W10" i="39" s="1"/>
  <c r="H6" i="3"/>
  <c r="M14" i="1"/>
  <c r="D26" i="43"/>
  <c r="C25" i="43" s="1"/>
  <c r="C33" i="43" s="1"/>
  <c r="C6" i="69" s="1"/>
  <c r="C7" i="69" s="1"/>
  <c r="AY6" i="3"/>
  <c r="E3" i="6"/>
  <c r="C26" i="71"/>
  <c r="D26" i="71" s="1"/>
  <c r="D27" i="71"/>
  <c r="D56" i="71"/>
  <c r="T56" i="71"/>
  <c r="AA7" i="36"/>
  <c r="R36" i="36" s="1"/>
  <c r="D20" i="71"/>
  <c r="U20" i="71" s="1"/>
  <c r="T40" i="71"/>
  <c r="D40" i="71"/>
  <c r="V36" i="36"/>
  <c r="I36" i="36" s="1"/>
  <c r="T36" i="36"/>
  <c r="G36" i="36" s="1"/>
  <c r="T49" i="34"/>
  <c r="G49" i="34" s="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C29" i="68" l="1"/>
  <c r="D27" i="68" s="1"/>
  <c r="F45" i="68"/>
  <c r="C47" i="11"/>
  <c r="D45" i="11" s="1"/>
  <c r="AB10" i="39"/>
  <c r="T4" i="43"/>
  <c r="V4" i="43" s="1"/>
  <c r="T14" i="43"/>
  <c r="V14" i="43" s="1"/>
  <c r="T11" i="43"/>
  <c r="V11" i="43" s="1"/>
  <c r="T5" i="43"/>
  <c r="V5" i="43" s="1"/>
  <c r="C41" i="43"/>
  <c r="E41" i="43" s="1"/>
  <c r="T6" i="43"/>
  <c r="V6" i="43" s="1"/>
  <c r="T8" i="43"/>
  <c r="V8" i="43" s="1"/>
  <c r="T16" i="43"/>
  <c r="V16" i="43" s="1"/>
  <c r="T13" i="43"/>
  <c r="V13" i="43" s="1"/>
  <c r="C37" i="43"/>
  <c r="G37" i="43" s="1"/>
  <c r="I37" i="43" s="1"/>
  <c r="T2" i="43"/>
  <c r="V2" i="43" s="1"/>
  <c r="T10" i="43"/>
  <c r="V10" i="43" s="1"/>
  <c r="T7" i="43"/>
  <c r="V7" i="43" s="1"/>
  <c r="T15" i="43"/>
  <c r="V15" i="43" s="1"/>
  <c r="C40" i="43"/>
  <c r="G40" i="43" s="1"/>
  <c r="I40" i="43" s="1"/>
  <c r="T3" i="43"/>
  <c r="V3" i="43" s="1"/>
  <c r="T12" i="43"/>
  <c r="V12" i="43" s="1"/>
  <c r="AC10" i="39"/>
  <c r="D116" i="43"/>
  <c r="F22" i="11"/>
  <c r="C24" i="11" s="1"/>
  <c r="F24" i="67"/>
  <c r="C24" i="67" s="1"/>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4" i="67"/>
  <c r="D10" i="69"/>
  <c r="C17" i="67"/>
  <c r="C17" i="15"/>
  <c r="E37" i="43" l="1"/>
  <c r="C44" i="68"/>
  <c r="D41" i="68" s="1"/>
  <c r="G41" i="43"/>
  <c r="I41" i="43" s="1"/>
  <c r="C31" i="43" s="1"/>
  <c r="E40" i="43"/>
  <c r="C25" i="11"/>
  <c r="C23" i="11"/>
  <c r="C44" i="11"/>
  <c r="D41" i="11" s="1"/>
  <c r="C26" i="11"/>
  <c r="D22" i="11" s="1"/>
  <c r="C23" i="68"/>
  <c r="C26" i="68"/>
  <c r="D22" i="68" s="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C19" i="9"/>
  <c r="B3" i="69"/>
  <c r="I53" i="21" l="1"/>
  <c r="J53" i="21" s="1"/>
  <c r="C102" i="9"/>
  <c r="C21" i="9"/>
  <c r="E52" i="21"/>
  <c r="F52"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9" i="9"/>
  <c r="D102" i="9" l="1"/>
  <c r="D21" i="9"/>
  <c r="G19" i="9"/>
  <c r="G21" i="9" s="1"/>
  <c r="D22"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2" i="35"/>
  <c r="D2" i="34"/>
  <c r="L51" i="15"/>
  <c r="D2" i="36"/>
  <c r="D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6" i="1"/>
  <c r="AO12" i="1"/>
  <c r="AO11" i="1"/>
  <c r="AO8" i="1"/>
  <c r="C32" i="9" l="1"/>
  <c r="C35" i="9" s="1"/>
  <c r="C34" i="9" s="1"/>
  <c r="E14" i="74"/>
  <c r="D14" i="74"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1" i="72"/>
  <c r="D15" i="53"/>
  <c r="D9" i="52"/>
  <c r="D123" i="9"/>
  <c r="D54" i="9"/>
  <c r="C68" i="9"/>
  <c r="B47" i="72"/>
  <c r="D4" i="52"/>
  <c r="B20" i="72"/>
  <c r="M55" i="9"/>
  <c r="C64" i="9"/>
  <c r="C63" i="9"/>
  <c r="C67" i="9"/>
  <c r="D59" i="9"/>
  <c r="B32" i="72"/>
  <c r="D14" i="53"/>
  <c r="B49" i="72"/>
  <c r="D5" i="52"/>
  <c r="D118" i="9"/>
  <c r="D119" i="9"/>
  <c r="B52" i="72"/>
  <c r="G4" i="52"/>
  <c r="H5" i="52"/>
  <c r="H119" i="9"/>
  <c r="C73" i="9"/>
  <c r="C78" i="9"/>
  <c r="D122" i="9"/>
  <c r="D8" i="52"/>
  <c r="B51" i="72"/>
  <c r="F4" i="52"/>
  <c r="C5" i="74"/>
  <c r="C81" i="9"/>
  <c r="E97" i="9"/>
  <c r="E96" i="9"/>
  <c r="C96" i="9"/>
  <c r="B53" i="72"/>
  <c r="F5" i="52"/>
  <c r="G118" i="9"/>
  <c r="F118" i="9"/>
  <c r="F119" i="9"/>
  <c r="H108" i="9"/>
  <c r="C6" i="74"/>
  <c r="N58" i="9"/>
  <c r="P57" i="9"/>
  <c r="H102" i="9"/>
  <c r="D7" i="53"/>
  <c r="B21" i="72"/>
  <c r="C86" i="9"/>
  <c r="C93" i="9"/>
  <c r="C85" i="9"/>
  <c r="C95" i="9"/>
  <c r="C97" i="9"/>
  <c r="D58" i="9"/>
  <c r="D56" i="9"/>
  <c r="M54" i="9"/>
  <c r="C72" i="9"/>
  <c r="C79" i="9"/>
  <c r="C80" i="9"/>
  <c r="E80" i="9"/>
  <c r="E81" i="9"/>
  <c r="C105" i="9"/>
  <c r="I4" i="52"/>
  <c r="C104" i="9"/>
  <c r="H4" i="52"/>
  <c r="M48" i="9"/>
  <c r="D5" i="53"/>
  <c r="D6" i="53"/>
  <c r="B22" i="72"/>
  <c r="N61" i="9"/>
  <c r="D55" i="9"/>
  <c r="M53" i="9"/>
  <c r="N57" i="9"/>
  <c r="N59" i="9"/>
  <c r="N60" i="9"/>
  <c r="E118" i="9"/>
  <c r="E4" i="52"/>
  <c r="B48" i="72"/>
  <c r="H107" i="9"/>
  <c r="D13" i="53"/>
  <c r="B30"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<sst xmlns="http://schemas.openxmlformats.org/spreadsheetml/2006/main" count="8485" uniqueCount="3631">
  <si>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</si>
  <si>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</si>
  <si>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</si>
  <si>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</si>
  <si>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</si>
  <si>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</si>
  <si>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</si>
  <si>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</si>
  <si>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</si>
  <si>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</si>
  <si>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</si>
  <si>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</si>
  <si>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</si>
  <si>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</si>
  <si>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</si>
  <si>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</si>
  <si>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</si>
  <si>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</si>
  <si>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</si>
  <si>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</si>
  <si>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</si>
  <si>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</si>
  <si>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</si>
  <si>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</si>
  <si>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</si>
  <si>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</si>
  <si>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</si>
  <si>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</si>
  <si>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</si>
  <si>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</si>
  <si>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</si>
  <si>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</si>
  <si>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</si>
  <si>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</si>
  <si>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</si>
  <si>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</si>
  <si>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</si>
  <si>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</si>
  <si>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</si>
  <si>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</si>
  <si>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</si>
  <si>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</si>
  <si>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</si>
  <si>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</si>
  <si>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</si>
  <si>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</si>
  <si>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</si>
  <si>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</si>
  <si>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</si>
  <si>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</si>
  <si>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</si>
  <si>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</si>
  <si>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</si>
  <si>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</si>
  <si>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</si>
  <si>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</si>
  <si>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</si>
  <si>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</si>
  <si>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</si>
  <si>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</si>
  <si>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</si>
  <si>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</si>
  <si>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</si>
  <si>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</si>
  <si>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</si>
  <si>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</si>
  <si>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</si>
  <si>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</si>
  <si>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</si>
  <si>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</si>
  <si>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</si>
  <si>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</si>
  <si>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</si>
  <si>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</si>
  <si>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</si>
  <si>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</si>
  <si>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</si>
  <si>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</si>
  <si>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</si>
  <si>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</si>
  <si>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</si>
  <si>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</si>
  <si>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</si>
  <si>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</si>
  <si>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</si>
  <si>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</si>
  <si>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</si>
  <si>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</si>
  <si>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</si>
  <si>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</si>
  <si>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</si>
  <si>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</si>
  <si>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</si>
  <si>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</si>
  <si>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</si>
  <si>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</si>
  <si>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</si>
  <si>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</si>
  <si>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</si>
  <si>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</si>
  <si>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</si>
  <si>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</si>
  <si>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</si>
  <si>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</si>
  <si>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</si>
  <si>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</si>
  <si>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</si>
  <si>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</si>
  <si>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</si>
  <si>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</si>
  <si>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</si>
  <si>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</si>
  <si>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</si>
  <si>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</si>
  <si>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</si>
  <si>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</si>
  <si>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</si>
  <si>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</si>
  <si>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</si>
  <si>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</si>
  <si>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</si>
  <si>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</si>
  <si>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</si>
  <si>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</si>
  <si>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</si>
  <si>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</si>
  <si>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</si>
  <si>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</si>
  <si>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</si>
  <si>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</si>
  <si>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</si>
  <si>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</si>
  <si>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</si>
  <si>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</si>
  <si>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</si>
  <si>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</si>
  <si>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</si>
  <si>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</si>
  <si>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</si>
  <si>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</si>
  <si>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</si>
  <si>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</si>
  <si>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</si>
  <si>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</si>
  <si>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</si>
  <si>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</si>
  <si>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</si>
  <si>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</si>
  <si>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</si>
  <si>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</si>
  <si>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</si>
  <si>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</si>
  <si>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</si>
  <si>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</si>
  <si>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</si>
  <si>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</si>
  <si>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</si>
  <si>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</si>
  <si>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</si>
  <si>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</si>
  <si>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</si>
  <si>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</si>
  <si>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</si>
  <si>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</si>
  <si>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</si>
  <si>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</si>
  <si>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</si>
  <si>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</si>
  <si>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</si>
  <si>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</si>
  <si>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</si>
  <si>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</si>
  <si>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</si>
  <si>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</si>
  <si>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</si>
  <si>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</si>
  <si>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</si>
  <si>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</si>
  <si>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</si>
  <si>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</si>
  <si>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</si>
  <si>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</si>
  <si>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</si>
  <si>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</si>
  <si>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</si>
  <si>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</si>
  <si>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</si>
  <si>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</si>
  <si>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</si>
  <si>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</si>
  <si>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</si>
  <si>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</si>
  <si>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</si>
  <si>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</si>
  <si>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</si>
  <si>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</si>
  <si>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</si>
  <si>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</si>
  <si>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</si>
  <si>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</si>
  <si>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</si>
  <si>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</si>
  <si>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</si>
  <si>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</si>
  <si>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</si>
  <si>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</si>
  <si>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</si>
  <si>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</si>
  <si>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</si>
  <si>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</si>
  <si>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</si>
  <si>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</si>
  <si>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</si>
  <si>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</si>
  <si>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</si>
  <si>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</si>
  <si>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</si>
  <si>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</si>
  <si>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</si>
  <si>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</si>
  <si>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</si>
  <si>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</si>
  <si>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</si>
  <si>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</si>
  <si>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</si>
  <si>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</si>
  <si>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</si>
  <si>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</si>
  <si>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</si>
  <si>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</si>
  <si>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</si>
  <si>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</si>
  <si>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</si>
  <si>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</si>
  <si>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</si>
  <si>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</si>
  <si>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</si>
  <si>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</si>
  <si>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</si>
  <si>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</si>
  <si>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</si>
  <si>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</si>
  <si>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</si>
  <si>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</si>
  <si>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</si>
  <si>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</si>
  <si>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</si>
  <si>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</si>
  <si>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</si>
  <si>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</si>
  <si>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</si>
  <si>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</si>
  <si>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</si>
  <si>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</si>
  <si>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</si>
  <si>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</si>
  <si>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</si>
  <si>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</si>
  <si>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</si>
  <si>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</si>
  <si>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</si>
  <si>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</si>
  <si>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</si>
  <si>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</si>
  <si>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</si>
  <si>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</si>
  <si>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</si>
  <si>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</si>
  <si>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</si>
  <si>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</si>
  <si>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</si>
  <si>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</si>
  <si>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</si>
  <si>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</si>
  <si>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</si>
  <si>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</si>
  <si>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</si>
  <si>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</si>
  <si>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</si>
  <si>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</si>
  <si>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</si>
  <si>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</si>
  <si>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</si>
  <si>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</si>
  <si>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</si>
  <si>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</si>
  <si>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</si>
  <si>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</si>
  <si>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</si>
  <si>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</si>
  <si>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</si>
  <si>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</si>
  <si>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</si>
  <si>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</si>
  <si>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</si>
  <si>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</si>
  <si>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</si>
  <si>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</si>
  <si>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</si>
  <si>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</si>
  <si>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</si>
  <si>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</si>
  <si>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</si>
  <si>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</si>
  <si>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</si>
  <si>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</si>
  <si>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</si>
  <si>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</si>
  <si>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</si>
  <si>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</si>
  <si>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</si>
  <si>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</si>
  <si>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</si>
  <si>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</si>
  <si>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</si>
  <si>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</si>
  <si>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</si>
  <si>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</si>
  <si>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</si>
  <si>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</si>
  <si>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</si>
  <si>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</si>
  <si>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</si>
  <si>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</si>
  <si>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</si>
  <si>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</si>
  <si>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</si>
  <si>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</si>
  <si>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</si>
  <si>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</si>
  <si>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</si>
  <si>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</si>
  <si>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</si>
  <si>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</si>
  <si>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</si>
  <si>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</si>
  <si>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</si>
  <si>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</si>
  <si>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</si>
  <si>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</si>
  <si>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</si>
  <si>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</si>
  <si>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</si>
  <si>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</si>
  <si>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</si>
  <si>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</si>
  <si>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</si>
  <si>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</si>
  <si>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</si>
  <si>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</si>
  <si>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</si>
  <si>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</si>
  <si>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</si>
  <si>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</si>
  <si>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</si>
  <si>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</si>
  <si>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</si>
  <si>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</si>
  <si>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</si>
  <si>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</si>
  <si>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</si>
  <si>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</si>
  <si>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</si>
  <si>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</si>
  <si>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</si>
  <si>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</si>
  <si>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</si>
  <si>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</si>
  <si>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</si>
  <si>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</si>
  <si>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</si>
  <si>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</si>
  <si>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</si>
  <si>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</si>
  <si>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</si>
  <si>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</si>
  <si>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</si>
  <si>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</si>
  <si>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</si>
  <si>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</si>
  <si>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</si>
  <si>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</si>
  <si>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</si>
  <si>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</si>
  <si>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</si>
  <si>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</si>
  <si>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</si>
  <si>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</si>
  <si>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</si>
  <si>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</si>
  <si>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</si>
  <si>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</si>
  <si>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</si>
  <si>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</si>
  <si>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</si>
  <si>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</si>
  <si>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</si>
  <si>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</si>
  <si>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</si>
  <si>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</si>
  <si>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</si>
  <si>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</si>
  <si>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</si>
  <si>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</si>
  <si>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</si>
  <si>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</si>
  <si>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</si>
  <si>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</si>
  <si>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</si>
  <si>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</si>
  <si>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</si>
  <si>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</si>
  <si>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</si>
  <si>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</si>
  <si>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</si>
  <si>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</si>
  <si>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</si>
  <si>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</si>
  <si>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</si>
  <si>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</si>
  <si>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</si>
  <si>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</si>
  <si>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</si>
  <si>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</si>
  <si>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</si>
  <si>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</si>
  <si>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</si>
  <si>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</si>
  <si>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</si>
  <si>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</si>
  <si>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</si>
  <si>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</si>
  <si>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</si>
  <si>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</si>
  <si>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</si>
  <si>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</si>
  <si>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</si>
  <si>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</si>
  <si>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</si>
  <si>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</si>
  <si>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</si>
  <si>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</si>
  <si>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</si>
  <si>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</si>
  <si>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</si>
  <si>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</si>
  <si>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</si>
  <si>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</si>
  <si>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</si>
  <si>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</si>
  <si>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</si>
  <si>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</si>
  <si>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</si>
  <si>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</si>
  <si>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</si>
  <si>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</si>
  <si>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</si>
  <si>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</si>
  <si>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</si>
  <si>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</si>
  <si>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</si>
  <si>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</si>
  <si>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</si>
  <si>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</si>
  <si>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</si>
  <si>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</si>
  <si>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</si>
  <si>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</si>
  <si>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</si>
  <si>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</si>
  <si>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</si>
  <si>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</si>
  <si>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</si>
  <si>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</si>
  <si>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</si>
  <si>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</si>
  <si>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</si>
  <si>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</si>
  <si>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</si>
  <si>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</si>
  <si>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</si>
  <si>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</si>
  <si>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</si>
  <si>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</si>
  <si>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</si>
  <si>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</si>
  <si>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</si>
  <si>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</si>
  <si>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</si>
  <si>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</si>
  <si>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</si>
  <si>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</si>
  <si>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</si>
  <si>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</si>
  <si>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</si>
  <si>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</si>
  <si>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</si>
  <si>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</si>
  <si>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</si>
  <si>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</si>
  <si>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</si>
  <si>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</si>
  <si>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</si>
  <si>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</si>
  <si>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</si>
  <si>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</si>
  <si>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</si>
  <si>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</si>
  <si>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</si>
  <si>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</si>
  <si>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</si>
  <si>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</si>
  <si>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</si>
  <si>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</si>
  <si>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</si>
  <si>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</si>
  <si>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</si>
  <si>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</si>
  <si>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</si>
  <si>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</si>
  <si>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</si>
  <si>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</si>
  <si>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</si>
  <si>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</si>
  <si>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</si>
  <si>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</si>
  <si>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</si>
  <si>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</si>
  <si>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</si>
  <si>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</si>
  <si>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</si>
  <si>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</si>
  <si>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</si>
  <si>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</si>
  <si>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</si>
  <si>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</si>
  <si>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</si>
  <si>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</si>
  <si>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</si>
  <si>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</si>
  <si>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</si>
  <si>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</si>
  <si>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</si>
  <si>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</si>
  <si>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</si>
  <si>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</si>
  <si>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</si>
  <si>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</si>
  <si>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</si>
  <si>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</si>
  <si>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</si>
  <si>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</si>
  <si>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</si>
  <si>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</si>
  <si>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</si>
  <si>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</si>
  <si>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</si>
  <si>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</si>
  <si>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</si>
  <si>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</si>
  <si>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</si>
  <si>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</si>
  <si>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</si>
  <si>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</si>
  <si>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</si>
  <si>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</si>
  <si>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</si>
  <si>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</si>
  <si>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</si>
  <si>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</si>
  <si>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</si>
  <si>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</si>
  <si>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</si>
  <si>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</si>
  <si>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</si>
  <si>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</si>
  <si>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</si>
  <si>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</si>
  <si>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</si>
  <si>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</si>
  <si>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</si>
  <si>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</si>
  <si>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</si>
  <si>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</si>
  <si>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</si>
  <si>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</si>
  <si>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</si>
  <si>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</si>
  <si>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</si>
  <si>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</si>
  <si>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</si>
  <si>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</si>
  <si>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</si>
  <si>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</si>
  <si>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</si>
  <si>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</si>
  <si>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</si>
  <si>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</si>
  <si>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</si>
  <si>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</si>
  <si>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</si>
  <si>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</si>
  <si>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</si>
  <si>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</si>
  <si>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</si>
  <si>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</si>
  <si>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</si>
  <si>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</si>
  <si>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</si>
  <si>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</si>
  <si>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</si>
  <si>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</si>
  <si>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</si>
  <si>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</si>
  <si>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</si>
  <si>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</si>
  <si>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</si>
  <si>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</si>
  <si>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</si>
  <si>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</si>
  <si>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</si>
  <si>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</si>
  <si>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</si>
  <si>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</si>
  <si>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</si>
  <si>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</si>
  <si>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</si>
  <si>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</si>
  <si>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</si>
  <si>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</si>
  <si>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</si>
  <si>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</si>
  <si>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</si>
  <si>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</si>
  <si>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</si>
  <si>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</si>
  <si>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</si>
  <si>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</si>
  <si>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</si>
  <si>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</si>
  <si>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</si>
  <si>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</si>
  <si>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</si>
  <si>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</si>
  <si>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</si>
  <si>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</si>
  <si>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</si>
  <si>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</si>
  <si>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</si>
  <si>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</si>
  <si>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</si>
  <si>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</si>
  <si>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</si>
  <si>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</si>
  <si>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</si>
  <si>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</si>
  <si>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</si>
  <si>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</si>
  <si>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</si>
  <si>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</si>
  <si>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</si>
  <si>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</si>
  <si>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</si>
  <si>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</si>
  <si>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</si>
  <si>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</si>
  <si>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</si>
  <si>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</si>
  <si>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</si>
  <si>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</si>
  <si>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</si>
  <si>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</si>
  <si>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</si>
  <si>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</si>
  <si>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</si>
  <si>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</si>
  <si>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</si>
  <si>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</si>
  <si>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</si>
  <si>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</si>
  <si>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</si>
  <si>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</si>
  <si>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</si>
  <si>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</si>
  <si>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</si>
  <si>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</si>
  <si>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</si>
  <si>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</si>
  <si>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</si>
  <si>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</si>
  <si>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</si>
  <si>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</si>
  <si>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</si>
  <si>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</si>
  <si>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</si>
  <si>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</si>
  <si>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</si>
  <si>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</si>
  <si>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</si>
  <si>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</si>
  <si>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</si>
  <si>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</si>
  <si>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</si>
  <si>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</si>
  <si>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</si>
  <si>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</si>
  <si>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</si>
  <si>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</si>
  <si>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</si>
  <si>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</si>
  <si>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</si>
  <si>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</si>
  <si>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</si>
  <si>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</si>
  <si>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</si>
  <si>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</si>
  <si>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</si>
  <si>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</si>
  <si>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</si>
  <si>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</si>
  <si>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</si>
  <si>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</si>
  <si>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</si>
  <si>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</si>
  <si>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</si>
  <si>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</si>
  <si>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</si>
  <si>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</si>
  <si>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</si>
  <si>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</si>
  <si>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</si>
  <si>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</si>
  <si>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</si>
  <si>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</si>
  <si>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</si>
  <si>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</si>
  <si>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</si>
  <si>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</si>
  <si>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</si>
  <si>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</si>
  <si>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</si>
  <si>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</si>
  <si>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</si>
  <si>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</si>
  <si>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</si>
  <si>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</si>
  <si>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</si>
  <si>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</si>
  <si>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</si>
  <si>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</si>
  <si>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</si>
  <si>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</si>
  <si>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</si>
  <si>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</si>
  <si>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</si>
  <si>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</si>
  <si>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</si>
  <si>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</si>
  <si>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</si>
  <si>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</si>
  <si>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</si>
  <si>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</si>
  <si>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</si>
  <si>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</si>
  <si>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</si>
  <si>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</si>
  <si>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</si>
  <si>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</si>
  <si>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</si>
  <si>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</si>
  <si>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</si>
  <si>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</si>
  <si>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</si>
  <si>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</si>
  <si>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</si>
  <si>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</si>
  <si>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</si>
  <si>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</si>
  <si>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</si>
  <si>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</si>
  <si>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</si>
  <si>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</si>
  <si>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</si>
  <si>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</si>
  <si>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</si>
  <si>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</si>
  <si>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</si>
  <si>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</si>
  <si>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</si>
  <si>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</si>
  <si>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</si>
  <si>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</si>
  <si>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</si>
  <si>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</si>
  <si>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</si>
  <si>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</si>
  <si>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</si>
  <si>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</si>
  <si>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</si>
  <si>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</si>
  <si>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</si>
  <si>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</si>
  <si>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</si>
  <si>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</si>
  <si>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</si>
  <si>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</si>
  <si>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</si>
  <si>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</si>
  <si>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</si>
  <si>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</si>
  <si>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</si>
  <si>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</si>
  <si>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</si>
  <si>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</si>
  <si>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</si>
  <si>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</si>
  <si>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</si>
  <si>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</si>
  <si>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</si>
  <si>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</si>
  <si>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</si>
  <si>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</si>
  <si>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</si>
  <si>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</si>
  <si>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</si>
  <si>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</si>
  <si>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</si>
  <si>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</si>
  <si>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</si>
  <si>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</si>
  <si>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</si>
  <si>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</si>
  <si>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</si>
  <si>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</si>
  <si>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</si>
  <si>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</si>
  <si>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</si>
  <si>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</si>
  <si>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</si>
  <si>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</si>
  <si>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</si>
  <si>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</si>
  <si>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</si>
  <si>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</si>
  <si>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</si>
  <si>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</si>
  <si>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</si>
  <si>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</si>
  <si>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</si>
  <si>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</si>
  <si>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</si>
  <si>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</si>
  <si>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</si>
  <si>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</si>
  <si>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</si>
  <si>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</si>
  <si>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</si>
  <si>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</si>
  <si>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</si>
  <si>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</si>
  <si>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</si>
  <si>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</si>
  <si>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</si>
  <si>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</si>
  <si>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</si>
  <si>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</si>
  <si>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</si>
  <si>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</si>
  <si>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</si>
  <si>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</si>
  <si>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</si>
  <si>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</si>
  <si>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</si>
  <si>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</si>
  <si>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</si>
  <si>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</si>
  <si>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</si>
  <si>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</si>
  <si>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</si>
  <si>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</si>
  <si>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</si>
  <si>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</si>
  <si>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</si>
  <si>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</si>
  <si>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</si>
  <si>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</si>
  <si>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</si>
  <si>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</si>
  <si>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</si>
  <si>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</si>
  <si>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</si>
  <si>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</si>
  <si>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</si>
  <si>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</si>
  <si>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</si>
  <si>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</si>
  <si>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</si>
  <si>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</si>
  <si>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</si>
  <si>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</si>
  <si>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</si>
  <si>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</si>
  <si>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</si>
  <si>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</si>
  <si>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</si>
  <si>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</si>
  <si>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</si>
  <si>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</si>
  <si>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</si>
  <si>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</si>
  <si>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</si>
  <si>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</si>
  <si>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</si>
  <si>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</si>
  <si>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</si>
  <si>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</si>
  <si>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</si>
  <si>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</si>
  <si>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</si>
  <si>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</si>
  <si>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</si>
  <si>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</si>
  <si>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</si>
  <si>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</si>
  <si>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</si>
  <si>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</si>
  <si>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</si>
  <si>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</si>
  <si>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</si>
  <si>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</si>
  <si>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</si>
  <si>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</si>
  <si>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</si>
  <si>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</si>
  <si>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</si>
  <si>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</si>
  <si>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</si>
  <si>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</si>
  <si>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</si>
  <si>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</si>
  <si>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</si>
  <si>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</si>
  <si>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</si>
  <si>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</si>
  <si>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</si>
  <si>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</si>
  <si>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</si>
  <si>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</si>
  <si>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</si>
  <si>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</si>
  <si>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</si>
  <si>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</si>
  <si>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</si>
  <si>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</si>
  <si>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</si>
  <si>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</si>
  <si>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</si>
  <si>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</si>
  <si>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</si>
  <si>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</si>
  <si>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</si>
  <si>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</si>
  <si>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</si>
  <si>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</si>
  <si>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</si>
  <si>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</si>
  <si>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</si>
  <si>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</si>
  <si>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</si>
  <si>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</si>
  <si>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</si>
  <si>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</si>
  <si>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</si>
  <si>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</si>
  <si>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</si>
  <si>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</si>
  <si>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</si>
  <si>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</si>
  <si>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</si>
  <si>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</si>
  <si>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</si>
  <si>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</si>
  <si>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</si>
  <si>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</si>
  <si>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</si>
  <si>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</si>
  <si>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</si>
  <si>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</si>
  <si>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</si>
  <si>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</si>
  <si>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</si>
  <si>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</si>
  <si>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</si>
  <si>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</si>
  <si>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</si>
  <si>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</si>
  <si>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</si>
  <si>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</si>
  <si>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</si>
  <si>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</si>
  <si>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</si>
  <si>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</si>
  <si>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</si>
  <si>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</si>
  <si>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</si>
  <si>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</si>
  <si>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</si>
  <si>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</si>
  <si>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</si>
  <si>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</si>
  <si>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</si>
  <si>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</si>
  <si>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</si>
  <si>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</si>
  <si>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</si>
  <si>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</si>
  <si>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</si>
  <si>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</si>
  <si>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</si>
  <si>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</si>
  <si>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</si>
  <si>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</si>
  <si>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</si>
  <si>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</si>
  <si>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</si>
  <si>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</si>
  <si>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</si>
  <si>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</si>
  <si>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</si>
  <si>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</si>
  <si>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</si>
  <si>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</si>
  <si>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</si>
  <si>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</si>
  <si>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</si>
  <si>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</si>
  <si>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</si>
  <si>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</si>
  <si>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</si>
  <si>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</si>
  <si>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</si>
  <si>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</si>
  <si>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</si>
  <si>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</si>
  <si>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</si>
  <si>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</si>
  <si>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</si>
  <si>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</si>
  <si>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</si>
  <si>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</si>
  <si>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</si>
  <si>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</si>
  <si>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</si>
  <si>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</si>
  <si>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</si>
  <si>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</si>
  <si>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</si>
  <si>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</si>
  <si>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</si>
  <si>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</si>
  <si>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</si>
  <si>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</si>
  <si>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</si>
  <si>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</si>
  <si>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</si>
  <si>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</si>
  <si>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</si>
  <si>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</si>
  <si>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</si>
  <si>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</si>
  <si>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</si>
  <si>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</si>
  <si>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</si>
  <si>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</si>
  <si>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</si>
  <si>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</si>
  <si>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</si>
  <si>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</si>
  <si>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</si>
  <si>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</si>
  <si>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</si>
  <si>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</si>
  <si>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</si>
  <si>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</si>
  <si>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</si>
  <si>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</si>
  <si>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</si>
  <si>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</si>
  <si>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</si>
  <si>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</si>
  <si>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</si>
  <si>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</si>
  <si>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</si>
  <si>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</si>
  <si>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</si>
  <si>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</si>
  <si>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</si>
  <si>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</si>
  <si>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</si>
  <si>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</si>
  <si>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</si>
  <si>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</si>
  <si>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</si>
  <si>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</si>
  <si>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</si>
  <si>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</si>
  <si>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</si>
  <si>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</si>
  <si>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</si>
  <si>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</si>
  <si>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</si>
  <si>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</si>
  <si>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</si>
  <si>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</si>
  <si>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</si>
  <si>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</si>
  <si>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</si>
  <si>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</si>
  <si>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</si>
  <si>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</si>
  <si>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</si>
  <si>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</si>
  <si>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</si>
  <si>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</si>
  <si>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</si>
  <si>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</si>
  <si>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</si>
  <si>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</si>
  <si>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</si>
  <si>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</si>
  <si>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</si>
  <si>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</si>
  <si>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</si>
  <si>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</si>
  <si>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</si>
  <si>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</si>
  <si>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</si>
  <si>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</si>
  <si>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</si>
  <si>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</si>
  <si>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</si>
  <si>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</si>
  <si>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</si>
  <si>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</si>
  <si>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</si>
  <si>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</si>
  <si>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</si>
  <si>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</si>
  <si>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</si>
  <si>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</si>
  <si>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</si>
  <si>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</si>
  <si>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</si>
  <si>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</si>
  <si>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</si>
  <si>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</si>
  <si>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</si>
  <si>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</si>
  <si>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</si>
  <si>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</si>
  <si>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</si>
  <si>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</si>
  <si>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</si>
  <si>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</si>
  <si>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</si>
  <si>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</si>
  <si>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</si>
  <si>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</si>
  <si>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</si>
  <si>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</si>
  <si>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</si>
  <si>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</si>
  <si>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</si>
  <si>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</si>
  <si>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</si>
  <si>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</si>
  <si>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</si>
  <si>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</si>
  <si>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</si>
  <si>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</si>
  <si>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</si>
  <si>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</si>
  <si>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</si>
  <si>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</si>
  <si>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</si>
  <si>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</si>
  <si>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</si>
  <si>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</si>
  <si>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</si>
  <si>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</si>
  <si>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</si>
  <si>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</si>
  <si>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</si>
  <si>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</si>
  <si>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</si>
  <si>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</si>
  <si>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</si>
  <si>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</si>
  <si>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</si>
  <si>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</si>
  <si>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</si>
  <si>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</si>
  <si>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</si>
  <si>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</si>
  <si>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</si>
  <si>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</si>
  <si>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</si>
  <si>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</si>
  <si>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</si>
  <si>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</si>
  <si>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</si>
  <si>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</si>
  <si>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</si>
  <si>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</si>
  <si>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</si>
  <si>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</si>
  <si>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</si>
  <si>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</si>
  <si>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</si>
  <si>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</si>
  <si>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</si>
  <si>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</si>
  <si>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</si>
  <si>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</si>
  <si>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</si>
  <si>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</si>
  <si>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</si>
  <si>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</si>
  <si>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</si>
  <si>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</si>
  <si>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</si>
  <si>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</si>
  <si>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</si>
  <si>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</si>
  <si>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</si>
  <si>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</si>
  <si>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</si>
  <si>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</si>
  <si>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</si>
  <si>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</si>
  <si>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</si>
  <si>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</si>
  <si>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</si>
  <si>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</si>
  <si>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</si>
  <si>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</si>
  <si>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</si>
  <si>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</si>
  <si>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</si>
  <si>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</si>
  <si>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</si>
  <si>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</si>
  <si>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</si>
  <si>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</si>
  <si>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</si>
  <si>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</si>
  <si>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</si>
  <si>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</si>
  <si>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</si>
  <si>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</si>
  <si>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</si>
  <si>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</si>
  <si>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</si>
  <si>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</si>
  <si>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</si>
  <si>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</si>
  <si>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</si>
  <si>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</si>
  <si>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</si>
  <si>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</si>
  <si>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</si>
  <si>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</si>
  <si>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</si>
  <si>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</si>
  <si>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</si>
  <si>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</si>
  <si>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</si>
  <si>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</si>
  <si>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</si>
  <si>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</si>
  <si>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</si>
  <si>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</si>
  <si>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</si>
  <si>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</si>
  <si>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</si>
  <si>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</si>
  <si>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</si>
  <si>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</si>
  <si>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</si>
  <si>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</si>
  <si>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</si>
  <si>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</si>
  <si>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</si>
  <si>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</si>
  <si>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</si>
  <si>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</si>
  <si>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</si>
  <si>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</si>
  <si>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</si>
  <si>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</si>
  <si>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</si>
  <si>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</si>
  <si>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</si>
  <si>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</si>
  <si>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</si>
  <si>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</si>
  <si>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</si>
  <si>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</si>
  <si>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</si>
  <si>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</si>
  <si>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</si>
  <si>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</si>
  <si>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</si>
  <si>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</si>
  <si>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</si>
  <si>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</si>
  <si>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</si>
  <si>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</si>
  <si>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</si>
  <si>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</si>
  <si>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</si>
  <si>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</si>
  <si>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</si>
  <si>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</si>
  <si>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</si>
  <si>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</si>
  <si>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</si>
  <si>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</si>
  <si>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</si>
  <si>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</si>
  <si>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</si>
  <si>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</si>
  <si>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</si>
  <si>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</si>
  <si>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</si>
  <si>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</si>
  <si>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</si>
  <si>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</si>
  <si>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</si>
  <si>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</si>
  <si>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</si>
  <si>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</si>
  <si>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</si>
  <si>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</si>
  <si>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</si>
  <si>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</si>
  <si>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</si>
  <si>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</si>
  <si>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</si>
  <si>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</si>
  <si>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</si>
  <si>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</si>
  <si>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</si>
  <si>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</si>
  <si>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</si>
  <si>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</si>
  <si>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</si>
  <si>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</si>
  <si>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</si>
  <si>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</si>
  <si>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</si>
  <si>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</si>
  <si>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</si>
  <si>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</si>
  <si>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</si>
  <si>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</si>
  <si>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</si>
  <si>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</si>
  <si>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</si>
  <si>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</si>
  <si>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</si>
  <si>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</si>
  <si>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</si>
  <si>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</si>
  <si>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</si>
  <si>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</si>
  <si>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</si>
  <si>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</si>
  <si>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</si>
  <si>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</si>
  <si>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</si>
  <si>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</si>
  <si>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</si>
  <si>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</si>
  <si>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</si>
  <si>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</si>
  <si>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</si>
  <si>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</si>
  <si>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</si>
  <si>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</si>
  <si>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</si>
  <si>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</si>
  <si>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</si>
  <si>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</si>
  <si>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</si>
  <si>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</si>
  <si>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</si>
  <si>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</si>
  <si>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</si>
  <si>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</si>
  <si>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</si>
  <si>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</si>
  <si>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</si>
  <si>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</si>
  <si>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</si>
  <si>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</si>
  <si>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</si>
  <si>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</si>
  <si>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</si>
  <si>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</si>
  <si>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</si>
  <si>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</si>
  <si>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</si>
  <si>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</si>
  <si>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</si>
  <si>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</si>
  <si>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</si>
  <si>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</si>
  <si>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</si>
  <si>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</si>
  <si>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</si>
  <si>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</si>
  <si>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</si>
  <si>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</si>
  <si>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</si>
  <si>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</si>
  <si>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</si>
  <si>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</si>
  <si>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</si>
  <si>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</si>
  <si>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</si>
  <si>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</si>
  <si>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</si>
  <si>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</si>
  <si>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</si>
  <si>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</si>
  <si>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</si>
  <si>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</si>
  <si>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</si>
  <si>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</si>
  <si>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</si>
  <si>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</si>
  <si>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</si>
  <si>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</si>
  <si>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</si>
  <si>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</si>
  <si>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</si>
  <si>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</si>
  <si>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</si>
  <si>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</si>
  <si>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</si>
  <si>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</si>
  <si>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</si>
  <si>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</si>
  <si>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</si>
  <si>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</si>
  <si>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</si>
  <si>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</si>
  <si>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</si>
  <si>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</si>
  <si>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</si>
  <si>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</si>
  <si>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</si>
  <si>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</si>
  <si>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</si>
  <si>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</si>
  <si>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</si>
  <si>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</si>
  <si>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</si>
  <si>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</si>
  <si>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</si>
  <si>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</si>
  <si>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</si>
  <si>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</si>
  <si>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</si>
  <si>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</si>
  <si>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</si>
  <si>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</si>
  <si>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</si>
  <si>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</si>
  <si>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</si>
  <si>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</si>
  <si>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</si>
  <si>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</si>
  <si>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</si>
  <si>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</si>
  <si>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</si>
  <si>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</si>
  <si>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</si>
  <si>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</si>
  <si>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</si>
  <si>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</si>
  <si>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</si>
  <si>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</si>
  <si>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</si>
  <si>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</si>
  <si>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</si>
  <si>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</si>
  <si>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</si>
  <si>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</si>
  <si>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</si>
  <si>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</si>
  <si>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</si>
  <si>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</si>
  <si>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</si>
  <si>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</si>
  <si>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</si>
  <si>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</si>
  <si>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</si>
  <si>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</si>
  <si>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</si>
  <si>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</si>
  <si>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</si>
  <si>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</si>
  <si>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</si>
  <si>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</si>
  <si>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</si>
  <si>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</si>
  <si>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</si>
  <si>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</si>
  <si>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</si>
  <si>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</si>
  <si>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</si>
  <si>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</si>
  <si>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</si>
  <si>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</si>
  <si>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</si>
  <si>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</si>
  <si>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</si>
  <si>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</si>
  <si>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</si>
  <si>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</si>
  <si>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</si>
  <si>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</si>
  <si>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</si>
  <si>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</si>
  <si>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</si>
  <si>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</si>
  <si>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</si>
  <si>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</si>
  <si>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</si>
  <si>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</si>
  <si>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</si>
  <si>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</si>
  <si>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</si>
  <si>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</si>
  <si>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</si>
  <si>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</si>
  <si>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</si>
  <si>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</si>
  <si>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</si>
  <si>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</si>
  <si>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</si>
  <si>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</si>
  <si>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</si>
  <si>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</si>
  <si>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</si>
  <si>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</si>
  <si>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</si>
  <si>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</si>
  <si>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</si>
  <si>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</si>
  <si>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</si>
  <si>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</si>
  <si>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</si>
  <si>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</si>
  <si>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</si>
  <si>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</si>
  <si>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</si>
  <si>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</si>
  <si>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</si>
  <si>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</si>
  <si>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</si>
  <si>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</si>
  <si>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</si>
  <si>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</si>
  <si>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</si>
  <si>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</si>
  <si>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</si>
  <si>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</si>
  <si>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</si>
  <si>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</si>
  <si>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</si>
  <si>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</si>
  <si>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</si>
  <si>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</si>
  <si>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</si>
  <si>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</si>
  <si>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</si>
  <si>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</si>
  <si>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</si>
  <si>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</si>
  <si>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</si>
  <si>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</si>
  <si>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</si>
  <si>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</si>
  <si>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</si>
  <si>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</si>
  <si>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</si>
  <si>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</si>
  <si>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</si>
  <si>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</si>
  <si>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</si>
  <si>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</si>
  <si>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</si>
  <si>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</si>
  <si>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</si>
  <si>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</si>
  <si>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</si>
  <si>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</si>
  <si>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</si>
  <si>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</si>
  <si>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</si>
  <si>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</si>
  <si>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</si>
  <si>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</si>
  <si>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</si>
  <si>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</si>
  <si>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</si>
  <si>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</si>
  <si>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</si>
  <si>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</si>
  <si>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</si>
  <si>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</si>
  <si>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</si>
  <si>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</si>
  <si>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</si>
  <si>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</si>
  <si>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</si>
  <si>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</si>
  <si>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</si>
  <si>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</si>
  <si>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</si>
  <si>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</si>
  <si>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</si>
  <si>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</si>
  <si>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</si>
  <si>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</si>
  <si>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</si>
  <si>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</si>
  <si>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</si>
  <si>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</si>
  <si>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</si>
  <si>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</si>
  <si>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</si>
  <si>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</si>
  <si>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</si>
  <si>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</si>
  <si>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</si>
  <si>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</si>
  <si>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</si>
  <si>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</si>
  <si>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</si>
  <si>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</si>
  <si>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</si>
  <si>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</si>
  <si>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</si>
  <si>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</si>
  <si>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</si>
  <si>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</si>
  <si>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</si>
  <si>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</si>
  <si>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</si>
  <si>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</si>
  <si>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</si>
  <si>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</si>
  <si>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</si>
  <si>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</si>
  <si>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</si>
  <si>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</si>
  <si>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</si>
  <si>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</si>
  <si>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</si>
  <si>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</si>
  <si>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</si>
  <si>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</si>
  <si>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</si>
  <si>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</si>
  <si>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</si>
  <si>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</si>
  <si>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</si>
  <si>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</si>
  <si>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</si>
  <si>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</si>
  <si>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</si>
  <si>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</si>
  <si>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</si>
  <si>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</si>
  <si>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</si>
  <si>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</si>
  <si>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</si>
  <si>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</si>
  <si>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</si>
  <si>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</si>
  <si>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</si>
  <si>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</si>
  <si>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</si>
  <si>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</si>
  <si>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</si>
  <si>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</si>
  <si>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</si>
  <si>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</si>
  <si>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</si>
  <si>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</si>
  <si>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</si>
  <si>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</si>
  <si>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</si>
  <si>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</si>
  <si>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</si>
  <si>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</si>
  <si>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</si>
  <si>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</si>
  <si>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</si>
  <si>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</si>
  <si>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</si>
  <si>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</si>
  <si>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</si>
  <si>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</si>
  <si>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</si>
  <si>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</si>
  <si>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</si>
  <si>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</si>
  <si>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</si>
  <si>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</si>
  <si>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</si>
  <si>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</si>
  <si>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</si>
  <si>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</si>
  <si>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</si>
  <si>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</si>
  <si>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</si>
  <si>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</si>
  <si>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</si>
  <si>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</si>
  <si>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</si>
  <si>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</si>
  <si>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</si>
  <si>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</si>
  <si>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</si>
  <si>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</si>
  <si>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</si>
  <si>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</si>
  <si>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</si>
  <si>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</si>
  <si>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</si>
  <si>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</si>
  <si>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</si>
  <si>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</si>
  <si>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</si>
  <si>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</si>
  <si>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</si>
  <si>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</si>
  <si>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</si>
  <si>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</si>
  <si>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</si>
  <si>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</si>
  <si>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</si>
  <si>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</si>
  <si>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</si>
  <si>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</si>
  <si>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</si>
  <si>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</si>
  <si>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</si>
  <si>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</si>
  <si>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</si>
  <si>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</si>
  <si>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</si>
  <si>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</si>
  <si>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</si>
  <si>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</si>
  <si>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</si>
  <si>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</si>
  <si>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</si>
  <si>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</si>
  <si>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</si>
  <si>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</si>
  <si>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</si>
  <si>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</si>
  <si>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</si>
  <si>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</si>
  <si>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</si>
  <si>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</si>
  <si>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</si>
  <si>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</si>
  <si>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</si>
  <si>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</si>
  <si>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</si>
  <si>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</si>
  <si>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</si>
  <si>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</si>
  <si>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</si>
  <si>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</si>
  <si>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</si>
  <si>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</si>
  <si>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</si>
  <si>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</si>
  <si>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</si>
  <si>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</si>
  <si>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</si>
  <si>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</si>
  <si>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</si>
  <si>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</si>
  <si>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</si>
  <si>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</si>
  <si>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</si>
  <si>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</si>
  <si>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</si>
  <si>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</si>
  <si>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</si>
  <si>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</si>
  <si>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</si>
  <si>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</si>
  <si>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</si>
  <si>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</si>
  <si>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</si>
  <si>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</si>
  <si>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</si>
  <si>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</si>
  <si>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</si>
  <si>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</si>
  <si>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</si>
  <si>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</si>
  <si>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</si>
  <si>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</si>
  <si>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</si>
  <si>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</si>
  <si>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</si>
  <si>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</si>
  <si>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</si>
  <si>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</si>
  <si>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</si>
  <si>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</si>
  <si>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</si>
  <si>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</si>
  <si>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</si>
  <si>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</si>
  <si>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</si>
  <si>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</si>
  <si>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</si>
  <si>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</si>
  <si>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</si>
  <si>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</si>
  <si>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</si>
  <si>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</si>
  <si>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</si>
  <si>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</si>
  <si>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</si>
  <si>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</si>
  <si>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</si>
  <si>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</si>
  <si>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</si>
  <si>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</si>
  <si>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</si>
  <si>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</si>
  <si>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</si>
  <si>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</si>
  <si>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</si>
  <si>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</si>
  <si>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</si>
  <si>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</si>
  <si>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</si>
  <si>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</si>
  <si>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</si>
  <si>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</si>
  <si>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</si>
  <si>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</si>
  <si>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</si>
  <si>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</si>
  <si>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</si>
  <si>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</si>
  <si>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</si>
  <si>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</si>
  <si>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</si>
  <si>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</si>
  <si>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</si>
  <si>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</si>
  <si>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</si>
  <si>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</si>
  <si>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</si>
  <si>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</si>
  <si>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</si>
  <si>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</si>
  <si>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</si>
  <si>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</si>
  <si>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</si>
  <si>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</si>
  <si>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</si>
  <si>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</si>
  <si>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</si>
  <si>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</si>
  <si>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</si>
  <si>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</si>
  <si>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</si>
  <si>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</si>
  <si>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</si>
  <si>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</si>
  <si>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</si>
  <si>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</si>
  <si>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</si>
  <si>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</si>
  <si>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</si>
  <si>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</si>
  <si>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</si>
  <si>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</si>
  <si>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</si>
  <si>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</si>
  <si>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</si>
  <si>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</si>
  <si>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</si>
  <si>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</si>
  <si>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</si>
  <si>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</si>
  <si>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</si>
  <si>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</si>
  <si>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</si>
  <si>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</si>
  <si>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</si>
  <si>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</si>
  <si>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</si>
  <si>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</si>
  <si>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</si>
  <si>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</si>
  <si>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</si>
  <si>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</si>
  <si>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</si>
  <si>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</si>
  <si>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</si>
  <si>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</si>
  <si>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</si>
  <si>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</si>
  <si>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</si>
  <si>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</si>
  <si>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</si>
  <si>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</si>
  <si>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</si>
  <si>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</si>
  <si>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</si>
  <si>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</si>
  <si>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</si>
  <si>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</si>
  <si>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</si>
  <si>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</si>
  <si>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</si>
  <si>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</si>
  <si>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</si>
  <si>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</si>
  <si>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</si>
  <si>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</si>
  <si>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</si>
  <si>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</si>
  <si>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</si>
  <si>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</si>
  <si>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</si>
  <si>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</si>
  <si>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</si>
  <si>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</si>
  <si>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</si>
  <si>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</si>
  <si>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</si>
  <si>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</si>
  <si>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</si>
  <si>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</si>
  <si>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</si>
  <si>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</si>
  <si>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</si>
  <si>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</si>
  <si>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</si>
  <si>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</si>
  <si>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</si>
  <si>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</si>
  <si>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</si>
  <si>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</si>
  <si>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</si>
  <si>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</si>
  <si>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</si>
  <si>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</si>
  <si>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</si>
  <si>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</si>
  <si>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</si>
  <si>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</si>
  <si>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</si>
  <si>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</si>
  <si>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</si>
  <si>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</si>
  <si>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</si>
  <si>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</si>
  <si>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</si>
  <si>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</si>
  <si>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</si>
  <si>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</si>
  <si>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</si>
  <si>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</si>
  <si>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</si>
  <si>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</si>
  <si>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</si>
  <si>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</si>
  <si>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</si>
  <si>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</si>
  <si>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</si>
  <si>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</si>
  <si>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</si>
  <si>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</si>
  <si>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</si>
  <si>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</si>
  <si>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</si>
  <si>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</si>
  <si>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</si>
  <si>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</si>
  <si>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</si>
  <si>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</si>
  <si>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</si>
  <si>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</si>
  <si>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</si>
  <si>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</si>
  <si>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</si>
  <si>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</si>
  <si>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</si>
  <si>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</si>
  <si>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</si>
  <si>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</si>
  <si>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</si>
  <si>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</si>
  <si>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</si>
  <si>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</si>
  <si>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</si>
  <si>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</si>
  <si>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</si>
  <si>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</si>
  <si>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</si>
  <si>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</si>
  <si>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</si>
  <si>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</si>
  <si>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</si>
  <si>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</si>
  <si>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</si>
  <si>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</si>
  <si>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</si>
  <si>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</si>
  <si>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</si>
  <si>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</si>
  <si>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</si>
  <si>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</si>
  <si>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</si>
  <si>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</si>
  <si>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</si>
  <si>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</si>
  <si>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</si>
  <si>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</si>
  <si>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</si>
  <si>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</si>
  <si>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</si>
  <si>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</si>
  <si>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</si>
  <si>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</si>
  <si>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</si>
  <si>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</si>
  <si>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</si>
  <si>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</si>
  <si>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</si>
  <si>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</si>
  <si>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</si>
  <si>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</si>
  <si>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</si>
  <si>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</si>
  <si>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</si>
  <si>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</si>
  <si>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</si>
  <si>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</si>
  <si>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</si>
  <si>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</si>
  <si>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</si>
  <si>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</si>
  <si>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</si>
  <si>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</si>
  <si>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</si>
  <si>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</si>
  <si>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</si>
  <si>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</si>
  <si>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</si>
  <si>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</si>
  <si>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</si>
  <si>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</si>
  <si>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</si>
  <si>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</si>
  <si>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</si>
  <si>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</si>
  <si>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</si>
  <si>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</si>
  <si>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</si>
  <si>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</si>
  <si>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</si>
  <si>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</si>
  <si>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</si>
  <si>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</si>
  <si>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</si>
  <si>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</si>
  <si>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</si>
  <si>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</si>
  <si>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</si>
  <si>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</si>
  <si>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</si>
  <si>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</si>
  <si>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</si>
  <si>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</si>
  <si>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</si>
  <si>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</si>
  <si>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</si>
  <si>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</si>
  <si>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</si>
  <si>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</si>
  <si>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</si>
  <si>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</si>
  <si>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</si>
  <si>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</si>
  <si>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</si>
  <si>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</si>
  <si>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</si>
  <si>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</si>
  <si>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</si>
  <si>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</si>
  <si>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</si>
  <si>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</si>
  <si>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</si>
  <si>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</si>
  <si>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</si>
  <si>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</si>
  <si>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</si>
  <si>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</si>
  <si>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</si>
  <si>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</si>
  <si>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</si>
  <si>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</si>
  <si>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</si>
  <si>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</si>
  <si>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</si>
  <si>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</si>
  <si>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</si>
  <si>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</si>
  <si>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</si>
  <si>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</si>
  <si>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</si>
  <si>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</si>
  <si>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</si>
  <si>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</si>
  <si>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</si>
  <si>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</si>
  <si>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</si>
  <si>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</si>
  <si>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</si>
  <si>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</si>
  <si>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</si>
  <si>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</si>
  <si>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</si>
  <si>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</si>
  <si>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</si>
  <si>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</si>
  <si>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</si>
  <si>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</si>
  <si>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</si>
  <si>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</si>
  <si>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</si>
  <si>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</si>
  <si>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</si>
  <si>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</si>
  <si>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</si>
  <si>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</si>
  <si>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</si>
  <si>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</si>
  <si>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</si>
  <si>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</si>
  <si>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</si>
  <si>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</si>
  <si>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</si>
  <si>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</si>
  <si>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</si>
  <si>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</si>
  <si>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</si>
  <si>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</si>
  <si>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</si>
  <si>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</si>
  <si>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</si>
  <si>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</si>
  <si>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</si>
  <si>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</si>
  <si>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</si>
  <si>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</si>
  <si>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</si>
  <si>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</si>
  <si>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</si>
  <si>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</si>
  <si>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</si>
  <si>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</si>
  <si>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</si>
  <si>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</si>
  <si>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</si>
  <si>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</si>
  <si>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</si>
  <si>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</si>
  <si>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</si>
  <si>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</si>
  <si>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</si>
  <si>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</si>
  <si>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</si>
  <si>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</si>
  <si>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</si>
  <si>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</si>
  <si>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</si>
  <si>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</si>
  <si>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</si>
  <si>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</si>
  <si>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</si>
  <si>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</si>
  <si>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</si>
  <si>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</si>
  <si>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</si>
  <si>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</si>
  <si>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</si>
  <si>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</si>
  <si>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</si>
  <si>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</si>
  <si>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</si>
  <si>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</si>
  <si>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</si>
  <si>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</si>
  <si>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</si>
  <si>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</si>
  <si>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</si>
  <si>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</si>
  <si>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</si>
  <si>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</si>
  <si>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</si>
  <si>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</si>
  <si>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</si>
  <si>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</si>
  <si>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</si>
  <si>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</si>
  <si>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</si>
  <si>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</si>
  <si>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</si>
  <si>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</si>
  <si>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</si>
  <si>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</si>
  <si>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</si>
  <si>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</si>
  <si>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</si>
  <si>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</si>
  <si>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</si>
  <si>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</si>
  <si>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</si>
  <si>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</si>
  <si>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</si>
  <si>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</si>
  <si>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</si>
  <si>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</si>
  <si>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</si>
  <si>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</si>
  <si>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</si>
  <si>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</si>
  <si>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</si>
  <si>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</si>
  <si>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</si>
  <si>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</si>
  <si>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</si>
  <si>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</si>
  <si>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</si>
  <si>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</si>
  <si>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</si>
  <si>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</si>
  <si>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</si>
  <si>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</si>
  <si>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</si>
  <si>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</si>
  <si>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</si>
  <si>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</si>
  <si>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</si>
  <si>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</si>
  <si>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</si>
  <si>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</si>
  <si>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</si>
  <si>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</si>
  <si>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</si>
  <si>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</si>
  <si>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</si>
  <si>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</si>
  <si>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</si>
  <si>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</si>
  <si>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</si>
  <si>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</si>
  <si>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</si>
  <si>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</si>
  <si>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</si>
  <si>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</si>
  <si>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</si>
  <si>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</si>
  <si>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</si>
  <si>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</si>
  <si>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</si>
  <si>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</si>
  <si>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</si>
  <si>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</si>
  <si>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</si>
  <si>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</si>
  <si>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</si>
  <si>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</si>
  <si>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</si>
  <si>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</si>
  <si>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</si>
  <si>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</si>
  <si>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</si>
  <si>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</si>
  <si>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</si>
  <si>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</si>
  <si>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</si>
  <si>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</si>
  <si>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</si>
  <si>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</si>
  <si>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</si>
  <si>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</si>
  <si>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</si>
  <si>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</si>
  <si>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</si>
  <si>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</si>
  <si>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</si>
  <si>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</si>
  <si>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</si>
  <si>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</si>
  <si>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</si>
  <si>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</si>
  <si>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</si>
  <si>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</si>
  <si>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</si>
  <si>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</si>
  <si>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</si>
  <si>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</si>
  <si>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</si>
  <si>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</si>
  <si>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</si>
  <si>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</si>
  <si>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</si>
  <si>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</si>
  <si>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</si>
  <si>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</si>
  <si>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</si>
  <si>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</si>
  <si>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</si>
  <si>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</si>
  <si>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</si>
  <si>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</si>
  <si>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</si>
  <si>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</si>
  <si>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</si>
  <si>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</si>
  <si>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</si>
  <si>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</si>
  <si>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</si>
  <si>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</si>
  <si>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</si>
  <si>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</si>
  <si>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</si>
  <si>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</si>
  <si>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</si>
  <si>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</si>
  <si>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</si>
  <si>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</si>
  <si>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</si>
  <si>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</si>
  <si>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</si>
  <si>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</si>
  <si>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</si>
  <si>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</si>
  <si>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</si>
  <si>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</si>
  <si>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</si>
  <si>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</si>
  <si>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</si>
  <si>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</si>
  <si>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</si>
  <si>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</si>
  <si>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</si>
  <si>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</si>
  <si>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</si>
  <si>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</si>
  <si>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</si>
  <si>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</si>
  <si>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</si>
  <si>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</si>
  <si>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</si>
  <si>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</si>
  <si>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</si>
  <si>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</si>
  <si>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</si>
  <si>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</si>
  <si>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</si>
  <si>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</si>
  <si>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</si>
  <si>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</si>
  <si>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</si>
  <si>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</si>
  <si>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</si>
  <si>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</si>
  <si>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</si>
  <si>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</si>
  <si>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</si>
  <si>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</si>
  <si>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</si>
  <si>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</si>
  <si>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</si>
  <si>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</si>
  <si>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</si>
  <si>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</si>
  <si>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</si>
  <si>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</si>
  <si>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</si>
  <si>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</si>
  <si>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</si>
  <si>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</si>
  <si>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</si>
  <si>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</si>
  <si>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</si>
  <si>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</si>
  <si>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</si>
  <si>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</si>
  <si>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</si>
  <si>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</si>
  <si>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</si>
  <si>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</si>
  <si>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</si>
  <si>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</si>
  <si>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</si>
  <si>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</si>
  <si>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</si>
  <si>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</si>
  <si>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</si>
  <si>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</si>
  <si>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</si>
  <si>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</si>
  <si>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</si>
  <si>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</si>
  <si>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</si>
  <si>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</si>
  <si>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</si>
  <si>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</si>
  <si>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</si>
  <si>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</si>
  <si>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</si>
  <si>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</si>
  <si>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</si>
  <si>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</si>
  <si>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</si>
  <si>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</si>
  <si>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</si>
  <si>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</si>
  <si>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</si>
  <si>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</si>
  <si>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</si>
  <si>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</si>
  <si>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</si>
  <si>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</si>
  <si>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</si>
  <si>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</si>
  <si>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</si>
  <si>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</si>
  <si>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</si>
  <si>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</si>
  <si>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</si>
  <si>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</si>
  <si>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</si>
  <si>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</si>
  <si>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</si>
  <si>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</si>
  <si>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</si>
  <si>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</si>
  <si>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</si>
  <si>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</si>
  <si>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</si>
  <si>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</si>
  <si>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</si>
  <si>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</si>
  <si>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</si>
  <si>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</si>
  <si>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</si>
  <si>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</si>
  <si>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</si>
  <si>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</si>
  <si>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</si>
  <si>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</si>
  <si>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</si>
  <si>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</si>
  <si>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</si>
  <si>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</si>
  <si>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</si>
  <si>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</si>
  <si>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</si>
  <si>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</si>
  <si>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</si>
  <si>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</si>
  <si>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</si>
  <si>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</si>
  <si>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</si>
  <si>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</si>
  <si>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</si>
  <si>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</si>
  <si>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</si>
  <si>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</si>
  <si>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</si>
  <si>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</si>
  <si>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</si>
  <si>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</si>
  <si>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</si>
  <si>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</si>
  <si>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</si>
  <si>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</si>
  <si>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</si>
  <si>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</si>
  <si>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</si>
  <si>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</si>
  <si>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</si>
  <si>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</si>
  <si>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</si>
  <si>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</si>
  <si>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</si>
  <si>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</si>
  <si>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</si>
  <si>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</si>
  <si>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</si>
  <si>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</si>
  <si>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</si>
  <si>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</si>
  <si>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</si>
  <si>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</si>
  <si>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</si>
  <si>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</si>
  <si>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</si>
  <si>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</si>
  <si>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</si>
  <si>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</si>
  <si>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</si>
  <si>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</si>
  <si>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</si>
  <si>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</si>
  <si>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</si>
  <si>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</si>
  <si>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</si>
  <si>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</si>
  <si>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</si>
  <si>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</si>
  <si>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</si>
  <si>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</si>
  <si>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</si>
  <si>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</si>
  <si>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</si>
  <si>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</si>
  <si>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</si>
  <si>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</si>
  <si>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</si>
  <si>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</si>
  <si>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</si>
  <si>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</si>
  <si>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</si>
  <si>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</si>
  <si>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</si>
  <si>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</si>
  <si>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</si>
  <si>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</si>
  <si>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</si>
  <si>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</si>
  <si>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</si>
  <si>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</si>
  <si>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</si>
  <si>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</si>
  <si>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</si>
  <si>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</si>
  <si>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</si>
  <si>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</si>
  <si>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</si>
  <si>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</si>
  <si>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</si>
  <si>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</si>
  <si>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</si>
  <si>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</si>
  <si>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</si>
  <si>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</si>
  <si>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</si>
  <si>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</si>
  <si>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</si>
  <si>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</si>
  <si>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</si>
  <si>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</si>
  <si>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</si>
  <si>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</si>
  <si>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</si>
  <si>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</si>
  <si>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</si>
  <si>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</si>
  <si>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</si>
  <si>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</si>
  <si>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</si>
  <si>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</si>
  <si>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</si>
  <si>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</si>
  <si>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</si>
  <si>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</si>
  <si>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</si>
  <si>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</si>
  <si>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</si>
  <si>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</si>
  <si>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</si>
  <si>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</si>
  <si>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</si>
  <si>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</si>
  <si>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</si>
  <si>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</si>
  <si>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</si>
  <si>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</si>
  <si>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</si>
  <si>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</si>
  <si>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</si>
  <si>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</si>
  <si>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</si>
  <si>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</si>
  <si>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</si>
  <si>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</si>
  <si>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</si>
  <si>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</si>
  <si>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</si>
  <si>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</si>
  <si>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</si>
  <si>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</si>
  <si>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</si>
  <si>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</si>
  <si>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</si>
  <si>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</si>
  <si>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</si>
  <si>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</si>
  <si>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</si>
  <si>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</si>
  <si>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</si>
  <si>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</si>
  <si>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</si>
  <si>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</si>
  <si>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</si>
  <si>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</si>
  <si>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</si>
  <si>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</si>
  <si>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</si>
  <si>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</si>
  <si>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</si>
  <si>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</si>
  <si>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</si>
  <si>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</si>
  <si>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</si>
  <si>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</si>
  <si>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</si>
  <si>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</si>
  <si>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</si>
  <si>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</si>
  <si>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</si>
  <si>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</si>
  <si>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</si>
  <si>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</si>
  <si>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</si>
  <si>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</si>
  <si>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</si>
  <si>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</si>
  <si>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</si>
  <si>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</si>
  <si>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</si>
  <si>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</si>
  <si>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</si>
  <si>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</si>
  <si>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</si>
  <si>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</si>
  <si>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</si>
  <si>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</si>
  <si>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</si>
  <si>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</si>
  <si>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</si>
  <si>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</si>
  <si>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</si>
  <si>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</si>
  <si>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</si>
  <si>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</si>
  <si>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</si>
  <si>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</si>
  <si>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</si>
  <si>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</si>
  <si>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</si>
  <si>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</si>
  <si>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</si>
  <si>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</si>
  <si>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</si>
  <si>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</si>
  <si>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</si>
  <si>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</si>
  <si>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</si>
  <si>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</si>
  <si>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</si>
  <si>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</si>
  <si>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</si>
  <si>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</si>
  <si>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</si>
  <si>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</si>
  <si>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</si>
  <si>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</si>
  <si>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</si>
  <si>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</si>
  <si>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</si>
  <si>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</si>
  <si>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</si>
  <si>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</si>
  <si>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</si>
  <si>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</si>
  <si>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</si>
  <si>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</si>
  <si>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</si>
  <si>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</si>
  <si>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</si>
  <si>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</si>
  <si>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</si>
  <si>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</si>
  <si>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</si>
  <si>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</si>
  <si>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</si>
  <si>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</si>
  <si>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</si>
  <si>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</si>
  <si>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</si>
  <si>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</si>
  <si>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</si>
  <si>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</si>
  <si>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</si>
  <si>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</si>
  <si>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</si>
  <si>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</si>
  <si>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</si>
  <si>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</si>
  <si>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</si>
  <si>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</si>
  <si>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</si>
  <si>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</si>
  <si>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</si>
  <si>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</si>
  <si>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</si>
  <si>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</si>
  <si>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</si>
  <si>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</si>
  <si>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</si>
  <si>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</si>
  <si>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</si>
  <si>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</si>
  <si>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</si>
  <si>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</si>
  <si>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</si>
  <si>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</si>
  <si>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</si>
  <si>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</si>
  <si>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</si>
  <si>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</si>
  <si>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</si>
  <si>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</si>
  <si>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</si>
  <si>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</si>
  <si>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</si>
  <si>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</si>
  <si>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</si>
  <si>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</si>
  <si>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</si>
  <si>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</si>
  <si>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</si>
  <si>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</si>
  <si>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</si>
  <si>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</si>
  <si>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</si>
  <si>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</si>
  <si>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</si>
  <si>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</si>
  <si>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</si>
  <si>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</si>
  <si>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</si>
  <si>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</si>
  <si>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</si>
  <si>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</si>
  <si>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</si>
  <si>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</si>
  <si>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</si>
  <si>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</si>
  <si>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</si>
  <si>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</si>
  <si>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</si>
  <si>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</si>
  <si>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</si>
  <si>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</si>
  <si>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</si>
  <si>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</si>
  <si>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</si>
  <si>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</si>
  <si>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</si>
  <si>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</si>
  <si>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</si>
  <si>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</si>
  <si>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</si>
  <si>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</si>
  <si>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</si>
  <si>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</si>
  <si>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</si>
  <si>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</si>
  <si>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</si>
  <si>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</si>
  <si>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</si>
  <si>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</si>
  <si>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</si>
  <si>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</si>
  <si>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</si>
  <si>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</si>
  <si>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</si>
  <si>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</si>
  <si>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</si>
  <si>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</si>
  <si>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</si>
  <si>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</si>
  <si>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</si>
  <si>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</si>
  <si>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</si>
  <si>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</si>
  <si>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</si>
  <si>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</si>
  <si>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</si>
  <si>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</si>
  <si>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</si>
  <si>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</si>
  <si>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</si>
  <si>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</si>
  <si>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</si>
  <si>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</si>
  <si>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</si>
  <si>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</si>
  <si>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</si>
  <si>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</si>
  <si>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</si>
  <si>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</si>
  <si>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</si>
  <si>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</si>
  <si>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</si>
  <si>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</si>
  <si>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</si>
  <si>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</si>
  <si>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</si>
  <si>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</si>
  <si>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</si>
  <si>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</si>
  <si>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</si>
  <si>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</si>
  <si>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</si>
  <si>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</si>
  <si>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</si>
  <si>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</si>
  <si>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</si>
  <si>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</si>
  <si>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</si>
  <si>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</si>
  <si>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</si>
  <si>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</si>
  <si>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</si>
  <si>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</si>
  <si>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</si>
  <si>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</si>
  <si>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</si>
  <si>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</si>
  <si>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</si>
  <si>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</si>
  <si>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</si>
  <si>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</si>
  <si>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</si>
  <si>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</si>
  <si>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</si>
  <si>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</si>
  <si>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</si>
  <si>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</si>
  <si>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</si>
  <si>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</si>
  <si>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</si>
  <si>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</si>
  <si>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</si>
  <si>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</si>
  <si>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</si>
  <si>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</si>
  <si>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</si>
  <si>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</si>
  <si>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</si>
  <si>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</si>
  <si>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</si>
  <si>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</si>
  <si>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</si>
  <si>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</si>
  <si>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</si>
  <si>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</si>
  <si>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</si>
  <si>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</si>
  <si>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</si>
  <si>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</si>
  <si>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</si>
  <si>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</si>
  <si>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</si>
  <si>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</si>
  <si>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</si>
  <si>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</si>
  <si>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</si>
  <si>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</si>
  <si>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</si>
  <si>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</si>
  <si>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</si>
  <si>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</si>
  <si>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</si>
  <si>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</si>
  <si>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</si>
  <si>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</si>
  <si>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</si>
  <si>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</si>
  <si>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</si>
  <si>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</si>
  <si>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</si>
  <si>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</si>
  <si>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</si>
  <si>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</si>
  <si>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</si>
  <si>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</si>
  <si>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</si>
  <si>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</si>
  <si>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</si>
  <si>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</si>
  <si>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</si>
  <si>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</si>
  <si>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</si>
  <si>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</si>
  <si>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</si>
  <si>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</si>
  <si>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</si>
  <si>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</si>
  <si>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</si>
  <si>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</si>
  <si>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</si>
  <si>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</si>
  <si>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</si>
  <si>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</si>
  <si>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</si>
  <si>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</si>
  <si>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</si>
  <si>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</si>
  <si>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</si>
  <si>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</si>
  <si>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</si>
  <si>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</si>
  <si>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</si>
  <si>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</si>
  <si>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</si>
  <si>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</si>
  <si>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</si>
  <si>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</si>
  <si>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</si>
  <si>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</si>
  <si>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</si>
  <si>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</si>
  <si>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</si>
  <si>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</si>
  <si>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</si>
  <si>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</si>
  <si>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</si>
  <si>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</si>
  <si>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</si>
  <si>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</si>
  <si>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</si>
  <si>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</si>
  <si>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</si>
  <si>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</si>
  <si>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</si>
  <si>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</si>
  <si>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</si>
  <si>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</si>
  <si>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</si>
  <si>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</si>
  <si>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</si>
  <si>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</si>
  <si>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</si>
  <si>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</si>
  <si>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</si>
  <si>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</si>
  <si>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</si>
  <si>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</si>
  <si>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</si>
  <si>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</si>
  <si>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</si>
  <si>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</si>
  <si>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</si>
  <si>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</si>
  <si>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</si>
  <si>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</si>
  <si>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</si>
  <si>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</si>
  <si>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</si>
  <si>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</si>
  <si>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</si>
  <si>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</si>
  <si>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</si>
  <si>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</si>
  <si>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</si>
  <si>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</si>
  <si>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</si>
  <si>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</si>
  <si>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</si>
  <si>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</si>
  <si>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</si>
  <si>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</si>
  <si>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</si>
  <si>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</si>
  <si>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</si>
  <si>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</si>
  <si>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</si>
  <si>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</si>
  <si>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</si>
  <si>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</si>
  <si>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</si>
  <si>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</si>
  <si>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</si>
  <si>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</si>
  <si>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</si>
  <si>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</si>
  <si>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</si>
  <si>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</si>
  <si>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</si>
  <si>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</si>
  <si>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</si>
  <si>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</si>
  <si>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</si>
  <si>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</si>
  <si>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</si>
  <si>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</si>
  <si>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</si>
  <si>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</si>
  <si>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</si>
  <si>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</si>
  <si>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</si>
  <si>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</si>
  <si>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</si>
  <si>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</si>
  <si>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</si>
  <si>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</si>
  <si>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</si>
  <si>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</si>
  <si>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</si>
  <si>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</si>
  <si>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</si>
  <si>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</si>
  <si>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</si>
  <si>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</si>
  <si>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</si>
  <si>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</si>
  <si>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</si>
  <si>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</si>
  <si>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</si>
  <si>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</si>
  <si>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</si>
  <si>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</si>
  <si>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</si>
  <si>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</si>
  <si>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</si>
  <si>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</si>
  <si>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</si>
  <si>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</si>
  <si>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</si>
  <si>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</si>
  <si>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</si>
  <si>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</si>
  <si>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</si>
  <si>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</si>
  <si>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</si>
  <si>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</si>
  <si>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</si>
  <si>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</si>
  <si>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</si>
  <si>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</si>
  <si>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</si>
  <si>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</si>
  <si>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</si>
  <si>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</si>
  <si>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</si>
  <si>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</si>
  <si>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</si>
  <si>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</si>
  <si>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</si>
  <si>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</si>
  <si>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</si>
  <si>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</si>
  <si>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</si>
  <si>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</si>
  <si>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</si>
  <si>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</si>
  <si>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</si>
  <si>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</si>
  <si>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</si>
  <si>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</si>
  <si>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</si>
  <si>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</si>
  <si>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</si>
  <si>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</si>
  <si>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</si>
  <si>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</si>
  <si>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</si>
  <si>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</si>
  <si>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</si>
  <si>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</si>
  <si>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</si>
  <si>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</si>
  <si>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</si>
  <si>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</si>
  <si>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</si>
  <si>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</si>
  <si>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</si>
  <si>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</si>
  <si>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</si>
  <si>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</si>
  <si>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</si>
  <si>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</si>
  <si>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</si>
  <si>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</si>
  <si>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</si>
  <si>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</si>
  <si>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</si>
  <si>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</si>
  <si>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</si>
  <si>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</si>
  <si>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</si>
  <si>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</si>
  <si>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</si>
  <si>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</si>
  <si>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</si>
  <si>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</si>
  <si>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</si>
  <si>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</si>
  <si>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</si>
  <si>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</si>
  <si>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</si>
  <si>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</si>
  <si>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</si>
  <si>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</si>
  <si>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</si>
  <si>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</si>
  <si>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</si>
  <si>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</si>
  <si>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</si>
  <si>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</si>
  <si>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</si>
  <si>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</si>
  <si>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</si>
  <si>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</si>
  <si>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</si>
  <si>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</si>
  <si>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</si>
  <si>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</si>
  <si>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</si>
  <si>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</si>
  <si>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</si>
  <si>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</si>
  <si>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</si>
  <si>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</si>
  <si>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</si>
  <si>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</si>
  <si>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</si>
  <si>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</si>
  <si>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</si>
  <si>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</si>
  <si>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</si>
  <si>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</si>
  <si>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</si>
  <si>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</si>
  <si>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</si>
  <si>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</si>
  <si>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</si>
  <si>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</si>
  <si>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</si>
  <si>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</si>
  <si>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</si>
  <si>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</si>
  <si>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</si>
  <si>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</si>
  <si>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</si>
  <si>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</si>
  <si>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</si>
  <si>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</si>
  <si>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</si>
  <si>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</si>
  <si>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</si>
  <si>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</si>
  <si>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</si>
  <si>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</si>
  <si>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</si>
  <si>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</si>
  <si>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</si>
  <si>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</si>
  <si>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</si>
  <si>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</si>
  <si>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</si>
  <si>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</si>
  <si>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</si>
  <si>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</si>
  <si>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</si>
  <si>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</si>
  <si>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</si>
  <si>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</si>
  <si>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</si>
  <si>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</si>
  <si>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</si>
  <si>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</si>
  <si>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</si>
  <si>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</si>
  <si>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</si>
  <si>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</si>
  <si>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</si>
  <si>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</si>
  <si>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</si>
  <si>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</si>
  <si>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</si>
  <si>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</si>
  <si>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</si>
  <si>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</si>
  <si>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</si>
  <si>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</si>
  <si>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</si>
  <si>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</si>
  <si>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</si>
  <si>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</si>
  <si>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</si>
  <si>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</si>
  <si>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</si>
  <si>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</si>
  <si>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</si>
  <si>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</si>
  <si>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</si>
  <si>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</si>
  <si>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</si>
  <si>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</si>
  <si>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</si>
  <si>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</si>
  <si>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</si>
  <si>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</si>
  <si>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</si>
  <si>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</si>
  <si>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</si>
  <si>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</si>
  <si>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</si>
  <si>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</si>
  <si>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</si>
  <si>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</si>
  <si>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</si>
  <si>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</si>
  <si>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</si>
  <si>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</si>
  <si>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</si>
  <si>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</si>
  <si>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</si>
  <si>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</si>
  <si>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</si>
  <si>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</si>
  <si>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</si>
  <si>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</si>
  <si>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</si>
  <si>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</si>
  <si>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</si>
  <si>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</si>
  <si>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</si>
  <si>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</si>
  <si>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</si>
  <si>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</si>
  <si>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</si>
  <si>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</si>
  <si>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</si>
  <si>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</si>
  <si>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</si>
  <si>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</si>
  <si>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</si>
  <si>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</si>
  <si>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</si>
  <si>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</si>
  <si>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</si>
  <si>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</si>
  <si>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</si>
  <si>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</si>
  <si>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</si>
  <si>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</si>
  <si>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</si>
  <si>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</si>
  <si>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</si>
  <si>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</si>
  <si>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</si>
  <si>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</si>
  <si>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</si>
  <si>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</si>
  <si>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</si>
  <si>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</si>
  <si>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</si>
  <si>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</si>
  <si>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</si>
  <si>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</si>
  <si>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</si>
  <si>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</si>
  <si>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</si>
  <si>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</si>
  <si>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</si>
  <si>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</si>
  <si>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</si>
  <si>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</si>
  <si>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</si>
  <si>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</si>
  <si>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</si>
  <si>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</si>
  <si>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</si>
  <si>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</si>
  <si>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</si>
  <si>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</si>
  <si>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</si>
  <si>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</si>
  <si>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</si>
  <si>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</si>
  <si>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</si>
  <si>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</si>
  <si>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</si>
  <si>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</si>
  <si>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</si>
  <si>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</si>
  <si>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</si>
  <si>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</si>
  <si>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</si>
  <si>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</si>
  <si>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</si>
  <si>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</si>
  <si>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</si>
  <si>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</si>
  <si>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</si>
  <si>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</si>
  <si>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</si>
  <si>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</si>
  <si>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</si>
  <si>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</si>
  <si>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</si>
  <si>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</si>
  <si>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</si>
  <si>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</si>
  <si>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</si>
  <si>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</si>
  <si>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</si>
  <si>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</si>
  <si>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</si>
  <si>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</si>
  <si>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</si>
  <si>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</si>
  <si>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</si>
  <si>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</si>
  <si>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</si>
  <si>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</si>
  <si>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</si>
  <si>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</si>
  <si>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</si>
  <si>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</si>
  <si>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</si>
  <si>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</si>
  <si>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</si>
  <si>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</si>
  <si>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</si>
  <si>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</si>
  <si>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</si>
  <si>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</si>
  <si>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</si>
  <si>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</si>
  <si>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</si>
  <si>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</si>
  <si>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</si>
  <si>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</si>
  <si>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</si>
  <si>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</si>
  <si>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</si>
  <si>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</si>
  <si>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</si>
  <si>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</si>
  <si>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</si>
  <si>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</si>
  <si>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</si>
  <si>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</si>
  <si>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</si>
  <si>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</si>
  <si>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</si>
  <si>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是</t>
  </si>
  <si>
    <t>地上</t>
  </si>
  <si>
    <t>住宅</t>
  </si>
  <si>
    <t>平层住宅</t>
  </si>
  <si>
    <t>住宅</t>
    <phoneticPr fontId="7" type="noConversion"/>
  </si>
  <si>
    <t>成新度</t>
  </si>
  <si>
    <t>城镇住宅用地</t>
  </si>
  <si>
    <t>自定义容积率</t>
  </si>
  <si>
    <t>押一</t>
  </si>
  <si>
    <t>砖混</t>
  </si>
  <si>
    <t>非生产用房</t>
  </si>
  <si>
    <t>估价方法</t>
  </si>
  <si>
    <t>有</t>
  </si>
  <si>
    <t>无</t>
  </si>
  <si>
    <t>与级别开发程度一致</t>
  </si>
  <si>
    <t>较好</t>
  </si>
  <si>
    <t>好</t>
  </si>
  <si>
    <t>西罗园南里</t>
  </si>
  <si>
    <t>西罗园南里</t>
    <phoneticPr fontId="134" type="noConversion"/>
  </si>
  <si>
    <t>收益法 (元)</t>
  </si>
  <si>
    <t>  </t>
  </si>
  <si>
    <t>2024-3-26497-RB</t>
  </si>
  <si>
    <t>彭海英</t>
  </si>
  <si>
    <t>北京市丰台区</t>
  </si>
  <si>
    <t>西罗园南里12号楼3层3门303号</t>
  </si>
  <si>
    <t>范明宇</t>
  </si>
  <si>
    <t>房改房（成本价）</t>
  </si>
  <si>
    <t>2024-3-25483-RB</t>
  </si>
  <si>
    <t>胡晨成、马晓宇</t>
  </si>
  <si>
    <t>西罗园南里16号楼4层2门10号</t>
  </si>
  <si>
    <t>2024-3-25356-RB</t>
  </si>
  <si>
    <t>曲莹</t>
  </si>
  <si>
    <t>西罗园南里21号楼17层1704号</t>
  </si>
  <si>
    <t>商品房</t>
  </si>
  <si>
    <t>21（-02）</t>
  </si>
  <si>
    <t>2024-3-25123-RB</t>
  </si>
  <si>
    <t>马燕</t>
  </si>
  <si>
    <t>西罗园南里26号楼6层607</t>
  </si>
  <si>
    <t>2024-3-24153-RB</t>
  </si>
  <si>
    <t>王艳婷</t>
  </si>
  <si>
    <t>西罗园南里2号楼2层4单元405号</t>
  </si>
  <si>
    <t>2024-3-22707-RB</t>
  </si>
  <si>
    <t>王豫疆</t>
  </si>
  <si>
    <t>西罗园南里27号楼904</t>
  </si>
  <si>
    <t>16（-02）</t>
  </si>
  <si>
    <t>2024-3-18836-RB</t>
  </si>
  <si>
    <t>李婷</t>
  </si>
  <si>
    <t>西罗园南里12号楼6层2-602</t>
  </si>
  <si>
    <t>2024-3-16545-RB</t>
  </si>
  <si>
    <t>方文颖</t>
  </si>
  <si>
    <t>西罗园南里5号楼3门307号</t>
  </si>
  <si>
    <t>姚化顺</t>
  </si>
  <si>
    <t>2024-3-15616-RB</t>
  </si>
  <si>
    <t>周博洋</t>
  </si>
  <si>
    <t>西罗园南里45号院19号楼3层7门707</t>
  </si>
  <si>
    <t>2024-3-14266-RB</t>
  </si>
  <si>
    <t>葛倞</t>
  </si>
  <si>
    <t>西罗园南里16号楼2层1-105</t>
  </si>
  <si>
    <t>2024-3-11376-RB</t>
  </si>
  <si>
    <t>王春艳</t>
  </si>
  <si>
    <t>西罗园南里45号楼6层4门601号</t>
  </si>
  <si>
    <t>杜静仪</t>
  </si>
  <si>
    <t>2024-3-06116-RB</t>
  </si>
  <si>
    <t>王德强</t>
  </si>
  <si>
    <t>西罗园南里26号楼5层501</t>
  </si>
  <si>
    <t>18（-1）</t>
  </si>
  <si>
    <t>2024-3-05838-RA</t>
  </si>
  <si>
    <t>中国工商银行北京市分行</t>
  </si>
  <si>
    <t>西罗园南里45号楼4-101</t>
  </si>
  <si>
    <t>朱千弘</t>
  </si>
  <si>
    <t>2024-3-05366-RA</t>
  </si>
  <si>
    <t>中国光大银行股份有限公司北京分行</t>
  </si>
  <si>
    <t>西罗园南里43号楼1302</t>
  </si>
  <si>
    <t>2024-3-00736-RA</t>
  </si>
  <si>
    <t>西罗园南里36号楼4层2单元401号</t>
  </si>
  <si>
    <t>6（-1）</t>
  </si>
  <si>
    <t>2023-3-35822-RA</t>
  </si>
  <si>
    <t>中国农业银行股份有限公司北京市分行</t>
  </si>
  <si>
    <t>西罗园南里32号楼1-205</t>
  </si>
  <si>
    <t>2023-3-33517-RB</t>
  </si>
  <si>
    <t>陆熠峰</t>
  </si>
  <si>
    <t>西罗园南里43号楼707</t>
  </si>
  <si>
    <t>18（-02）</t>
  </si>
  <si>
    <t>2023-3-28630-RB</t>
  </si>
  <si>
    <t>赵鹏</t>
  </si>
  <si>
    <t>西罗园南里45号楼3层7单元301号</t>
  </si>
  <si>
    <t>2023-3-25609-RB</t>
  </si>
  <si>
    <t>崔玉杰</t>
  </si>
  <si>
    <t>西罗园南里13号楼6层5-601</t>
  </si>
  <si>
    <t>2023-3-18717-RB</t>
  </si>
  <si>
    <t>龚小东</t>
  </si>
  <si>
    <t>西罗园南里17号楼6层1门112号</t>
  </si>
  <si>
    <t>张国威</t>
  </si>
  <si>
    <t>2023-3-13514-RB</t>
  </si>
  <si>
    <t>李艳</t>
  </si>
  <si>
    <t>西罗园南里40号楼10层1009号</t>
  </si>
  <si>
    <t>2023-3-13391-RB</t>
  </si>
  <si>
    <t>李世凯</t>
  </si>
  <si>
    <t>西罗园南里33号楼6层2门602号</t>
  </si>
  <si>
    <t>2023-3-11322-RB</t>
  </si>
  <si>
    <t>王凯</t>
  </si>
  <si>
    <t>西罗园南里35号楼6层1-606</t>
  </si>
  <si>
    <t>2023-3-10066-RB</t>
  </si>
  <si>
    <t>张大庆</t>
  </si>
  <si>
    <t>西罗园南里26号楼17层1702</t>
  </si>
  <si>
    <t>2023-3-06457-RB</t>
  </si>
  <si>
    <t>潘会敏</t>
  </si>
  <si>
    <t>西罗园南里15号楼6层1-128</t>
  </si>
  <si>
    <t>06（-01）</t>
  </si>
  <si>
    <t>2023-3-04909-RB</t>
  </si>
  <si>
    <t>高强</t>
  </si>
  <si>
    <t>西罗园南里19号楼3层5门507号</t>
  </si>
  <si>
    <t>2023-3-04191-RB</t>
  </si>
  <si>
    <t>杨鹏</t>
  </si>
  <si>
    <t>西罗园南里45号楼4层4-401</t>
  </si>
  <si>
    <t>2023-3-02333-RB</t>
  </si>
  <si>
    <t>杨莉英</t>
  </si>
  <si>
    <t>西罗园南里40号楼8层807号</t>
  </si>
  <si>
    <t>于臣</t>
  </si>
  <si>
    <t>2022-3-38286-RB</t>
  </si>
  <si>
    <t>金萌</t>
  </si>
  <si>
    <t>西罗园南里40号楼13层1309</t>
  </si>
  <si>
    <t>2022-3-35860-RB</t>
  </si>
  <si>
    <t>滕小云、董天龙</t>
  </si>
  <si>
    <t>西罗园南里13号楼5层3门503号</t>
  </si>
  <si>
    <t>2022-3-35839-RB</t>
  </si>
  <si>
    <t>袁泽</t>
  </si>
  <si>
    <t>西罗园南里13号楼4层2门401号</t>
  </si>
  <si>
    <t>2022-3-35732-RB</t>
  </si>
  <si>
    <t>周恒</t>
  </si>
  <si>
    <t>西罗园南里10号楼3层5门7号</t>
  </si>
  <si>
    <t>谭仲双</t>
  </si>
  <si>
    <t>2022-3-32584-RB</t>
  </si>
  <si>
    <t>任翠薇</t>
  </si>
  <si>
    <t>西罗园南里22号楼21层2102</t>
  </si>
  <si>
    <t>21（-2）</t>
  </si>
  <si>
    <t>2022-3-25744-RB</t>
  </si>
  <si>
    <t>李敬军</t>
  </si>
  <si>
    <t>西罗园南里43号楼14层1406</t>
  </si>
  <si>
    <t>19（-2）</t>
  </si>
  <si>
    <t>2022-3-25422-RB</t>
  </si>
  <si>
    <t>王纯一</t>
  </si>
  <si>
    <t>西罗园南里40号楼20层2002</t>
  </si>
  <si>
    <t>2022-3-20941-RB</t>
  </si>
  <si>
    <t>李斐斐</t>
  </si>
  <si>
    <t>西罗园南里10号楼3层4门8号</t>
  </si>
  <si>
    <t>2022-3-15082-RB</t>
  </si>
  <si>
    <t>孙黎</t>
  </si>
  <si>
    <t>西罗园南里32号楼3层2单元304号</t>
  </si>
  <si>
    <t>2022-3-13383-RB</t>
  </si>
  <si>
    <t>颜姝</t>
  </si>
  <si>
    <t>西罗园南里45号楼5门302</t>
  </si>
  <si>
    <t>2022-3-06947-RB</t>
  </si>
  <si>
    <t>华夏银行股份有限公司北京分行</t>
  </si>
  <si>
    <t>西罗园南里21号楼5层501</t>
  </si>
  <si>
    <t>2022-3-06484-RB</t>
  </si>
  <si>
    <t>刘浩楠</t>
  </si>
  <si>
    <t>西罗园南里甲20号楼4层2-401</t>
  </si>
  <si>
    <t>赵晓晴</t>
  </si>
  <si>
    <t>2022-3-01436-RB</t>
  </si>
  <si>
    <t>马超辉</t>
  </si>
  <si>
    <t>西罗园南里4号楼3层4门407号</t>
  </si>
  <si>
    <t>2021-3-38854-RB</t>
  </si>
  <si>
    <t>王一乔</t>
  </si>
  <si>
    <t>西罗园南里22号楼15层1503号</t>
  </si>
  <si>
    <t>2021-3-38813-RB</t>
  </si>
  <si>
    <t>徐鹏杰</t>
  </si>
  <si>
    <t>西罗园南里11号楼4单元6</t>
  </si>
  <si>
    <t>2021-3-36973-RB</t>
  </si>
  <si>
    <t>于升虎</t>
  </si>
  <si>
    <t>西罗园南里33号楼5层2-506</t>
  </si>
  <si>
    <t>2021-3-36650-RB</t>
  </si>
  <si>
    <t>韦伟</t>
  </si>
  <si>
    <t>西罗园南里13号楼5层3-501</t>
  </si>
  <si>
    <t>2021-3-36035-RB</t>
  </si>
  <si>
    <t>谢娟</t>
  </si>
  <si>
    <t>西罗园南里20号楼6层2门211号</t>
  </si>
  <si>
    <t>售价</t>
  </si>
  <si>
    <t>单套模式</t>
  </si>
  <si>
    <t>成本法 (元)</t>
  </si>
  <si>
    <t>比较法-住宅</t>
  </si>
  <si>
    <t>2005-12-29</t>
    <phoneticPr fontId="6" type="noConversion"/>
  </si>
  <si>
    <t>1986</t>
    <phoneticPr fontId="6" type="noConversion"/>
  </si>
  <si>
    <t>精装修</t>
    <phoneticPr fontId="24" type="noConversion"/>
  </si>
  <si>
    <t>普通装修</t>
  </si>
  <si>
    <t>普通装修</t>
    <phoneticPr fontId="24" type="noConversion"/>
  </si>
  <si>
    <t>简单装修</t>
  </si>
  <si>
    <t>简单装修</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</si>
  <si>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</si>
  <si>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</si>
  <si>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</si>
  <si>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</si>
  <si>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</si>
  <si>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</si>
  <si>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</si>
  <si>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</si>
  <si>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</si>
  <si>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</si>
  <si>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</si>
  <si>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</si>
  <si>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</si>
  <si>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</si>
  <si>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</si>
  <si>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</si>
  <si>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</si>
  <si>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</si>
  <si>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</si>
  <si>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</si>
  <si>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</si>
  <si>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2024-3-33312-RB</t>
  </si>
  <si>
    <t>交通银行股份有限公司北京市分行</t>
  </si>
  <si>
    <t>西罗园南里20号楼4层1单元112号</t>
  </si>
  <si>
    <t>2024-3-32855-RB</t>
  </si>
  <si>
    <t>芦健</t>
  </si>
  <si>
    <t>西罗园南里11号楼4层4门12号</t>
  </si>
  <si>
    <t>2024-3-32745-RB</t>
  </si>
  <si>
    <t>郭鑫</t>
  </si>
  <si>
    <t>西罗园南里43号楼12层1201号</t>
  </si>
  <si>
    <t>18（-2）</t>
  </si>
  <si>
    <t>2024-3-29345-RB</t>
  </si>
  <si>
    <t>郭段荣、王硕</t>
  </si>
  <si>
    <t>西罗园南里甲35号院1号楼5层401</t>
  </si>
  <si>
    <t>祥瑞苑</t>
  </si>
  <si>
    <t>南北</t>
  </si>
  <si>
    <t>南北</t>
    <phoneticPr fontId="134" type="noConversion"/>
  </si>
  <si>
    <t>简单装修</t>
    <phoneticPr fontId="134" type="noConversion"/>
  </si>
  <si>
    <t>普通装修</t>
    <phoneticPr fontId="134" type="noConversion"/>
  </si>
  <si>
    <t>南北</t>
    <phoneticPr fontId="24" type="noConversion"/>
  </si>
  <si>
    <t>南</t>
  </si>
  <si>
    <t>南</t>
    <phoneticPr fontId="24" type="noConversion"/>
  </si>
  <si>
    <t>混合</t>
    <phoneticPr fontId="24" type="noConversion"/>
  </si>
  <si>
    <t>1/6</t>
    <phoneticPr fontId="24" type="noConversion"/>
  </si>
  <si>
    <t>2/6</t>
    <phoneticPr fontId="24" type="noConversion"/>
  </si>
  <si>
    <t>3/6</t>
    <phoneticPr fontId="24" type="noConversion"/>
  </si>
  <si>
    <t>4/6</t>
    <phoneticPr fontId="24" type="noConversion"/>
  </si>
  <si>
    <t>5/6</t>
    <phoneticPr fontId="24" type="noConversion"/>
  </si>
  <si>
    <t>6/6</t>
    <phoneticPr fontId="24" type="noConversion"/>
  </si>
  <si>
    <t>楼层</t>
    <phoneticPr fontId="24" type="noConversion"/>
  </si>
  <si>
    <t>一般</t>
  </si>
  <si>
    <t>契税票时间</t>
    <phoneticPr fontId="6" type="noConversion"/>
  </si>
  <si>
    <t>建成年代</t>
    <phoneticPr fontId="6"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</si>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</sst>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9"/>
      <name val="Microsoft YaHei"/>
      <family val="2"/>
      <charset val="134"/>
    </font>
    <font>
      <sz val="11"/>
      <name val="宋体"/>
      <family val="3"/>
      <charset val="134"/>
      <scheme val="minor"/>
    </font>
    <font>
      <sz val="12"/>
      <name val="Microsoft YaHei"/>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1" fontId="47" fillId="6"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270" fillId="22" borderId="178" xfId="0" applyFont="1" applyFill="1" applyBorder="1" applyAlignment="1">
      <alignment horizontal="center" vertical="center" wrapText="1"/>
    </xf>
    <xf numFmtId="0" fontId="271" fillId="0" borderId="0" xfId="0" applyFont="1">
      <alignment vertical="center"/>
    </xf>
    <xf numFmtId="0" fontId="270" fillId="5" borderId="176" xfId="0" applyFont="1" applyFill="1" applyBorder="1" applyAlignment="1">
      <alignment horizontal="center" vertical="center" wrapText="1"/>
    </xf>
    <xf numFmtId="0" fontId="272" fillId="5" borderId="176" xfId="0" applyFont="1" applyFill="1" applyBorder="1" applyAlignment="1">
      <alignment horizontal="center" vertical="center" wrapText="1"/>
    </xf>
    <xf numFmtId="31" fontId="270" fillId="5" borderId="176" xfId="0" applyNumberFormat="1" applyFont="1" applyFill="1" applyBorder="1" applyAlignment="1">
      <alignment horizontal="center" vertical="center" wrapText="1"/>
    </xf>
    <xf numFmtId="0" fontId="270" fillId="0" borderId="176" xfId="0" applyFont="1" applyFill="1" applyBorder="1" applyAlignment="1">
      <alignment horizontal="center" vertical="center" wrapText="1"/>
    </xf>
    <xf numFmtId="0" fontId="272" fillId="0" borderId="176" xfId="0" applyFont="1" applyFill="1" applyBorder="1" applyAlignment="1">
      <alignment horizontal="center" vertical="center" wrapText="1"/>
    </xf>
    <xf numFmtId="31" fontId="270" fillId="0" borderId="176" xfId="0" applyNumberFormat="1" applyFont="1" applyFill="1" applyBorder="1" applyAlignment="1">
      <alignment horizontal="center" vertical="center" wrapText="1"/>
    </xf>
    <xf numFmtId="0" fontId="270"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0" fillId="22" borderId="176"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5" borderId="177" xfId="0" applyFont="1" applyFill="1" applyBorder="1" applyAlignment="1">
      <alignment horizontal="center" vertical="center" wrapText="1"/>
    </xf>
    <xf numFmtId="0" fontId="272" fillId="5" borderId="177" xfId="0" applyFont="1" applyFill="1" applyBorder="1" applyAlignment="1">
      <alignment horizontal="center" vertical="center" wrapText="1"/>
    </xf>
    <xf numFmtId="31" fontId="270" fillId="5" borderId="177"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657225</xdr:colOff>
      <xdr:row>1</xdr:row>
      <xdr:rowOff>223290</xdr:rowOff>
    </xdr:from>
    <xdr:to>
      <xdr:col>33</xdr:col>
      <xdr:colOff>350972</xdr:colOff>
      <xdr:row>7</xdr:row>
      <xdr:rowOff>399275</xdr:rowOff>
    </xdr:to>
    <xdr:pic>
      <xdr:nvPicPr>
        <xdr:cNvPr id="2" name="图片 1">
          <a:extLst>
            <a:ext uri="{FF2B5EF4-FFF2-40B4-BE49-F238E27FC236}">
              <a16:creationId xmlns:a16="http://schemas.microsoft.com/office/drawing/2014/main" id="{FDAC6013-05E1-099C-EAF4-A5D7CC4D6E1B}"/>
            </a:ext>
          </a:extLst>
        </xdr:cNvPr>
        <xdr:cNvPicPr>
          <a:picLocks noChangeAspect="1"/>
        </xdr:cNvPicPr>
      </xdr:nvPicPr>
      <xdr:blipFill>
        <a:blip xmlns:r="http://schemas.openxmlformats.org/officeDocument/2006/relationships" r:embed="rId1"/>
        <a:stretch>
          <a:fillRect/>
        </a:stretch>
      </xdr:blipFill>
      <xdr:spPr>
        <a:xfrm>
          <a:off x="16764000" y="404265"/>
          <a:ext cx="6551747" cy="349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48</xdr:row>
      <xdr:rowOff>103733</xdr:rowOff>
    </xdr:to>
    <xdr:pic>
      <xdr:nvPicPr>
        <xdr:cNvPr id="2" name="图片 1">
          <a:extLst>
            <a:ext uri="{FF2B5EF4-FFF2-40B4-BE49-F238E27FC236}">
              <a16:creationId xmlns:a16="http://schemas.microsoft.com/office/drawing/2014/main" id="{35143666-2263-E20D-A3DD-E700AAEA7A32}"/>
            </a:ext>
          </a:extLst>
        </xdr:cNvPr>
        <xdr:cNvPicPr>
          <a:picLocks noChangeAspect="1"/>
        </xdr:cNvPicPr>
      </xdr:nvPicPr>
      <xdr:blipFill>
        <a:blip xmlns:r="http://schemas.openxmlformats.org/officeDocument/2006/relationships" r:embed="rId1"/>
        <a:stretch>
          <a:fillRect/>
        </a:stretch>
      </xdr:blipFill>
      <xdr:spPr>
        <a:xfrm>
          <a:off x="0" y="0"/>
          <a:ext cx="8419048" cy="8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估价对象为北京市房地产，为所有。根据《国有土地使用证》[]，估价对象（分摊）出让国有建设用地使用权面积为0平方米，建筑面积为38.18平方米。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估价对象为北京市房地产,属开发建设的，该项目尚在开发建设中。根据《国有土地使用证》[]，估价对象（分摊）出让国有建设用地使用权面积为0平方米，规划建筑面积为38.18平方米。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38.18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447" t="s">
        <v>385</v>
      </c>
      <c r="C54" s="1445" t="s">
        <v>583</v>
      </c>
    </row>
    <row r="55" spans="1:4">
      <c r="A55" s="3186"/>
      <c r="B55" s="1447" t="s">
        <v>386</v>
      </c>
      <c r="C55" s="1445" t="s">
        <v>584</v>
      </c>
    </row>
    <row r="56" spans="1:4">
      <c r="A56" s="3186"/>
      <c r="B56" s="1447" t="s">
        <v>387</v>
      </c>
      <c r="C56" s="1445" t="s">
        <v>588</v>
      </c>
    </row>
    <row r="57" spans="1:4">
      <c r="A57" s="31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87" t="s">
        <v>2582</v>
      </c>
      <c r="J2" s="3187"/>
      <c r="K2" s="3187"/>
      <c r="L2" s="3187"/>
      <c r="M2" s="3187"/>
      <c r="N2" s="3187"/>
      <c r="O2" s="3187"/>
      <c r="P2" s="3187"/>
      <c r="Q2" s="3187"/>
      <c r="R2" s="3187"/>
    </row>
    <row r="3" spans="1:18">
      <c r="A3" s="2763" t="s">
        <v>2503</v>
      </c>
      <c r="B3" s="2764">
        <f>项目基本情况!D3</f>
        <v>45546</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2.27</v>
      </c>
      <c r="D5" s="2768">
        <f>IF(ISERROR(ROUND(POWER(1+E5,A5-C5)*(POWER(1+E5,C5)-1)/(POWER(1+E5,A5)-1),3)),0,ROUND(POWER(1+E5,A5-C5)*(POWER(1+E5,C5)-1)/(POWER(1+E5,A5)-1),4))</f>
        <v>0.1076</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12.27</v>
      </c>
      <c r="D6" s="2768">
        <f>IF(ISERROR(ROUND(POWER(1+E6,A6-C6)*(POWER(1+E6,C6)-1)/(POWER(1+E6,A6)-1),3)),0,ROUND(POWER(1+E6,A6-C6)*(POWER(1+E6,C6)-1)/(POWER(1+E6,A6)-1),4))</f>
        <v>0.44450000000000001</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32.29</v>
      </c>
      <c r="D7" s="2768">
        <f>IF(ISERROR(ROUND(POWER(1+E7,A7-C7)*(POWER(1+E7,C7)-1)/(POWER(1+E7,A7)-1),3)),0,ROUND(POWER(1+E7,A7-C7)*(POWER(1+E7,C7)-1)/(POWER(1+E7,A7)-1),4))</f>
        <v>0.76749999999999996</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2" width="14.375" style="2414" customWidth="1"/>
    <col min="13"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5" t="str">
        <f>IF(B10="北京市","北京市",C10)&amp;F10&amp;IF(结果表!G1="在建","出让国有建设用地使用权及在建建筑物",IF(结果表!G1="土地","出让国有建设用地使用权",))&amp;B9&amp;"预评估"</f>
        <v>北京市房地产市场价值预评估</v>
      </c>
      <c r="C1" s="3196"/>
      <c r="D1" s="3196"/>
      <c r="E1" s="3196"/>
      <c r="F1" s="3196"/>
      <c r="G1" s="3196"/>
      <c r="H1" s="3196"/>
      <c r="I1" s="319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45546</v>
      </c>
      <c r="C3" s="2186" t="s">
        <v>2171</v>
      </c>
      <c r="D3" s="2185">
        <f>B3</f>
        <v>45546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3385</v>
      </c>
      <c r="C8" s="2201"/>
      <c r="D8" s="3198" t="s">
        <v>2177</v>
      </c>
      <c r="E8" s="2202"/>
      <c r="F8" s="2203"/>
      <c r="G8" s="2442"/>
      <c r="H8" s="2442"/>
      <c r="I8" s="2442"/>
      <c r="J8" s="2245"/>
      <c r="K8" s="2400"/>
      <c r="L8" s="2399"/>
      <c r="M8" s="2399"/>
      <c r="N8" s="2245"/>
      <c r="O8" s="1670"/>
      <c r="P8" s="2245"/>
      <c r="Q8" s="2245"/>
      <c r="R8" s="2245"/>
    </row>
    <row r="9" spans="1:30" ht="13.5" thickBot="1">
      <c r="A9" s="2204" t="s">
        <v>2178</v>
      </c>
      <c r="B9" s="2205" t="s">
        <v>3386</v>
      </c>
      <c r="C9" s="2206"/>
      <c r="D9" s="3199"/>
      <c r="E9" s="2205"/>
      <c r="F9" s="2207"/>
      <c r="G9" s="2443"/>
      <c r="H9" s="2443"/>
      <c r="I9" s="2443"/>
      <c r="J9" s="2245"/>
      <c r="K9" s="2402"/>
      <c r="L9" s="2399"/>
      <c r="M9" s="2399"/>
      <c r="N9" s="2245"/>
      <c r="O9" s="1670"/>
      <c r="P9" s="2245"/>
      <c r="Q9" s="2245"/>
      <c r="R9" s="2245"/>
    </row>
    <row r="10" spans="1:30" ht="13.5" thickTop="1">
      <c r="A10" s="2208" t="s">
        <v>2179</v>
      </c>
      <c r="B10" s="2209" t="s">
        <v>3387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3388</v>
      </c>
      <c r="C11" s="2214"/>
      <c r="D11" s="2215"/>
      <c r="E11" s="2182"/>
      <c r="F11" s="2182"/>
      <c r="G11" s="2182"/>
      <c r="H11" s="2182"/>
      <c r="I11" s="2182"/>
      <c r="J11" s="2802"/>
      <c r="K11" s="3504" t="s">
        <v>3629</v>
      </c>
      <c r="L11" s="2399" t="s">
        <v>3571</v>
      </c>
      <c r="M11" s="2399"/>
      <c r="N11" s="3482">
        <v>64304</v>
      </c>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1670"/>
      <c r="M12" s="2245"/>
      <c r="N12" s="1670"/>
      <c r="O12" s="2245"/>
      <c r="P12" s="2245"/>
      <c r="Q12" s="2245"/>
      <c r="AD12" s="1618"/>
    </row>
    <row r="13" spans="1:30">
      <c r="A13" s="3122" t="s">
        <v>3334</v>
      </c>
      <c r="B13" s="2218" t="s">
        <v>2190</v>
      </c>
      <c r="C13" s="803">
        <v>64281</v>
      </c>
      <c r="D13" s="803"/>
      <c r="E13" s="803"/>
      <c r="F13" s="803"/>
      <c r="G13" s="803"/>
      <c r="H13" s="803"/>
      <c r="I13" s="803"/>
      <c r="J13" s="2803"/>
      <c r="K13" s="3504" t="s">
        <v>3628</v>
      </c>
      <c r="L13" s="3481" t="s">
        <v>3570</v>
      </c>
      <c r="M13" s="2245"/>
      <c r="N13" s="1670"/>
      <c r="O13" s="2245"/>
      <c r="P13" s="2245"/>
      <c r="Q13" s="2245"/>
      <c r="AD13" s="1618"/>
    </row>
    <row r="14" spans="1:30">
      <c r="A14" s="1018"/>
      <c r="B14" s="2218" t="s">
        <v>2191</v>
      </c>
      <c r="C14" s="2219">
        <v>70</v>
      </c>
      <c r="D14" s="2219"/>
      <c r="E14" s="2219"/>
      <c r="F14" s="2219"/>
      <c r="G14" s="2219"/>
      <c r="H14" s="2219"/>
      <c r="I14" s="2219"/>
      <c r="J14" s="2804"/>
      <c r="K14" s="2399"/>
      <c r="L14" s="3481"/>
      <c r="M14" s="2245"/>
      <c r="N14" s="1670"/>
      <c r="O14" s="2245"/>
      <c r="P14" s="2245"/>
      <c r="Q14" s="2245"/>
      <c r="AD14" s="1618"/>
    </row>
    <row r="15" spans="1:30">
      <c r="A15" s="312"/>
      <c r="B15" s="2220" t="s">
        <v>2192</v>
      </c>
      <c r="C15" s="2221">
        <f>IF(A13="出让",IF(C13="","",ROUNDDOWN(MIN((C13-$D$3)/365,C14),2)),C14)</f>
        <v>51.32</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5"/>
      <c r="C16" s="3206"/>
      <c r="D16" s="3207"/>
      <c r="E16" s="2222" t="s">
        <v>2194</v>
      </c>
      <c r="F16" s="3208"/>
      <c r="G16" s="3209"/>
      <c r="H16" s="3209"/>
      <c r="I16" s="3210"/>
      <c r="J16" s="2245"/>
      <c r="K16" s="2403"/>
      <c r="L16" s="1670"/>
      <c r="M16" s="1670"/>
      <c r="N16" s="2245"/>
      <c r="O16" s="1670"/>
      <c r="P16" s="2245"/>
      <c r="Q16" s="2245"/>
      <c r="R16" s="2245"/>
    </row>
    <row r="17" spans="1:28">
      <c r="A17" s="305" t="s">
        <v>2195</v>
      </c>
      <c r="B17" s="294" t="s">
        <v>2196</v>
      </c>
      <c r="C17" s="8">
        <f>'数据-汇总表'!E3</f>
        <v>38.18</v>
      </c>
      <c r="D17" s="1256" t="s">
        <v>2197</v>
      </c>
      <c r="E17" s="3211" t="s">
        <v>2198</v>
      </c>
      <c r="F17" s="3212"/>
      <c r="G17" s="3212"/>
      <c r="H17" s="3212"/>
      <c r="I17" s="321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4" t="s">
        <v>2202</v>
      </c>
      <c r="F18" s="3215"/>
      <c r="G18" s="3215"/>
      <c r="H18" s="3215"/>
      <c r="I18" s="321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1" t="s">
        <v>2206</v>
      </c>
      <c r="C20" s="3202"/>
      <c r="D20" s="3203" t="s">
        <v>2207</v>
      </c>
      <c r="E20" s="3204"/>
      <c r="F20" s="2430" t="s">
        <v>1056</v>
      </c>
      <c r="G20" s="2442"/>
      <c r="H20" s="2442"/>
      <c r="I20" s="2442"/>
      <c r="J20" s="2245"/>
      <c r="K20" s="32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0"/>
      <c r="B30" s="294" t="s">
        <v>2218</v>
      </c>
      <c r="C30" s="3191"/>
      <c r="D30" s="3192"/>
      <c r="E30" s="2442"/>
      <c r="F30" s="2442"/>
      <c r="G30" s="2442"/>
      <c r="H30" s="2442"/>
      <c r="I30" s="2442"/>
      <c r="J30" s="2245"/>
      <c r="K30" s="2402"/>
      <c r="L30" s="2399"/>
      <c r="M30" s="2399"/>
      <c r="N30" s="2245"/>
      <c r="O30" s="1670"/>
      <c r="P30" s="2245"/>
      <c r="Q30" s="2245"/>
      <c r="R30" s="2245"/>
      <c r="S30" s="2245"/>
      <c r="T30" s="2245"/>
      <c r="U30" s="2245"/>
      <c r="V30" s="2245"/>
    </row>
    <row r="31" spans="1:28">
      <c r="A31" s="319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8" t="s">
        <v>2228</v>
      </c>
      <c r="T34" s="315" t="str">
        <f>NUMBERSTRING(7-K34,1)&amp;"通"</f>
        <v>七通</v>
      </c>
      <c r="U34" s="2245"/>
      <c r="V34" s="2245"/>
    </row>
    <row r="35" spans="1:30">
      <c r="A35" s="2236"/>
      <c r="B35" s="3188" t="s">
        <v>2229</v>
      </c>
      <c r="C35" s="3188"/>
      <c r="D35" s="3188"/>
      <c r="E35" s="318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110</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224</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38.18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38.18</v>
      </c>
      <c r="H5" s="13">
        <f t="shared" ref="H5:AT5" si="0">SUM(H13:H656)</f>
        <v>38.18</v>
      </c>
      <c r="I5" s="13">
        <f t="shared" si="0"/>
        <v>38.18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38.18</v>
      </c>
      <c r="BA5" s="15">
        <f t="shared" si="1"/>
        <v>38.18</v>
      </c>
      <c r="BB5" s="15">
        <f t="shared" si="1"/>
        <v>38.18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3389</v>
      </c>
      <c r="E13" s="13">
        <f>IF($C$3="是",ROUND($A$3*G13/$B$3,2),ROUND($A$3*(G13-AT13)/$B$3,2))</f>
        <v>0</v>
      </c>
      <c r="F13" s="29"/>
      <c r="G13" s="30">
        <f>H13+AC13+AT13</f>
        <v>38.18</v>
      </c>
      <c r="H13" s="17">
        <f>SUMIF(I$12:AB$12,"总值",I13:AB13)</f>
        <v>38.18</v>
      </c>
      <c r="I13" s="1514">
        <v>38.18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38.18</v>
      </c>
      <c r="BA13" s="13">
        <f>SUM(BB13:BK13)</f>
        <v>38.18</v>
      </c>
      <c r="BB13" s="13">
        <f>IF($D13="是",I13-J13,0)</f>
        <v>38.18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6" t="s">
        <v>1131</v>
      </c>
      <c r="B2" s="3226"/>
      <c r="C2" s="3226"/>
      <c r="D2" s="748" t="s">
        <v>1107</v>
      </c>
      <c r="E2" s="1523" t="s">
        <v>1108</v>
      </c>
      <c r="F2" s="2439"/>
      <c r="G2" s="2432"/>
      <c r="H2" s="2433"/>
      <c r="I2" s="2146" t="s">
        <v>1132</v>
      </c>
      <c r="J2" s="2439"/>
      <c r="K2" s="2439"/>
      <c r="L2" s="2439"/>
      <c r="M2" s="2439"/>
      <c r="N2" s="2440"/>
      <c r="O2" s="2439"/>
      <c r="P2" s="2439"/>
    </row>
    <row r="3" spans="1:16" ht="15.75" thickBot="1">
      <c r="A3" s="3227" t="s">
        <v>1105</v>
      </c>
      <c r="B3" s="3227"/>
      <c r="C3" s="3227"/>
      <c r="D3" s="41">
        <f>'数据-基础表'!AY6</f>
        <v>0</v>
      </c>
      <c r="E3" s="41">
        <f>'数据-基础表'!AZ5</f>
        <v>38.18</v>
      </c>
      <c r="F3" s="2439"/>
      <c r="G3" s="42"/>
      <c r="H3" s="43" t="s">
        <v>1106</v>
      </c>
      <c r="I3" s="802" t="e">
        <f>ROUND('数据-基础表'!B3/'数据-基础表'!A3,2)</f>
        <v>#DIV/0!</v>
      </c>
      <c r="J3" s="2439"/>
      <c r="K3" s="2439"/>
      <c r="L3" s="2439"/>
      <c r="M3" s="2439"/>
      <c r="N3" s="2440"/>
      <c r="O3" s="2439"/>
      <c r="P3" s="2439"/>
    </row>
    <row r="4" spans="1:16" ht="15">
      <c r="A4" s="3228"/>
      <c r="B4" s="3229"/>
      <c r="C4" s="323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1" t="s">
        <v>1110</v>
      </c>
      <c r="C5" s="3231"/>
      <c r="D5" s="43">
        <f>ROUND($D$3*E5/$E$3,2)</f>
        <v>0</v>
      </c>
      <c r="E5" s="44">
        <f>SUMIF('数据-基础表'!$11:$11,"住宅",'数据-基础表'!$5:$5)</f>
        <v>38.18</v>
      </c>
      <c r="F5" s="2439"/>
      <c r="G5" s="42"/>
      <c r="H5" s="43" t="s">
        <v>1106</v>
      </c>
      <c r="I5" s="802" t="e">
        <f>ROUND(E31/D31,2)</f>
        <v>#DIV/0!</v>
      </c>
      <c r="J5" s="2439"/>
      <c r="K5" s="2439"/>
      <c r="L5" s="2439"/>
      <c r="M5" s="2439"/>
      <c r="N5" s="2439"/>
      <c r="O5" s="2439"/>
      <c r="P5" s="2439"/>
    </row>
    <row r="6" spans="1:16" ht="15" thickBot="1">
      <c r="A6" s="1527"/>
      <c r="B6" s="3231" t="s">
        <v>1111</v>
      </c>
      <c r="C6" s="3231"/>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23"/>
      <c r="B7" s="3224"/>
      <c r="C7" s="3225"/>
      <c r="D7" s="1524" t="s">
        <v>1107</v>
      </c>
      <c r="E7" s="1528" t="s">
        <v>1114</v>
      </c>
      <c r="F7" s="2439"/>
      <c r="G7" s="2436" t="s">
        <v>1115</v>
      </c>
      <c r="H7" s="95"/>
      <c r="I7" s="2437">
        <v>1.8</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38.18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38.18</v>
      </c>
      <c r="F16" s="2439"/>
      <c r="G16" s="2439"/>
      <c r="H16" s="1531" t="s">
        <v>1135</v>
      </c>
      <c r="I16" s="1532"/>
      <c r="J16" s="1071"/>
      <c r="K16" s="3220" t="s">
        <v>1135</v>
      </c>
      <c r="L16" s="3221"/>
      <c r="M16" s="3221"/>
      <c r="N16" s="3221"/>
      <c r="O16" s="3221"/>
      <c r="P16" s="3222"/>
    </row>
    <row r="17" spans="1:19" ht="15">
      <c r="A17" s="1533" t="s">
        <v>1136</v>
      </c>
      <c r="B17" s="1534" t="s">
        <v>1137</v>
      </c>
      <c r="C17" s="1535" t="s">
        <v>1138</v>
      </c>
      <c r="D17" s="1536" t="s">
        <v>1126</v>
      </c>
      <c r="E17" s="1537" t="s">
        <v>1127</v>
      </c>
      <c r="F17" s="1538"/>
      <c r="G17" s="1539"/>
      <c r="H17" s="1540" t="s">
        <v>1139</v>
      </c>
      <c r="I17" s="1541" t="s">
        <v>1124</v>
      </c>
      <c r="J17" s="1071"/>
      <c r="K17" s="3217" t="s">
        <v>1140</v>
      </c>
      <c r="L17" s="3218"/>
      <c r="M17" s="3219"/>
      <c r="N17" s="3217" t="s">
        <v>1141</v>
      </c>
      <c r="O17" s="3218"/>
      <c r="P17" s="321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3393</v>
      </c>
      <c r="D19" s="43">
        <f>ROUND($D$3*E19/$E$3,2)</f>
        <v>0</v>
      </c>
      <c r="E19" s="51">
        <f t="shared" ref="E19:E26" si="1">SUM(F19:G19)</f>
        <v>38.18</v>
      </c>
      <c r="F19" s="2558">
        <f>'数据-基础表'!I13</f>
        <v>38.18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38.18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38.18</v>
      </c>
      <c r="F27" s="1072">
        <f>IF(SUM(F19:F26)=E8,SUM(F19:F26),"地上面积有误")</f>
        <v>38.18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38.18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38.18</v>
      </c>
      <c r="F31" s="644">
        <f>F27+F30</f>
        <v>38.18</v>
      </c>
      <c r="G31" s="645">
        <f>G27+G30</f>
        <v>0</v>
      </c>
      <c r="H31" s="2439"/>
      <c r="I31" s="2439"/>
      <c r="J31" s="2439"/>
      <c r="K31" s="2439"/>
      <c r="L31" s="2439"/>
      <c r="M31" s="2439"/>
      <c r="N31" s="2439"/>
      <c r="O31" s="2439"/>
      <c r="P31" s="2439"/>
    </row>
    <row r="32" spans="1:19">
      <c r="A32" s="1526"/>
      <c r="B32" s="1526" t="s">
        <v>1159</v>
      </c>
      <c r="C32" s="1526"/>
      <c r="D32" s="1526"/>
      <c r="E32" s="990">
        <f>SUMIF(C19:C26,"*住宅*",E19:E26)</f>
        <v>38.18</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G48" sqref="G4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3391</v>
      </c>
      <c r="D6" s="805">
        <f>SUMIF(项目基本情况!C$12:I$12,C6,项目基本情况!C$14:I$14)</f>
        <v>70</v>
      </c>
      <c r="E6" s="804">
        <f>IF(B6="","",SUMIF(项目基本情况!C$12:I$12,C6,项目基本情况!C$13:I$13))</f>
        <v>64281</v>
      </c>
      <c r="F6" s="61">
        <f>SUMIF(项目基本情况!C$12:I$12,C6,项目基本情况!C$15:I$15)</f>
        <v>51.32</v>
      </c>
      <c r="G6" s="62">
        <f>IF(ISERROR(ROUND(POWER(1+H6,D6-F6)*(POWER(1+H6,F6)-1)/(POWER(1+H6,D6)-1),3)),0,ROUND(POWER(1+H6,D6-F6)*(POWER(1+H6,F6)-1)/(POWER(1+H6,D6)-1),3))</f>
        <v>0.94899999999999995</v>
      </c>
      <c r="H6" s="691">
        <f>基准地价修正!G24</f>
        <v>0.05</v>
      </c>
      <c r="I6" s="691">
        <v>5.5E-2</v>
      </c>
      <c r="J6" s="63">
        <v>0.06</v>
      </c>
      <c r="K6" s="970">
        <f>SUMIF('数据-汇总表'!C$19:C$33,A6,'数据-汇总表'!E$19:E$33)</f>
        <v>38.18</v>
      </c>
      <c r="L6" s="692">
        <v>3000</v>
      </c>
      <c r="M6" s="64">
        <f t="shared" ref="M6:M14" si="0">ROUND(K6*L6/10000,0)</f>
        <v>11</v>
      </c>
      <c r="N6" s="690">
        <v>0.6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3800</v>
      </c>
      <c r="V6" s="67">
        <v>2.5000000000000001E-2</v>
      </c>
      <c r="W6" s="67">
        <v>0.05</v>
      </c>
      <c r="X6" s="979"/>
      <c r="Y6" s="68">
        <f>N6</f>
        <v>0.6</v>
      </c>
      <c r="Z6" s="69"/>
      <c r="AA6" s="63"/>
      <c r="AB6" s="63"/>
      <c r="AC6" s="979"/>
      <c r="AD6" s="70"/>
      <c r="AE6" s="980">
        <f ca="1">IF(AN6="",0,SUMIF(INDIRECT("'"&amp;AN6&amp;"'"&amp;"!E:E"),$AE$5,INDIRECT("'"&amp;AN6&amp;"'"&amp;"!F:F")))</f>
        <v>51.32</v>
      </c>
      <c r="AF6" s="74"/>
      <c r="AG6" s="130">
        <f>IF(AF6="",0,AE6-AF6)</f>
        <v>0</v>
      </c>
      <c r="AH6" s="71">
        <v>1</v>
      </c>
      <c r="AI6" s="73">
        <v>12</v>
      </c>
      <c r="AJ6" s="74"/>
      <c r="AK6" s="75">
        <v>2E-3</v>
      </c>
      <c r="AL6" s="76">
        <v>1E-3</v>
      </c>
      <c r="AM6" s="77">
        <v>0.01</v>
      </c>
      <c r="AN6" s="1589" t="s">
        <v>3408</v>
      </c>
      <c r="AO6" s="50">
        <f ca="1">SUMIF(INDIRECT("'"&amp;AN6&amp;"'"&amp;"!A:A"),"总价",INDIRECT("'"&amp;AN6&amp;"'"&amp;"!B:B"))</f>
        <v>106.694</v>
      </c>
      <c r="AP6" s="1590">
        <f>IF(C6="住宅",K6*L6,0)</f>
        <v>114540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0.94899999999999995</v>
      </c>
      <c r="H16" s="84">
        <f>ROUND(SUMPRODUCT(H6:H13,K6:K13)/SUMPRODUCT((H6:H13&gt;0)*(K6:K13)),3)</f>
        <v>0.05</v>
      </c>
      <c r="I16" s="85"/>
      <c r="J16" s="85"/>
      <c r="K16" s="86">
        <f>SUM(K6:K15)</f>
        <v>38.18</v>
      </c>
      <c r="L16" s="87">
        <f>ROUND(M16*10000/SUM(K6:K14),0)</f>
        <v>2881</v>
      </c>
      <c r="M16" s="87">
        <f>SUM(M6:M14)</f>
        <v>11</v>
      </c>
      <c r="N16" s="88">
        <f>ROUND(SUMPRODUCT(M6:M14,N6:N14)/M16,3)</f>
        <v>0.6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v>1986</v>
      </c>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(元)'!C9</f>
        <v>6109</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3384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2" t="s">
        <v>2286</v>
      </c>
      <c r="B1" s="3233"/>
      <c r="C1" s="3233"/>
      <c r="D1" s="3233"/>
      <c r="E1" s="3233"/>
      <c r="F1" s="3233"/>
      <c r="G1" s="32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9" sqref="N2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38.18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45546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147.53129999999999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38.18</v>
      </c>
      <c r="C14" s="2306"/>
      <c r="D14" s="2306">
        <f ca="1">ROUND(B14*E14/10000,4)</f>
        <v>147.53129999999999</v>
      </c>
      <c r="E14" s="2306">
        <f ca="1">结果表!G20</f>
        <v>38641</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42" sqref="H4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8" t="str">
        <f>项目基本情况!S2</f>
        <v>北京市房地产</v>
      </c>
      <c r="B2" s="3269"/>
      <c r="C2" s="3269"/>
      <c r="D2" s="3269"/>
      <c r="E2" s="3269"/>
      <c r="F2" s="3269"/>
      <c r="G2" s="3269"/>
      <c r="H2" s="3269"/>
      <c r="I2" s="3270"/>
    </row>
    <row r="3" spans="1:12" ht="12.75">
      <c r="A3" s="3272" t="s">
        <v>1264</v>
      </c>
      <c r="B3" s="3273"/>
      <c r="C3" s="3273"/>
      <c r="D3" s="3273"/>
      <c r="E3" s="3273"/>
      <c r="F3" s="3273"/>
      <c r="G3" s="3273"/>
      <c r="H3" s="3273"/>
      <c r="I3" s="3273"/>
    </row>
    <row r="4" spans="1:12" ht="14.25">
      <c r="A4" s="1624" t="s">
        <v>1265</v>
      </c>
      <c r="B4" s="1625" t="s">
        <v>1266</v>
      </c>
      <c r="C4" s="1626" t="s">
        <v>3568</v>
      </c>
      <c r="D4" s="1626" t="s">
        <v>3569</v>
      </c>
      <c r="E4" s="3274" t="s">
        <v>1267</v>
      </c>
      <c r="F4" s="3275"/>
      <c r="G4" s="3275"/>
      <c r="H4" s="3275"/>
      <c r="I4" s="327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48" t="s">
        <v>1268</v>
      </c>
      <c r="B5" s="3235">
        <v>25</v>
      </c>
      <c r="C5" s="3251"/>
      <c r="D5" s="3271"/>
      <c r="E5" s="123" t="s">
        <v>1269</v>
      </c>
      <c r="F5" s="1627"/>
      <c r="G5" s="1627"/>
      <c r="H5" s="1627"/>
      <c r="I5" s="1281"/>
    </row>
    <row r="6" spans="1:12" ht="12.75">
      <c r="A6" s="3248"/>
      <c r="B6" s="3235"/>
      <c r="C6" s="3252"/>
      <c r="D6" s="3271"/>
      <c r="E6" s="123" t="s">
        <v>1270</v>
      </c>
      <c r="F6" s="1627"/>
      <c r="G6" s="1627"/>
      <c r="H6" s="1627"/>
      <c r="I6" s="1281"/>
    </row>
    <row r="7" spans="1:12" ht="12.75">
      <c r="A7" s="3248"/>
      <c r="B7" s="3235"/>
      <c r="C7" s="3253"/>
      <c r="D7" s="3271"/>
      <c r="E7" s="123" t="s">
        <v>1271</v>
      </c>
      <c r="F7" s="1627"/>
      <c r="G7" s="1627"/>
      <c r="H7" s="1627"/>
      <c r="I7" s="1281"/>
    </row>
    <row r="8" spans="1:12" ht="12.75">
      <c r="A8" s="3248" t="s">
        <v>1272</v>
      </c>
      <c r="B8" s="3235">
        <v>15</v>
      </c>
      <c r="C8" s="3251"/>
      <c r="D8" s="3271"/>
      <c r="E8" s="123" t="s">
        <v>1273</v>
      </c>
      <c r="F8" s="1627"/>
      <c r="G8" s="1627"/>
      <c r="H8" s="1627"/>
      <c r="I8" s="1281"/>
    </row>
    <row r="9" spans="1:12" ht="12.75">
      <c r="A9" s="3248"/>
      <c r="B9" s="3235"/>
      <c r="C9" s="3253"/>
      <c r="D9" s="3271"/>
      <c r="E9" s="123" t="s">
        <v>1274</v>
      </c>
      <c r="F9" s="1627"/>
      <c r="G9" s="1627"/>
      <c r="H9" s="1627"/>
      <c r="I9" s="1281"/>
    </row>
    <row r="10" spans="1:12" ht="12.75">
      <c r="A10" s="3248" t="s">
        <v>1275</v>
      </c>
      <c r="B10" s="3235">
        <v>15</v>
      </c>
      <c r="C10" s="3251"/>
      <c r="D10" s="3271"/>
      <c r="E10" s="123" t="s">
        <v>1276</v>
      </c>
      <c r="F10" s="1627"/>
      <c r="G10" s="1627"/>
      <c r="H10" s="1627"/>
      <c r="I10" s="1281"/>
    </row>
    <row r="11" spans="1:12" ht="12.75">
      <c r="A11" s="3248"/>
      <c r="B11" s="3235"/>
      <c r="C11" s="3253"/>
      <c r="D11" s="3271"/>
      <c r="E11" s="123" t="s">
        <v>1277</v>
      </c>
      <c r="F11" s="1627"/>
      <c r="G11" s="1627"/>
      <c r="H11" s="1627"/>
      <c r="I11" s="1281"/>
    </row>
    <row r="12" spans="1:12" ht="12.75">
      <c r="A12" s="3248" t="s">
        <v>1278</v>
      </c>
      <c r="B12" s="3235">
        <v>15</v>
      </c>
      <c r="C12" s="3251"/>
      <c r="D12" s="3271"/>
      <c r="E12" s="123" t="s">
        <v>1279</v>
      </c>
      <c r="F12" s="1627"/>
      <c r="G12" s="1627"/>
      <c r="H12" s="1627"/>
      <c r="I12" s="1281"/>
    </row>
    <row r="13" spans="1:12" ht="12.75">
      <c r="A13" s="3248"/>
      <c r="B13" s="3235"/>
      <c r="C13" s="3253"/>
      <c r="D13" s="3271"/>
      <c r="E13" s="123" t="s">
        <v>1280</v>
      </c>
      <c r="F13" s="1627"/>
      <c r="G13" s="1627"/>
      <c r="H13" s="1627"/>
      <c r="I13" s="1281"/>
    </row>
    <row r="14" spans="1:12" ht="12.75">
      <c r="A14" s="3248" t="s">
        <v>1281</v>
      </c>
      <c r="B14" s="3235">
        <v>30</v>
      </c>
      <c r="C14" s="3251">
        <v>5</v>
      </c>
      <c r="D14" s="3271">
        <f>10-C14</f>
        <v>5</v>
      </c>
      <c r="E14" s="123" t="s">
        <v>1282</v>
      </c>
      <c r="F14" s="1627"/>
      <c r="G14" s="1627"/>
      <c r="H14" s="1627"/>
      <c r="I14" s="1281"/>
    </row>
    <row r="15" spans="1:12" ht="12.75">
      <c r="A15" s="3248"/>
      <c r="B15" s="3235"/>
      <c r="C15" s="3252"/>
      <c r="D15" s="3271"/>
      <c r="E15" s="123" t="s">
        <v>1283</v>
      </c>
      <c r="F15" s="1627"/>
      <c r="G15" s="1627"/>
      <c r="H15" s="1627"/>
      <c r="I15" s="1281"/>
    </row>
    <row r="16" spans="1:12" ht="12.75">
      <c r="A16" s="3248"/>
      <c r="B16" s="3235"/>
      <c r="C16" s="3253"/>
      <c r="D16" s="327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8" t="s">
        <v>2131</v>
      </c>
      <c r="F18" s="3259"/>
      <c r="G18" s="3259"/>
      <c r="H18" s="3259"/>
      <c r="I18" s="3259"/>
      <c r="K18" s="294" t="s">
        <v>1289</v>
      </c>
      <c r="L18" s="294">
        <f>IF(C1="",'数据-汇总表'!E3,SUMIF(项目类型,C1,'数据-汇总表'!E17:E26)+SUMIF(项目类型,C1,'数据-汇总表'!I17:I26))</f>
        <v>38.18</v>
      </c>
      <c r="M18" s="294">
        <f>IF(C1="",'数据-汇总表'!E3,SUMIF(项目类型,C1,'数据-汇总表'!E17:E26))</f>
        <v>38.18</v>
      </c>
    </row>
    <row r="19" spans="1:36" ht="15">
      <c r="A19" s="1630" t="s">
        <v>1290</v>
      </c>
      <c r="B19" s="1631" t="s">
        <v>1291</v>
      </c>
      <c r="C19" s="126">
        <f ca="1">SUMIF(INDIRECT("'"&amp;C4&amp;"'"&amp;"!A:A"),结果表!B19,INDIRECT("'"&amp;C4&amp;"'"&amp;"!B:B"))</f>
        <v>153.73859999999999</v>
      </c>
      <c r="D19" s="127">
        <f ca="1">SUMIF(INDIRECT("'"&amp;D4&amp;"'"&amp;"!A:A"),结果表!B19,INDIRECT("'"&amp;D4&amp;"'"&amp;"!B:B"))</f>
        <v>141.31950000000001</v>
      </c>
      <c r="E19" s="1630" t="s">
        <v>1292</v>
      </c>
      <c r="F19" s="1631" t="s">
        <v>1291</v>
      </c>
      <c r="G19" s="128">
        <f ca="1">ROUND(C19*$C$18+D19*$D$18,0)</f>
        <v>148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40267</v>
      </c>
      <c r="D20" s="130">
        <f ca="1">SUMIF(INDIRECT("'"&amp;D4&amp;"'"&amp;"!A:A"),结果表!B20,INDIRECT("'"&amp;D4&amp;"'"&amp;"!B:B"))</f>
        <v>37014</v>
      </c>
      <c r="E20" s="1633"/>
      <c r="F20" s="43" t="s">
        <v>1295</v>
      </c>
      <c r="G20" s="131">
        <f ca="1">ROUND(C20*$C$18+D20*$D$18,0)</f>
        <v>38641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8.787959198836659E-2</v>
      </c>
      <c r="E22" s="121"/>
      <c r="F22" s="121"/>
      <c r="G22" s="121"/>
      <c r="H22" s="121"/>
      <c r="I22" s="121"/>
    </row>
    <row r="23" spans="1:36" ht="13.5" thickBot="1">
      <c r="A23" s="646"/>
      <c r="B23" s="646"/>
      <c r="C23" s="646"/>
      <c r="D23" s="646"/>
      <c r="E23" s="121"/>
      <c r="F23" s="121"/>
      <c r="G23" s="121"/>
      <c r="H23" s="121"/>
      <c r="I23" s="121"/>
    </row>
    <row r="24" spans="1:36" ht="14.25">
      <c r="A24" s="3242" t="s">
        <v>1299</v>
      </c>
      <c r="B24" s="1631" t="s">
        <v>1291</v>
      </c>
      <c r="C24" s="128">
        <f>IF(B30=0,0,D30)</f>
        <v>0</v>
      </c>
      <c r="D24" s="1637"/>
      <c r="E24" s="121"/>
      <c r="F24" s="121"/>
      <c r="G24" s="121"/>
      <c r="H24" s="121"/>
      <c r="I24" s="121"/>
    </row>
    <row r="25" spans="1:36" ht="14.25">
      <c r="A25" s="324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38641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2" t="s">
        <v>1312</v>
      </c>
      <c r="B36" s="1652" t="s">
        <v>1313</v>
      </c>
      <c r="C36" s="137"/>
      <c r="D36" s="1653"/>
      <c r="E36" s="1567"/>
      <c r="F36" s="1654"/>
      <c r="G36" s="121"/>
      <c r="H36" s="121"/>
      <c r="I36" s="121"/>
    </row>
    <row r="37" spans="1:15" ht="15.75" thickBot="1">
      <c r="A37" s="3263"/>
      <c r="B37" s="1555" t="s">
        <v>1314</v>
      </c>
      <c r="C37" s="139"/>
      <c r="D37" s="1071"/>
      <c r="E37" s="1071"/>
      <c r="F37" s="1654"/>
      <c r="G37" s="121"/>
      <c r="H37" s="121"/>
      <c r="I37" s="121"/>
    </row>
    <row r="38" spans="1:15" ht="15.75" thickBot="1">
      <c r="A38" s="326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9" t="s">
        <v>1326</v>
      </c>
      <c r="B45" s="3240"/>
      <c r="C45" s="3241"/>
      <c r="D45" s="147" t="e">
        <f ca="1">ROUND(H101*F45,0)</f>
        <v>#REF!</v>
      </c>
      <c r="E45" s="148" t="s">
        <v>1327</v>
      </c>
      <c r="F45" s="149">
        <v>1</v>
      </c>
      <c r="G45" s="150" t="s">
        <v>1328</v>
      </c>
      <c r="H45" s="121"/>
      <c r="I45" s="121"/>
      <c r="J45" s="3317" t="s">
        <v>1329</v>
      </c>
      <c r="K45" s="3317"/>
      <c r="L45" s="3317"/>
      <c r="M45" s="3317"/>
      <c r="N45" s="3317"/>
      <c r="O45" s="3317"/>
    </row>
    <row r="46" spans="1:15" ht="14.25" customHeight="1">
      <c r="A46" s="3236" t="s">
        <v>1330</v>
      </c>
      <c r="B46" s="3237"/>
      <c r="C46" s="3237"/>
      <c r="D46" s="3237"/>
      <c r="E46" s="3237"/>
      <c r="F46" s="3237"/>
      <c r="G46" s="3238"/>
      <c r="H46" s="1668"/>
      <c r="I46" s="151"/>
      <c r="J46" s="2310">
        <v>1</v>
      </c>
      <c r="K46" s="3298" t="s">
        <v>1331</v>
      </c>
      <c r="L46" s="3298"/>
      <c r="M46" s="3318"/>
      <c r="N46" s="3318"/>
      <c r="O46" s="3318"/>
    </row>
    <row r="47" spans="1:15" ht="12" customHeight="1">
      <c r="A47" s="152" t="s">
        <v>1332</v>
      </c>
      <c r="B47" s="153"/>
      <c r="C47" s="154"/>
      <c r="D47" s="1024" t="s">
        <v>1333</v>
      </c>
      <c r="E47" s="294" t="s">
        <v>1334</v>
      </c>
      <c r="F47" s="155" t="s">
        <v>1335</v>
      </c>
      <c r="G47" s="2333" t="s">
        <v>1336</v>
      </c>
      <c r="H47" s="2334"/>
      <c r="I47" s="151"/>
      <c r="J47" s="2310">
        <v>2</v>
      </c>
      <c r="K47" s="3298" t="s">
        <v>1337</v>
      </c>
      <c r="L47" s="3298"/>
      <c r="M47" s="3319">
        <f>'数据-取费表'!B2</f>
        <v>45546</v>
      </c>
      <c r="N47" s="3319"/>
      <c r="O47" s="3319"/>
    </row>
    <row r="48" spans="1:15" ht="25.5">
      <c r="A48" s="3267" t="s">
        <v>1338</v>
      </c>
      <c r="B48" s="3250"/>
      <c r="C48" s="325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8" t="s">
        <v>1340</v>
      </c>
      <c r="L48" s="3298"/>
      <c r="M48" s="3320" t="e">
        <f ca="1">H101</f>
        <v>#REF!</v>
      </c>
      <c r="N48" s="3320"/>
      <c r="O48" s="3320"/>
    </row>
    <row r="49" spans="1:35" ht="25.5" customHeight="1">
      <c r="A49" s="2152" t="s">
        <v>1341</v>
      </c>
      <c r="B49" s="3234" t="s">
        <v>1342</v>
      </c>
      <c r="C49" s="3234"/>
      <c r="D49" s="1478">
        <v>0</v>
      </c>
      <c r="E49" s="316" t="s">
        <v>1343</v>
      </c>
      <c r="F49" s="2233" t="s">
        <v>28</v>
      </c>
      <c r="G49" s="3304"/>
      <c r="H49" s="2134" t="s">
        <v>2134</v>
      </c>
      <c r="I49" s="2135"/>
      <c r="J49" s="2310">
        <v>4</v>
      </c>
      <c r="K49" s="3298" t="str">
        <f>IF(项目基本情况!E8="房地产抵押价值","房地产抵押价值","抵押担保权已注销时的房地产抵押价值")</f>
        <v>抵押担保权已注销时的房地产抵押价值</v>
      </c>
      <c r="L49" s="3298"/>
      <c r="M49" s="3320" t="str">
        <f>IF(项目基本情况!E8="房地产抵押价值",H107,H109)</f>
        <v>——</v>
      </c>
      <c r="N49" s="3320"/>
      <c r="O49" s="3320"/>
    </row>
    <row r="50" spans="1:35" ht="25.5" customHeight="1">
      <c r="A50" s="2338"/>
      <c r="B50" s="3234" t="s">
        <v>1344</v>
      </c>
      <c r="C50" s="3234"/>
      <c r="D50" s="2189"/>
      <c r="E50" s="323"/>
      <c r="F50" s="2233"/>
      <c r="G50" s="3305"/>
      <c r="H50" s="2136" t="s">
        <v>2135</v>
      </c>
      <c r="I50" s="2135"/>
      <c r="J50" s="3317" t="s">
        <v>1345</v>
      </c>
      <c r="K50" s="3317"/>
      <c r="L50" s="3317"/>
      <c r="M50" s="3317"/>
      <c r="N50" s="3317"/>
      <c r="O50" s="3317"/>
    </row>
    <row r="51" spans="1:35" ht="20.45" customHeight="1">
      <c r="A51" s="2339"/>
      <c r="B51" s="3234" t="s">
        <v>1346</v>
      </c>
      <c r="C51" s="3234"/>
      <c r="D51" s="1024"/>
      <c r="E51" s="319"/>
      <c r="F51" s="2233"/>
      <c r="G51" s="3306"/>
      <c r="H51" s="2136" t="s">
        <v>2136</v>
      </c>
      <c r="I51" s="2135"/>
      <c r="J51" s="2311" t="s">
        <v>1347</v>
      </c>
      <c r="K51" s="3298" t="s">
        <v>1348</v>
      </c>
      <c r="L51" s="3298"/>
      <c r="M51" s="2311" t="s">
        <v>1349</v>
      </c>
      <c r="N51" s="2311" t="s">
        <v>1350</v>
      </c>
      <c r="O51" s="2311" t="s">
        <v>1351</v>
      </c>
    </row>
    <row r="52" spans="1:35" ht="24" customHeight="1">
      <c r="A52" s="2153" t="s">
        <v>1352</v>
      </c>
      <c r="B52" s="3234" t="s">
        <v>1353</v>
      </c>
      <c r="C52" s="3234"/>
      <c r="D52" s="1024" t="e">
        <f ca="1">ROUND(D45*'数据-取费表'!B41/(1+'数据-取费表'!C42),0)</f>
        <v>#REF!</v>
      </c>
      <c r="E52" s="1256" t="s">
        <v>1354</v>
      </c>
      <c r="F52" s="2340">
        <f>'数据-取费表'!B41</f>
        <v>5.6000000000000001E-2</v>
      </c>
      <c r="G52" s="2341"/>
      <c r="H52" s="2331"/>
      <c r="I52" s="1669"/>
      <c r="J52" s="2310">
        <v>1</v>
      </c>
      <c r="K52" s="3299" t="s">
        <v>1355</v>
      </c>
      <c r="L52" s="3299"/>
      <c r="M52" s="2312" t="b">
        <f>D48</f>
        <v>0</v>
      </c>
      <c r="N52" s="2310" t="str">
        <f>E48</f>
        <v>销售额×税（费）率</v>
      </c>
      <c r="O52" s="2313">
        <f>F48</f>
        <v>5.6000000000000001E-2</v>
      </c>
    </row>
    <row r="53" spans="1:35" ht="12" customHeight="1">
      <c r="A53" s="2153" t="s">
        <v>1356</v>
      </c>
      <c r="B53" s="3260" t="s">
        <v>2291</v>
      </c>
      <c r="C53" s="3261"/>
      <c r="D53" s="1024" t="e">
        <f ca="1">ROUND(D45*'数据-取费表'!B41/(1+'数据-取费表'!C42),0)</f>
        <v>#REF!</v>
      </c>
      <c r="E53" s="1256" t="s">
        <v>1354</v>
      </c>
      <c r="F53" s="2340">
        <f>'数据-取费表'!B41</f>
        <v>5.6000000000000001E-2</v>
      </c>
      <c r="G53" s="2341"/>
      <c r="H53" s="2331"/>
      <c r="I53" s="1669"/>
      <c r="J53" s="2310">
        <v>2</v>
      </c>
      <c r="K53" s="3299" t="s">
        <v>1357</v>
      </c>
      <c r="L53" s="3299"/>
      <c r="M53" s="2312" t="e">
        <f t="shared" ref="M53:O54" ca="1" si="0">D55</f>
        <v>#REF!</v>
      </c>
      <c r="N53" s="2310" t="str">
        <f t="shared" si="0"/>
        <v>销售额×税（费）率</v>
      </c>
      <c r="O53" s="2313" t="str">
        <f t="shared" si="0"/>
        <v>免征</v>
      </c>
    </row>
    <row r="54" spans="1:35" ht="12" customHeight="1">
      <c r="A54" s="2153" t="s">
        <v>1358</v>
      </c>
      <c r="B54" s="3260" t="s">
        <v>2292</v>
      </c>
      <c r="C54" s="3261"/>
      <c r="D54" s="1024" t="e">
        <f ca="1">C68</f>
        <v>#REF!</v>
      </c>
      <c r="E54" s="319" t="s">
        <v>1359</v>
      </c>
      <c r="F54" s="2340">
        <f>'数据-取费表'!B41</f>
        <v>5.6000000000000001E-2</v>
      </c>
      <c r="G54" s="2341"/>
      <c r="H54" s="2342"/>
      <c r="I54" s="1669"/>
      <c r="J54" s="2310">
        <v>3</v>
      </c>
      <c r="K54" s="3299" t="s">
        <v>1360</v>
      </c>
      <c r="L54" s="3299"/>
      <c r="M54" s="2312" t="e">
        <f t="shared" ca="1" si="0"/>
        <v>#REF!</v>
      </c>
      <c r="N54" s="2310" t="str">
        <f t="shared" si="0"/>
        <v>增值额×税（费）率</v>
      </c>
      <c r="O54" s="2314" t="str">
        <f t="shared" si="0"/>
        <v>免征</v>
      </c>
    </row>
    <row r="55" spans="1:35" ht="24" customHeight="1">
      <c r="A55" s="3249" t="s">
        <v>1361</v>
      </c>
      <c r="B55" s="3250"/>
      <c r="C55" s="3250"/>
      <c r="D55" s="12" t="e">
        <f ca="1">IF(H55="个人住宅",0,ROUND(D45*I55,0))</f>
        <v>#REF!</v>
      </c>
      <c r="E55" s="1256" t="s">
        <v>1362</v>
      </c>
      <c r="F55" s="2340" t="str">
        <f>IF(H55="正常",I55,"免征")</f>
        <v>免征</v>
      </c>
      <c r="G55" s="2341"/>
      <c r="H55" s="2337"/>
      <c r="I55" s="157">
        <f>'数据-取费表'!B49</f>
        <v>5.0000000000000001E-4</v>
      </c>
      <c r="J55" s="2310">
        <f>IF(H59="非个人房产","",4)</f>
        <v>4</v>
      </c>
      <c r="K55" s="3299" t="str">
        <f>IF(H59="非个人房产","——","个人所得税")</f>
        <v>个人所得税</v>
      </c>
      <c r="L55" s="3299"/>
      <c r="M55" s="2315" t="e">
        <f ca="1">D59</f>
        <v>#REF!</v>
      </c>
      <c r="N55" s="1883" t="str">
        <f>E59</f>
        <v>差额计税</v>
      </c>
      <c r="O55" s="2316">
        <f>F59</f>
        <v>0.01</v>
      </c>
    </row>
    <row r="56" spans="1:35" ht="24.75">
      <c r="A56" s="3249" t="s">
        <v>1363</v>
      </c>
      <c r="B56" s="3250"/>
      <c r="C56" s="3250"/>
      <c r="D56" s="12" t="e">
        <f ca="1">IF(H56="个人住宅",D57,D58)</f>
        <v>#REF!</v>
      </c>
      <c r="E56" s="1256" t="s">
        <v>1364</v>
      </c>
      <c r="F56" s="2340" t="str">
        <f>IF(H56="正常",F58,"免征")</f>
        <v>免征</v>
      </c>
      <c r="G56" s="2343" t="s">
        <v>1365</v>
      </c>
      <c r="H56" s="2344"/>
      <c r="I56" s="1670"/>
      <c r="J56" s="2310" t="str">
        <f>IF(项目基本情况!K6="上海银行",IF(J55="",4,J55+1),"")</f>
        <v/>
      </c>
      <c r="K56" s="3322" t="str">
        <f>IF(项目基本情况!K6="上海银行","其他处置费用","")</f>
        <v/>
      </c>
      <c r="L56" s="3323"/>
      <c r="M56" s="2312" t="str">
        <f>IF(项目基本情况!K6="上海银行",M69,"")</f>
        <v/>
      </c>
      <c r="N56" s="3322" t="str">
        <f>IF(项目基本情况!K6="上海银行","包含处置中涉及的律师、诉讼、拍卖、评估等费用","")</f>
        <v/>
      </c>
      <c r="O56" s="3325"/>
    </row>
    <row r="57" spans="1:35" ht="12.75">
      <c r="A57" s="2153" t="s">
        <v>1341</v>
      </c>
      <c r="B57" s="3260" t="s">
        <v>1366</v>
      </c>
      <c r="C57" s="3261"/>
      <c r="D57" s="1478">
        <v>0</v>
      </c>
      <c r="E57" s="316" t="s">
        <v>1343</v>
      </c>
      <c r="F57" s="294"/>
      <c r="G57" s="2341"/>
      <c r="H57" s="2345"/>
      <c r="I57" s="1670"/>
      <c r="J57" s="3299">
        <f>IF(AND(J55="",J56=""),4,IF(项目基本情况!K6="上海银行",结果表!J56+1,结果表!J55+1))</f>
        <v>5</v>
      </c>
      <c r="K57" s="3299" t="s">
        <v>1367</v>
      </c>
      <c r="L57" s="2317" t="s">
        <v>1368</v>
      </c>
      <c r="M57" s="2318"/>
      <c r="N57" s="2319">
        <f ca="1">SUMIF(M52:M56,"&lt;9e307")</f>
        <v>0</v>
      </c>
      <c r="O57" s="2320"/>
      <c r="P57" s="2465" t="e">
        <f ca="1">N57/M49</f>
        <v>#VALUE!</v>
      </c>
    </row>
    <row r="58" spans="1:35" ht="24.75">
      <c r="A58" s="2153" t="s">
        <v>1352</v>
      </c>
      <c r="B58" s="3260" t="s">
        <v>1369</v>
      </c>
      <c r="C58" s="3234"/>
      <c r="D58" s="12" t="e">
        <f ca="1">IF(H58="转让取得",C81,C97)</f>
        <v>#REF!</v>
      </c>
      <c r="E58" s="1256" t="s">
        <v>1364</v>
      </c>
      <c r="F58" s="294" t="s">
        <v>28</v>
      </c>
      <c r="G58" s="2341"/>
      <c r="H58" s="2344"/>
      <c r="I58" s="1670"/>
      <c r="J58" s="3299"/>
      <c r="K58" s="3299"/>
      <c r="L58" s="2317" t="s">
        <v>1370</v>
      </c>
      <c r="M58" s="2321"/>
      <c r="N58" s="2322" t="str">
        <f ca="1">NUMBERSTRING(INT(N57*10000),2)&amp;"元整"</f>
        <v>零元整</v>
      </c>
      <c r="O58" s="2323"/>
    </row>
    <row r="59" spans="1:35" ht="24.75" thickBot="1">
      <c r="A59" s="3302" t="s">
        <v>1371</v>
      </c>
      <c r="B59" s="3303"/>
      <c r="C59" s="330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0">
        <f>J57+1</f>
        <v>6</v>
      </c>
      <c r="K59" s="3299" t="s">
        <v>1372</v>
      </c>
      <c r="L59" s="2310" t="s">
        <v>1368</v>
      </c>
      <c r="M59" s="2324"/>
      <c r="N59" s="2325" t="e">
        <f ca="1">M49-N57</f>
        <v>#VALUE!</v>
      </c>
      <c r="O59" s="2326"/>
    </row>
    <row r="60" spans="1:35" ht="12" customHeight="1">
      <c r="A60" s="1671"/>
      <c r="B60" s="646"/>
      <c r="C60" s="646"/>
      <c r="D60" s="646"/>
      <c r="E60" s="1466"/>
      <c r="F60" s="1670"/>
      <c r="G60" s="1670"/>
      <c r="H60" s="151"/>
      <c r="I60" s="121"/>
      <c r="J60" s="3301"/>
      <c r="K60" s="3299"/>
      <c r="L60" s="2317" t="s">
        <v>1370</v>
      </c>
      <c r="M60" s="2321"/>
      <c r="N60" s="2322" t="e">
        <f ca="1">NUMBERSTRING(INT(N59*10000),2)&amp;"元整"</f>
        <v>#VALUE!</v>
      </c>
      <c r="O60" s="2323"/>
    </row>
    <row r="61" spans="1:35" ht="13.5" thickBot="1">
      <c r="A61" s="3247" t="s">
        <v>1373</v>
      </c>
      <c r="B61" s="3247"/>
      <c r="C61" s="3247"/>
      <c r="D61" s="3247"/>
      <c r="E61" s="3247"/>
      <c r="F61" s="1670"/>
      <c r="G61" s="1670"/>
      <c r="H61" s="151"/>
      <c r="I61" s="121"/>
      <c r="J61" s="2310">
        <f>J59+1</f>
        <v>7</v>
      </c>
      <c r="K61" s="3299" t="s">
        <v>1374</v>
      </c>
      <c r="L61" s="3299"/>
      <c r="M61" s="2327"/>
      <c r="N61" s="2328" t="e">
        <f ca="1">ROUND(N59*10000/'数据-汇总表'!E3,0)</f>
        <v>#VALUE!</v>
      </c>
      <c r="O61" s="2329"/>
    </row>
    <row r="62" spans="1:35" ht="12.75">
      <c r="A62" s="3265" t="s">
        <v>1375</v>
      </c>
      <c r="B62" s="326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2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2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2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4"/>
      <c r="K69" s="1245" t="s">
        <v>1393</v>
      </c>
      <c r="L69" s="1245"/>
      <c r="M69" s="294" t="e">
        <f>ROUND(SUM(M63:M68),0)</f>
        <v>#VALUE!</v>
      </c>
      <c r="N69" s="2332" t="e">
        <f>M69/M49</f>
        <v>#VALUE!</v>
      </c>
      <c r="Z69" s="1623"/>
      <c r="AI69" s="1561"/>
    </row>
    <row r="70" spans="1:35" s="642" customFormat="1" ht="15" thickBot="1">
      <c r="A70" s="3286" t="s">
        <v>1394</v>
      </c>
      <c r="B70" s="3287"/>
      <c r="C70" s="3287"/>
      <c r="D70" s="3287"/>
      <c r="E70" s="3287"/>
      <c r="F70" s="3287"/>
      <c r="G70" s="3287"/>
      <c r="H70" s="328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5" t="s">
        <v>1375</v>
      </c>
      <c r="B71" s="326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0" t="s">
        <v>1402</v>
      </c>
      <c r="F76" s="3234"/>
      <c r="G76" s="3234"/>
      <c r="H76" s="328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44" t="s">
        <v>1406</v>
      </c>
      <c r="F78" s="3245"/>
      <c r="G78" s="3245"/>
      <c r="H78" s="325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6" t="s">
        <v>1410</v>
      </c>
      <c r="B83" s="3287"/>
      <c r="C83" s="3287"/>
      <c r="D83" s="3287"/>
      <c r="E83" s="3287"/>
      <c r="F83" s="3287"/>
      <c r="G83" s="3287"/>
      <c r="H83" s="328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5" t="s">
        <v>1375</v>
      </c>
      <c r="B84" s="326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6" t="s">
        <v>2129</v>
      </c>
      <c r="H90" s="332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4" t="s">
        <v>1419</v>
      </c>
      <c r="F91" s="3245"/>
      <c r="G91" s="32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4" t="s">
        <v>1422</v>
      </c>
      <c r="F92" s="3245"/>
      <c r="G92" s="3245"/>
      <c r="H92" s="325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44" t="s">
        <v>1406</v>
      </c>
      <c r="F93" s="3245"/>
      <c r="G93" s="3245"/>
      <c r="H93" s="325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5" t="s">
        <v>1426</v>
      </c>
      <c r="F94" s="3256"/>
      <c r="G94" s="3256"/>
      <c r="H94" s="32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8" t="s">
        <v>1428</v>
      </c>
      <c r="B100" s="3229"/>
      <c r="C100" s="3229"/>
      <c r="D100" s="3246"/>
      <c r="E100" s="3229" t="s">
        <v>1429</v>
      </c>
      <c r="F100" s="3229"/>
      <c r="G100" s="3229"/>
      <c r="H100" s="3246"/>
      <c r="I100" s="121"/>
    </row>
    <row r="101" spans="1:35" ht="18.75" customHeight="1">
      <c r="A101" s="3307" t="s">
        <v>1430</v>
      </c>
      <c r="B101" s="3308"/>
      <c r="C101" s="2371" t="str">
        <f>C4</f>
        <v>成本法 (元)</v>
      </c>
      <c r="D101" s="2372" t="str">
        <f>D4</f>
        <v>比较法-住宅</v>
      </c>
      <c r="E101" s="3321" t="s">
        <v>1431</v>
      </c>
      <c r="F101" s="3278"/>
      <c r="G101" s="1687" t="s">
        <v>1432</v>
      </c>
      <c r="H101" s="2381" t="e">
        <f ca="1">H118</f>
        <v>#REF!</v>
      </c>
      <c r="I101" s="121"/>
    </row>
    <row r="102" spans="1:35" ht="18.75" customHeight="1">
      <c r="A102" s="3280" t="s">
        <v>1433</v>
      </c>
      <c r="B102" s="2370" t="s">
        <v>1432</v>
      </c>
      <c r="C102" s="2371">
        <f ca="1">IF(D32="楼面单价",ROUND(C19,0),C19)</f>
        <v>153.73859999999999</v>
      </c>
      <c r="D102" s="2372">
        <f ca="1">IF(D32="楼面单价",ROUND(D19,0),D19)</f>
        <v>141.31950000000001</v>
      </c>
      <c r="E102" s="3321"/>
      <c r="F102" s="3278"/>
      <c r="G102" s="1687" t="s">
        <v>1434</v>
      </c>
      <c r="H102" s="2341" t="e">
        <f ca="1">I118</f>
        <v>#REF!</v>
      </c>
      <c r="I102" s="121"/>
    </row>
    <row r="103" spans="1:35" ht="42.75" customHeight="1">
      <c r="A103" s="3280"/>
      <c r="B103" s="2370" t="s">
        <v>1434</v>
      </c>
      <c r="C103" s="2373">
        <f ca="1">C20</f>
        <v>40267</v>
      </c>
      <c r="D103" s="2374">
        <f ca="1">D20</f>
        <v>37014</v>
      </c>
      <c r="E103" s="3315" t="s">
        <v>1435</v>
      </c>
      <c r="F103" s="3316"/>
      <c r="G103" s="1688" t="s">
        <v>1436</v>
      </c>
      <c r="H103" s="2381">
        <f>IF(D36="正常操作",H104+H105+H106,H105+H106)</f>
        <v>0</v>
      </c>
      <c r="I103" s="121"/>
    </row>
    <row r="104" spans="1:35" ht="18.75" customHeight="1">
      <c r="A104" s="328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7" t="str">
        <f>IF(项目基本情况!E8="已注销","——","3.房地产抵押价值")</f>
        <v>3.房地产抵押价值</v>
      </c>
      <c r="F107" s="3278"/>
      <c r="G107" s="1687" t="s">
        <v>1432</v>
      </c>
      <c r="H107" s="2381" t="e">
        <f ca="1">IF(E107="——","——",H101-H103)</f>
        <v>#REF!</v>
      </c>
      <c r="I107" s="121"/>
    </row>
    <row r="108" spans="1:35" ht="18.75" customHeight="1">
      <c r="A108" s="121"/>
      <c r="B108" s="121"/>
      <c r="C108" s="121"/>
      <c r="D108" s="121"/>
      <c r="E108" s="3277"/>
      <c r="F108" s="3278"/>
      <c r="G108" s="1687" t="s">
        <v>1434</v>
      </c>
      <c r="H108" s="2341">
        <f ca="1">IF(H107=H101,H102,ROUND(H107*10000/'数据-汇总表'!E3,0))</f>
        <v>0</v>
      </c>
      <c r="I108" s="121"/>
    </row>
    <row r="109" spans="1:35" ht="18.75" customHeight="1">
      <c r="A109" s="121"/>
      <c r="B109" s="121"/>
      <c r="C109" s="121"/>
      <c r="D109" s="121"/>
      <c r="E109" s="3277" t="str">
        <f>IF(项目基本情况!E8="已注销及未注销","4.抵押担保权已注销时的房地产抵押价值",IF(项目基本情况!E8="已注销","3.抵押担保权已注销时的房地产抵押价值","——"))</f>
        <v>——</v>
      </c>
      <c r="F109" s="3278"/>
      <c r="G109" s="1687" t="s">
        <v>1432</v>
      </c>
      <c r="H109" s="2384" t="str">
        <f>IF(E109="——","——",H101-H105-H106)</f>
        <v>——</v>
      </c>
      <c r="I109" s="121"/>
    </row>
    <row r="110" spans="1:35" ht="18.75" customHeight="1">
      <c r="A110" s="121"/>
      <c r="B110" s="121"/>
      <c r="C110" s="121"/>
      <c r="D110" s="121"/>
      <c r="E110" s="3277"/>
      <c r="F110" s="3278"/>
      <c r="G110" s="1687" t="s">
        <v>1434</v>
      </c>
      <c r="H110" s="2341"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79"/>
      <c r="G111" s="1687" t="s">
        <v>1432</v>
      </c>
      <c r="H111" s="2381" t="str">
        <f>IF(E111="——","——",N59)</f>
        <v>——</v>
      </c>
      <c r="I111" s="121"/>
    </row>
    <row r="112" spans="1:35" ht="18.75" customHeight="1" thickBot="1">
      <c r="A112" s="121"/>
      <c r="B112" s="121"/>
      <c r="C112" s="121"/>
      <c r="D112" s="121"/>
      <c r="E112" s="3310"/>
      <c r="F112" s="3311"/>
      <c r="G112" s="1690" t="s">
        <v>1434</v>
      </c>
      <c r="H112" s="2385" t="str">
        <f>IF(E111="——","——",N61)</f>
        <v>——</v>
      </c>
      <c r="I112" s="121"/>
    </row>
    <row r="113" spans="1:27" ht="18.75" customHeight="1">
      <c r="A113" s="121"/>
      <c r="B113" s="121"/>
      <c r="C113" s="121"/>
      <c r="D113" s="121"/>
      <c r="E113" s="3282" t="s">
        <v>1440</v>
      </c>
      <c r="F113" s="3282"/>
      <c r="G113" s="3282"/>
      <c r="H113" s="3282"/>
      <c r="I113" s="121"/>
    </row>
    <row r="114" spans="1:27" ht="3.75" customHeight="1">
      <c r="A114" s="646"/>
      <c r="B114" s="646"/>
      <c r="C114" s="646"/>
      <c r="D114" s="646"/>
      <c r="E114" s="1671"/>
      <c r="F114" s="1671"/>
      <c r="G114" s="1671"/>
      <c r="H114" s="1671"/>
      <c r="I114" s="646"/>
    </row>
    <row r="115" spans="1:27" ht="18.75" customHeight="1">
      <c r="A115" s="3292" t="s">
        <v>1442</v>
      </c>
      <c r="B115" s="3293"/>
      <c r="C115" s="3293"/>
      <c r="D115" s="3293"/>
      <c r="E115" s="3293"/>
      <c r="F115" s="3293"/>
      <c r="G115" s="3293"/>
      <c r="H115" s="3293"/>
      <c r="I115" s="3294"/>
    </row>
    <row r="116" spans="1:27" ht="27" customHeight="1">
      <c r="A116" s="3248" t="s">
        <v>1443</v>
      </c>
      <c r="B116" s="3283" t="s">
        <v>1444</v>
      </c>
      <c r="C116" s="3283" t="s">
        <v>1445</v>
      </c>
      <c r="D116" s="3296" t="s">
        <v>1446</v>
      </c>
      <c r="E116" s="3297"/>
      <c r="F116" s="3291" t="s">
        <v>1447</v>
      </c>
      <c r="G116" s="3291"/>
      <c r="H116" s="3248" t="s">
        <v>1448</v>
      </c>
      <c r="I116" s="3248"/>
    </row>
    <row r="117" spans="1:27" ht="18.75" customHeight="1">
      <c r="A117" s="3248"/>
      <c r="B117" s="3284"/>
      <c r="C117" s="328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38.18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8" t="s">
        <v>1452</v>
      </c>
      <c r="B119" s="3248"/>
      <c r="C119" s="3248"/>
      <c r="D119" s="3288" t="e">
        <f ca="1">NUMBERSTRING(INT(D118*10000),2)&amp;"元整"</f>
        <v>#REF!</v>
      </c>
      <c r="E119" s="3290"/>
      <c r="F119" s="3288" t="e">
        <f ca="1">NUMBERSTRING(INT(F118*10000),2)&amp;"元整"</f>
        <v>#REF!</v>
      </c>
      <c r="G119" s="3290"/>
      <c r="H119" s="3288" t="e">
        <f ca="1">NUMBERSTRING(INT(H118*10000),2)&amp;"元整"</f>
        <v>#REF!</v>
      </c>
      <c r="I119" s="3290"/>
    </row>
    <row r="120" spans="1:27" ht="18.75" customHeight="1">
      <c r="A120" s="3312" t="str">
        <f>IF(项目基本情况!B9="房地产市场价值","",MID(E103,3,LEN(E103)-2))</f>
        <v/>
      </c>
      <c r="B120" s="3313"/>
      <c r="C120" s="3314"/>
      <c r="D120" s="3312">
        <f>H103</f>
        <v>0</v>
      </c>
      <c r="E120" s="3313"/>
      <c r="F120" s="3313"/>
      <c r="G120" s="3313"/>
      <c r="H120" s="3313"/>
      <c r="I120" s="331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88" t="s">
        <v>1452</v>
      </c>
      <c r="B121" s="3289"/>
      <c r="C121" s="3290"/>
      <c r="D121" s="3288" t="str">
        <f>IF(D120=0,"零元整",NUMBERSTRING(INT(D120*10000),2)&amp;"元整")</f>
        <v>零元整</v>
      </c>
      <c r="E121" s="3289"/>
      <c r="F121" s="3289"/>
      <c r="G121" s="3289"/>
      <c r="H121" s="3289"/>
      <c r="I121" s="3290"/>
      <c r="AA121" s="684"/>
    </row>
    <row r="122" spans="1:27" ht="18.75" customHeight="1">
      <c r="A122" s="3279" t="str">
        <f>IF(项目基本情况!B9="房地产市场价值","",MID(E107,3,LEN(E107)-2))</f>
        <v/>
      </c>
      <c r="B122" s="3279"/>
      <c r="C122" s="3279"/>
      <c r="D122" s="3312" t="e">
        <f ca="1">H107</f>
        <v>#REF!</v>
      </c>
      <c r="E122" s="3313"/>
      <c r="F122" s="3313"/>
      <c r="G122" s="3313"/>
      <c r="H122" s="3313"/>
      <c r="I122" s="3314"/>
      <c r="AA122" s="684"/>
    </row>
    <row r="123" spans="1:27" ht="18.75" customHeight="1">
      <c r="A123" s="3248" t="s">
        <v>1452</v>
      </c>
      <c r="B123" s="3248"/>
      <c r="C123" s="3248"/>
      <c r="D123" s="3288" t="e">
        <f ca="1">NUMBERSTRING(INT(D122*10000),2)&amp;"元整"</f>
        <v>#REF!</v>
      </c>
      <c r="E123" s="3289"/>
      <c r="F123" s="3289"/>
      <c r="G123" s="3289"/>
      <c r="H123" s="3289"/>
      <c r="I123" s="3290"/>
      <c r="AA123" s="684"/>
    </row>
    <row r="124" spans="1:27" ht="18.75" customHeight="1">
      <c r="A124" s="3279" t="str">
        <f>IF(项目基本情况!B9="房地产市场价值","",MID(E109,3,LEN(E109)-2))</f>
        <v/>
      </c>
      <c r="B124" s="3279"/>
      <c r="C124" s="3279"/>
      <c r="D124" s="3312" t="str">
        <f>H109</f>
        <v>——</v>
      </c>
      <c r="E124" s="3313"/>
      <c r="F124" s="3313"/>
      <c r="G124" s="3313"/>
      <c r="H124" s="3313"/>
      <c r="I124" s="3314"/>
      <c r="AA124" s="684"/>
    </row>
    <row r="125" spans="1:27" ht="18.75" customHeight="1">
      <c r="A125" s="3248" t="s">
        <v>1452</v>
      </c>
      <c r="B125" s="3248"/>
      <c r="C125" s="3248"/>
      <c r="D125" s="3288" t="e">
        <f>NUMBERSTRING(INT(D124*10000),2)&amp;"元整"</f>
        <v>#VALUE!</v>
      </c>
      <c r="E125" s="3289"/>
      <c r="F125" s="3289"/>
      <c r="G125" s="3289"/>
      <c r="H125" s="3289"/>
      <c r="I125" s="3290"/>
      <c r="AA125" s="684"/>
    </row>
    <row r="126" spans="1:27" ht="18.75" customHeight="1">
      <c r="A126" s="3279" t="str">
        <f>IF(项目基本情况!B9="房地产市场价值","",MID(E111,3,LEN(E111)-2))</f>
        <v/>
      </c>
      <c r="B126" s="3279"/>
      <c r="C126" s="3279"/>
      <c r="D126" s="3312" t="str">
        <f>H111</f>
        <v>——</v>
      </c>
      <c r="E126" s="3313"/>
      <c r="F126" s="3313"/>
      <c r="G126" s="3313"/>
      <c r="H126" s="3313"/>
      <c r="I126" s="3314"/>
      <c r="AA126" s="684"/>
    </row>
    <row r="127" spans="1:27" ht="18.75" customHeight="1">
      <c r="A127" s="3248" t="s">
        <v>1452</v>
      </c>
      <c r="B127" s="3248"/>
      <c r="C127" s="3248"/>
      <c r="D127" s="3288" t="e">
        <f>NUMBERSTRING(INT(D126*10000),2)&amp;"元整"</f>
        <v>#VALUE!</v>
      </c>
      <c r="E127" s="3289"/>
      <c r="F127" s="3289"/>
      <c r="G127" s="3289"/>
      <c r="H127" s="3289"/>
      <c r="I127" s="3290"/>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8343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2185175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6109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6109</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38.18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38.18</v>
      </c>
      <c r="E19" s="203">
        <f>'数据-取费表'!B31</f>
        <v>200</v>
      </c>
      <c r="F19" s="223"/>
      <c r="G19" s="1714"/>
    </row>
    <row r="20" spans="1:7" s="206" customFormat="1" ht="13.5" customHeight="1">
      <c r="A20" s="247" t="s">
        <v>1493</v>
      </c>
      <c r="B20" s="202" t="s">
        <v>1494</v>
      </c>
      <c r="C20" s="224">
        <f ca="1">ROUND((C5+C19)*F20,0)</f>
        <v>122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207</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205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1246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1246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38.18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28" t="s">
        <v>1544</v>
      </c>
    </row>
    <row r="43" spans="1:7" ht="13.5" customHeight="1">
      <c r="A43" s="734" t="s">
        <v>347</v>
      </c>
      <c r="B43" s="207" t="s">
        <v>1545</v>
      </c>
      <c r="C43" s="230">
        <f ca="1">ROUND(IF('数据-取费表'!B22&lt;=1,C39*F22*'数据-取费表'!B21/2,C39*(POWER((1+F22),'数据-取费表'!B21/2)-1)),0)</f>
        <v>0</v>
      </c>
      <c r="D43" s="230"/>
      <c r="E43" s="230"/>
      <c r="F43" s="231"/>
      <c r="G43" s="3329"/>
    </row>
    <row r="44" spans="1:7" ht="13.5" customHeight="1">
      <c r="A44" s="734" t="s">
        <v>348</v>
      </c>
      <c r="B44" s="207" t="s">
        <v>1546</v>
      </c>
      <c r="C44" s="230">
        <f ca="1">ROUND(IF('数据-取费表'!B22&lt;=1,C40*F22*'数据-取费表'!B21/2,C40*(POWER((1+F22),'数据-取费表'!B21/2)-1)),4)</f>
        <v>2.9999999999999997E-4</v>
      </c>
      <c r="D44" s="230"/>
      <c r="E44" s="230"/>
      <c r="F44" s="231"/>
      <c r="G44" s="3330"/>
    </row>
    <row r="45" spans="1:7" s="206" customFormat="1" ht="13.5" customHeight="1">
      <c r="A45" s="247" t="s">
        <v>1547</v>
      </c>
      <c r="B45" s="236" t="s">
        <v>1513</v>
      </c>
      <c r="C45" s="237">
        <f ca="1">C46</f>
        <v>3</v>
      </c>
      <c r="D45" s="227">
        <f ca="1">C47</f>
        <v>4.0000000000000001E-3</v>
      </c>
      <c r="E45" s="228" t="s">
        <v>1539</v>
      </c>
      <c r="F45" s="238">
        <f ca="1">F27</f>
        <v>0.2</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8343</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6" t="str">
        <f>项目基本情况!B1</f>
        <v>北京市房地产市场价值预评估</v>
      </c>
      <c r="C37" s="3146"/>
      <c r="D37" s="3146"/>
      <c r="E37" s="3146"/>
      <c r="F37" s="3146"/>
      <c r="G37" s="3146"/>
      <c r="H37" s="3146"/>
      <c r="I37" s="31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3391</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153.73859999999999</v>
      </c>
      <c r="C2" s="191" t="s">
        <v>1463</v>
      </c>
      <c r="D2" s="1711" t="s">
        <v>43</v>
      </c>
      <c r="E2" s="1089" t="e">
        <f ca="1">SUMIF(INDIRECT("'"&amp;G2&amp;"'"&amp;"!A:A"),"承租人权益价值",INDIRECT("'"&amp;G2&amp;"'"&amp;"!c:c"))</f>
        <v>#REF!</v>
      </c>
      <c r="F2" s="1712" t="s">
        <v>1463</v>
      </c>
      <c r="G2" s="1713" t="s">
        <v>3400</v>
      </c>
    </row>
    <row r="3" spans="1:8" s="192" customFormat="1" ht="18" customHeight="1" thickBot="1">
      <c r="A3" s="195" t="s">
        <v>1464</v>
      </c>
      <c r="B3" s="196">
        <f ca="1">ROUND(B2*10000/(IF(B1="",'数据-汇总表'!E3,INDIRECT("'数据-取费表'!k"&amp;$G$1))),0)</f>
        <v>40267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1039638</v>
      </c>
      <c r="D5" s="203" t="s">
        <v>1469</v>
      </c>
      <c r="E5" s="204" t="s">
        <v>1470</v>
      </c>
      <c r="F5" s="204" t="s">
        <v>1471</v>
      </c>
      <c r="G5" s="205"/>
    </row>
    <row r="6" spans="1:8" s="206" customFormat="1" ht="13.5" customHeight="1">
      <c r="A6" s="732" t="s">
        <v>1472</v>
      </c>
      <c r="B6" s="207" t="s">
        <v>1473</v>
      </c>
      <c r="C6" s="208">
        <f>ROUND(基准地价修正!C33*基准地价修正!D33,0)</f>
        <v>1008868</v>
      </c>
      <c r="D6" s="209"/>
      <c r="E6" s="210"/>
      <c r="F6" s="210"/>
      <c r="G6" s="211"/>
    </row>
    <row r="7" spans="1:8" s="206" customFormat="1" ht="13.5" customHeight="1">
      <c r="A7" s="732" t="s">
        <v>1474</v>
      </c>
      <c r="B7" s="207" t="s">
        <v>1475</v>
      </c>
      <c r="C7" s="212">
        <f>ROUND(C6*F7,0)</f>
        <v>30770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6109</v>
      </c>
      <c r="D9" s="795">
        <f ca="1">IF(B1="",'数据-汇总表'!E5,IF(INDIRECT("'数据-取费表'!c"&amp;$G$1)="住宅",INDIRECT("'数据-取费表'!k"&amp;$G$1),0))</f>
        <v>38.18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7636</v>
      </c>
      <c r="D19" s="204">
        <f ca="1">D9+D10</f>
        <v>38.18</v>
      </c>
      <c r="E19" s="203">
        <f>'数据-取费表'!B31</f>
        <v>200</v>
      </c>
      <c r="F19" s="223"/>
      <c r="G19" s="1714" t="s">
        <v>436</v>
      </c>
    </row>
    <row r="20" spans="1:7" s="206" customFormat="1" ht="13.5" customHeight="1">
      <c r="A20" s="247" t="s">
        <v>1574</v>
      </c>
      <c r="B20" s="202" t="s">
        <v>1575</v>
      </c>
      <c r="C20" s="224">
        <f ca="1">ROUND((C5+C19)*F20,0)</f>
        <v>20945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35435</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34828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256</v>
      </c>
      <c r="D24" s="230"/>
      <c r="E24" s="230"/>
      <c r="F24" s="231"/>
      <c r="G24" s="232" t="s">
        <v>1586</v>
      </c>
    </row>
    <row r="25" spans="1:7" s="206" customFormat="1" ht="24">
      <c r="A25" s="734" t="s">
        <v>1476</v>
      </c>
      <c r="B25" s="207" t="s">
        <v>1587</v>
      </c>
      <c r="C25" s="230">
        <f ca="1">ROUND(IF('数据-取费表'!B22&lt;=1,C20*F22*'数据-取费表'!B22/2,C20*(POWER((1+F22),'数据-取费表'!B22/2)-1)),0)</f>
        <v>351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213644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213644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1428120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135348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114540</v>
      </c>
      <c r="D34" s="209"/>
      <c r="E34" s="212"/>
      <c r="F34" s="249"/>
      <c r="G34" s="211"/>
    </row>
    <row r="35" spans="1:7" ht="13.5" customHeight="1">
      <c r="A35" s="734" t="s">
        <v>351</v>
      </c>
      <c r="B35" s="207" t="s">
        <v>1527</v>
      </c>
      <c r="C35" s="212">
        <f ca="1">ROUND(C34*F35,0)</f>
        <v>5727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5727</v>
      </c>
      <c r="D36" s="212"/>
      <c r="E36" s="212"/>
      <c r="F36" s="251">
        <f>'数据-取费表'!B34</f>
        <v>0.05</v>
      </c>
      <c r="G36" s="252" t="s">
        <v>1530</v>
      </c>
    </row>
    <row r="37" spans="1:7" s="250" customFormat="1" ht="13.5" customHeight="1">
      <c r="A37" s="734" t="s">
        <v>353</v>
      </c>
      <c r="B37" s="207" t="s">
        <v>1531</v>
      </c>
      <c r="C37" s="241">
        <f ca="1">ROUND(E37*D37,0)</f>
        <v>7636</v>
      </c>
      <c r="D37" s="209">
        <f ca="1">D19</f>
        <v>38.18</v>
      </c>
      <c r="E37" s="241">
        <f>'数据-取费表'!B35</f>
        <v>200</v>
      </c>
      <c r="F37" s="251"/>
      <c r="G37" s="253"/>
    </row>
    <row r="38" spans="1:7" ht="13.5" customHeight="1">
      <c r="A38" s="734" t="s">
        <v>354</v>
      </c>
      <c r="B38" s="207" t="s">
        <v>1533</v>
      </c>
      <c r="C38" s="212">
        <f ca="1">ROUND(C34*F38,0)</f>
        <v>1718</v>
      </c>
      <c r="D38" s="212"/>
      <c r="E38" s="212"/>
      <c r="F38" s="251">
        <f>'数据-取费表'!B36</f>
        <v>1.4999999999999999E-2</v>
      </c>
      <c r="G38" s="211" t="s">
        <v>1528</v>
      </c>
    </row>
    <row r="39" spans="1:7" s="206" customFormat="1" ht="13.5" customHeight="1">
      <c r="A39" s="247" t="s">
        <v>1534</v>
      </c>
      <c r="B39" s="202" t="s">
        <v>1535</v>
      </c>
      <c r="C39" s="224">
        <f ca="1">ROUND(C33*F20,0)</f>
        <v>2707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2312</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2267</v>
      </c>
      <c r="D42" s="230"/>
      <c r="E42" s="230"/>
      <c r="F42" s="231"/>
      <c r="G42" s="3328" t="s">
        <v>1591</v>
      </c>
    </row>
    <row r="43" spans="1:7" ht="13.5" customHeight="1">
      <c r="A43" s="734" t="s">
        <v>347</v>
      </c>
      <c r="B43" s="207" t="s">
        <v>1545</v>
      </c>
      <c r="C43" s="230">
        <f ca="1">ROUND(IF('数据-取费表'!B22&lt;=1,C39*F22*'数据-取费表'!B20/2,C39*(POWER((1+F22),'数据-取费表'!B20/2)-1)),0)</f>
        <v>45</v>
      </c>
      <c r="D43" s="230"/>
      <c r="E43" s="230"/>
      <c r="F43" s="231"/>
      <c r="G43" s="3329"/>
    </row>
    <row r="44" spans="1:7" ht="13.5" customHeight="1">
      <c r="A44" s="734" t="s">
        <v>348</v>
      </c>
      <c r="B44" s="207" t="s">
        <v>1546</v>
      </c>
      <c r="C44" s="230">
        <f ca="1">ROUND(IF('数据-取费表'!B22&lt;=1,C40*F22*'数据-取费表'!B20/2,C40*(POWER((1+F22),'数据-取费表'!B20/2)-1)),4)</f>
        <v>2.9999999999999997E-4</v>
      </c>
      <c r="D44" s="230"/>
      <c r="E44" s="230"/>
      <c r="F44" s="231"/>
      <c r="G44" s="3330"/>
    </row>
    <row r="45" spans="1:7" s="206" customFormat="1" ht="13.5" customHeight="1">
      <c r="A45" s="247" t="s">
        <v>1547</v>
      </c>
      <c r="B45" s="236" t="s">
        <v>1513</v>
      </c>
      <c r="C45" s="237">
        <f ca="1">C46</f>
        <v>27611</v>
      </c>
      <c r="D45" s="227">
        <f ca="1">C47</f>
        <v>4.0000000000000001E-3</v>
      </c>
      <c r="E45" s="228" t="s">
        <v>1539</v>
      </c>
      <c r="F45" s="238">
        <f ca="1">F27</f>
        <v>0.2</v>
      </c>
      <c r="G45" s="239" t="s">
        <v>1548</v>
      </c>
    </row>
    <row r="46" spans="1:7" s="206" customFormat="1" ht="13.5" customHeight="1">
      <c r="A46" s="734" t="s">
        <v>346</v>
      </c>
      <c r="B46" s="240" t="s">
        <v>1549</v>
      </c>
      <c r="C46" s="241">
        <f ca="1">ROUND((C33+C39)*F27,0)</f>
        <v>27611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182110</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109266</v>
      </c>
      <c r="D51" s="224"/>
      <c r="E51" s="224"/>
      <c r="F51" s="256"/>
      <c r="G51" s="226" t="s">
        <v>1560</v>
      </c>
    </row>
    <row r="52" spans="1:7" s="200" customFormat="1" ht="16.5" thickBot="1">
      <c r="A52" s="257" t="s">
        <v>1561</v>
      </c>
      <c r="B52" s="258"/>
      <c r="C52" s="259">
        <f ca="1">C31+C51</f>
        <v>1537386</v>
      </c>
      <c r="D52" s="258"/>
      <c r="E52" s="258"/>
      <c r="F52" s="258"/>
      <c r="G52" s="260"/>
    </row>
    <row r="55" spans="1:7" ht="15">
      <c r="B55" s="262" t="s">
        <v>1562</v>
      </c>
      <c r="C55" s="263"/>
    </row>
    <row r="56" spans="1:7">
      <c r="B56" s="265" t="s">
        <v>802</v>
      </c>
      <c r="C56" s="267">
        <f ca="1">1-C57</f>
        <v>0.92900000000000005</v>
      </c>
    </row>
    <row r="57" spans="1:7">
      <c r="B57" s="265" t="s">
        <v>803</v>
      </c>
      <c r="C57" s="266">
        <f ca="1">ROUND(C51/C52,3)</f>
        <v>7.0999999999999994E-2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7265</v>
      </c>
      <c r="C2" s="268" t="s">
        <v>1595</v>
      </c>
      <c r="D2" s="268"/>
      <c r="E2" s="2568"/>
      <c r="F2" s="2568"/>
      <c r="G2" s="2568"/>
      <c r="H2" s="2568"/>
      <c r="I2" s="2568"/>
      <c r="J2" s="2568"/>
      <c r="K2" s="2568"/>
    </row>
    <row r="3" spans="1:33" ht="18" customHeight="1" thickBot="1">
      <c r="A3" s="195" t="s">
        <v>1464</v>
      </c>
      <c r="B3" s="196">
        <f ca="1">ROUND(B2*10000/IF(C1="",'数据-汇总表'!E3,INDIRECT("'数据-取费表'!K"&amp;$K$1)),0)</f>
        <v>1902829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38.18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-6108</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38.18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-6108</v>
      </c>
      <c r="D21" s="767"/>
      <c r="E21" s="273"/>
      <c r="F21" s="273"/>
      <c r="G21" s="123" t="s">
        <v>1629</v>
      </c>
      <c r="H21" s="759"/>
      <c r="I21" s="759"/>
      <c r="J21" s="759"/>
      <c r="K21" s="760"/>
    </row>
    <row r="22" spans="1:33" s="755" customFormat="1" ht="13.5" customHeight="1">
      <c r="A22" s="744" t="s">
        <v>1601</v>
      </c>
      <c r="B22" s="765" t="s">
        <v>1630</v>
      </c>
      <c r="C22" s="766">
        <f ca="1">ROUND(C21*F22,0)</f>
        <v>-122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-1246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-1246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7265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3" t="s">
        <v>694</v>
      </c>
      <c r="C6" s="1011">
        <f ca="1">ROUND(F6*F8*F7*(1-F9)/10000,0)</f>
        <v>0</v>
      </c>
      <c r="D6" s="147" t="s">
        <v>2109</v>
      </c>
      <c r="E6" s="294" t="s">
        <v>696</v>
      </c>
      <c r="F6" s="295">
        <f ca="1">INDIRECT("'数据-取费表'!u"&amp;$G$1)</f>
        <v>0</v>
      </c>
      <c r="G6" s="1292"/>
      <c r="H6" s="1006" t="s">
        <v>398</v>
      </c>
      <c r="I6" s="3333" t="s">
        <v>694</v>
      </c>
      <c r="J6" s="293">
        <f ca="1">ROUND(M6*M8*M7*(1-M9)/10000,0)</f>
        <v>0</v>
      </c>
      <c r="K6" s="147" t="s">
        <v>2108</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0</v>
      </c>
      <c r="G7" s="1292"/>
      <c r="H7" s="296"/>
      <c r="I7" s="3334"/>
      <c r="J7" s="298"/>
      <c r="K7" s="299"/>
      <c r="L7" s="294" t="s">
        <v>697</v>
      </c>
      <c r="M7" s="295">
        <f ca="1">F7</f>
        <v>0</v>
      </c>
    </row>
    <row r="8" spans="1:37" ht="18" customHeight="1">
      <c r="A8" s="296"/>
      <c r="B8" s="3334"/>
      <c r="C8" s="298"/>
      <c r="D8" s="299"/>
      <c r="E8" s="294" t="s">
        <v>698</v>
      </c>
      <c r="F8" s="295">
        <f ca="1">INDIRECT("'数据-取费表'!ai"&amp;$G$1)</f>
        <v>0</v>
      </c>
      <c r="G8" s="1292"/>
      <c r="H8" s="296"/>
      <c r="I8" s="3334"/>
      <c r="J8" s="298"/>
      <c r="K8" s="299"/>
      <c r="L8" s="294" t="s">
        <v>698</v>
      </c>
      <c r="M8" s="295">
        <f ca="1">INDIRECT("'数据-取费表'!ai"&amp;$G$1)</f>
        <v>0</v>
      </c>
    </row>
    <row r="9" spans="1:37" ht="18" customHeight="1">
      <c r="A9" s="296"/>
      <c r="B9" s="3335"/>
      <c r="C9" s="298"/>
      <c r="D9" s="299"/>
      <c r="E9" s="294" t="s">
        <v>699</v>
      </c>
      <c r="F9" s="304">
        <f ca="1">INDIRECT("'数据-取费表'!w"&amp;$G$1)</f>
        <v>0</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1" t="s">
        <v>837</v>
      </c>
      <c r="L53" s="333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38.18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101</v>
      </c>
      <c r="C2" s="1846" t="s">
        <v>1935</v>
      </c>
      <c r="D2" s="162" t="s">
        <v>1936</v>
      </c>
      <c r="E2" s="3121" t="s">
        <v>3391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36778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26454</v>
      </c>
      <c r="C3" s="1846" t="s">
        <v>1941</v>
      </c>
      <c r="D3" s="162" t="s">
        <v>1942</v>
      </c>
      <c r="E3" s="3119" t="s">
        <v>3395</v>
      </c>
      <c r="F3" s="1848" t="s">
        <v>3396</v>
      </c>
      <c r="G3" s="708">
        <f>IF(F3="宗地容积率",'数据-汇总表'!I4,IF(F3="估价对象容积率",'数据-汇总表'!I6,'数据-汇总表'!I7))</f>
        <v>1.8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28988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3"/>
      <c r="B4" s="3344"/>
      <c r="C4" s="3344"/>
      <c r="D4" s="3345"/>
      <c r="E4" s="3345"/>
      <c r="F4" s="3345"/>
      <c r="G4" s="3345"/>
      <c r="H4" s="3345"/>
      <c r="I4" s="3345"/>
      <c r="J4" s="3346"/>
      <c r="K4" s="1056"/>
      <c r="L4" s="1847" t="s">
        <v>1946</v>
      </c>
      <c r="M4" s="811">
        <f>SUMPRODUCT((区片价!B55:B86=I2)*(区片价!C3:G3=E2)*(区片价!C55:G86))</f>
        <v>21010</v>
      </c>
      <c r="N4" s="813">
        <f>SUMPRODUCT((因素修正幅度!B55:B86=I2)*(因素修正幅度!C3:G3=E2)*(因素修正幅度!C55:G86))</f>
        <v>6.6000000000000003E-2</v>
      </c>
      <c r="O4" s="1056"/>
      <c r="P4" s="1056"/>
      <c r="Q4" s="1056"/>
      <c r="R4" s="1129">
        <v>3</v>
      </c>
      <c r="S4" s="3064">
        <f>ROUND(SUMPRODUCT((B106:B110=R4)*(C105:N105=G2)*(C106:N110)),4)</f>
        <v>1.0004999999999999</v>
      </c>
      <c r="T4" s="3064">
        <f t="shared" si="0"/>
        <v>24500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23164</v>
      </c>
      <c r="D5" s="1252">
        <f>ROUND(C6*C17+C20,0)</f>
        <v>21010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21608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21010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20765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1.8</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0" t="s">
        <v>1960</v>
      </c>
      <c r="X8" s="33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2"/>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1.1025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3402</v>
      </c>
      <c r="D15" s="1887" t="s">
        <v>3401</v>
      </c>
      <c r="E15" s="1888" t="s">
        <v>3630</v>
      </c>
      <c r="F15" s="1470" t="s">
        <v>3246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1.05</v>
      </c>
      <c r="E16" s="3025">
        <v>1.05</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f>ROUND(G18/I18,2)</f>
        <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7" t="s">
        <v>3256</v>
      </c>
      <c r="B20" s="159" t="s">
        <v>1994</v>
      </c>
      <c r="C20" s="3032">
        <f>ROUND(IF(F21="与级别开发程度一致",0,(G21-E21)/C21),0)</f>
        <v>0</v>
      </c>
      <c r="D20" s="3047" t="s">
        <v>1998</v>
      </c>
      <c r="E20" s="3048"/>
      <c r="F20" s="3353" t="s">
        <v>1995</v>
      </c>
      <c r="G20" s="335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6" t="s">
        <v>2002</v>
      </c>
      <c r="E23" s="717">
        <v>44197</v>
      </c>
      <c r="F23" s="1896" t="s">
        <v>2003</v>
      </c>
      <c r="G23" s="718">
        <f>'数据-取费表'!B2</f>
        <v>45546</v>
      </c>
      <c r="H23" s="3049" t="s">
        <v>3258</v>
      </c>
      <c r="I23" s="3050" t="str">
        <f>IF(H23="季度增幅（自定义）",SUMIF(N25:N28,E2,O25:O28),"")</f>
        <v/>
      </c>
      <c r="J23" s="3142" t="s">
        <v>3257</v>
      </c>
      <c r="K23" s="1061"/>
      <c r="L23" s="1897" t="s">
        <v>2004</v>
      </c>
      <c r="M23" s="1241">
        <f>ROUND(SUMIF(地价!B2:G2,E2,地价!B16:G16),0)</f>
        <v>687</v>
      </c>
      <c r="N23" s="1898" t="s">
        <v>2005</v>
      </c>
      <c r="O23" s="719">
        <f>ROUNDDOWN(DATEDIF(E23,G23,"M")/3,0)</f>
        <v>14</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0.94940000000000002</v>
      </c>
      <c r="D24" s="1902" t="s">
        <v>2007</v>
      </c>
      <c r="E24" s="1248">
        <f>存贷款利率!E26/100</f>
        <v>4.3499999999999997E-2</v>
      </c>
      <c r="F24" s="1902" t="s">
        <v>1999</v>
      </c>
      <c r="G24" s="724">
        <f>SUMIF(M30:Q30,E2,M33:Q33)</f>
        <v>0.05</v>
      </c>
      <c r="H24" s="1902" t="s">
        <v>2008</v>
      </c>
      <c r="I24" s="725">
        <f>SUMIF('数据-取费表'!C6:C15,E2,'数据-取费表'!F6:F15)/COUNTIF('数据-取费表'!C6:C15,E2)</f>
        <v>51.32</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1.0790999999999999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1.0790999999999999</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708">
        <f>ROUNDUP(G3,1)</f>
        <v>1.8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1.0355000000000001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101</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26424</v>
      </c>
      <c r="D33" s="1940">
        <f>'数据-汇总表'!F19</f>
        <v>38.18</v>
      </c>
      <c r="E33" s="727">
        <f>ROUND(C33*D33/10000,0)</f>
        <v>101</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6606</v>
      </c>
      <c r="D34" s="1945"/>
      <c r="E34" s="727">
        <f>ROUND(IF(B25="楼层修正",SUM(V2:V16)*M40,C34*D34/10000),0)</f>
        <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1"/>
      <c r="B37" s="1955" t="s">
        <v>2036</v>
      </c>
      <c r="C37" s="167">
        <f>ROUND(D5*C22*C23*C24*C28*F37,0)</f>
        <v>13326</v>
      </c>
      <c r="D37" s="1940"/>
      <c r="E37" s="163">
        <f>ROUND(C37*D37/10000,0)</f>
        <v>0</v>
      </c>
      <c r="F37" s="163">
        <f>SUMIF(修正!A57:A68,G2,修正!B57:B68)</f>
        <v>0.6</v>
      </c>
      <c r="G37" s="163">
        <f>ROUND(IF(E2="工业",C37*$M$42,C37*$M$41),0)</f>
        <v>3332</v>
      </c>
      <c r="H37" s="163">
        <f>D37</f>
        <v>0</v>
      </c>
      <c r="I37" s="163">
        <f>ROUND(G37*H37/10000,0)</f>
        <v>0</v>
      </c>
      <c r="J37" s="2755"/>
      <c r="K37" s="3062" t="s">
        <v>3268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2"/>
      <c r="B38" s="1884" t="s">
        <v>2037</v>
      </c>
      <c r="C38" s="167">
        <f>ROUND(D5*C22*C23*C24*C28*F38,0)</f>
        <v>6663</v>
      </c>
      <c r="D38" s="1940"/>
      <c r="E38" s="163">
        <f t="shared" ref="E38:E42" si="4">ROUND(C38*D38/10000,0)</f>
        <v>0</v>
      </c>
      <c r="F38" s="163">
        <f>SUMIF(修正!A57:A68,G2,修正!C57:C68)</f>
        <v>0.3</v>
      </c>
      <c r="G38" s="163">
        <f>ROUND(IF(E2="工业",C38*$M$42,C38*$M$41),0)</f>
        <v>1666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2"/>
      <c r="B39" s="1884" t="s">
        <v>3261</v>
      </c>
      <c r="C39" s="167">
        <f>ROUND(D5*C22*C23*C24*C28*F39,0)</f>
        <v>5553</v>
      </c>
      <c r="D39" s="1940"/>
      <c r="E39" s="163">
        <f t="shared" si="4"/>
        <v>0</v>
      </c>
      <c r="F39" s="163">
        <f>SUMIF(修正!A57:A68,G2,修正!D57:D68)</f>
        <v>0.25</v>
      </c>
      <c r="G39" s="163">
        <f>ROUND(IF(E2="工业",C39*$M$42,C39*$M$41),0)</f>
        <v>1388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5553</v>
      </c>
      <c r="D40" s="1940"/>
      <c r="E40" s="163">
        <f t="shared" si="4"/>
        <v>0</v>
      </c>
      <c r="F40" s="167">
        <f>SUMIF(修正!A57:A68,G2,修正!E57:E68)</f>
        <v>0.25</v>
      </c>
      <c r="G40" s="163">
        <f>ROUND(IF(E2="工业",C40*$M$42,C40*$M$41),0)</f>
        <v>1388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1.0355000000000001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3404</v>
      </c>
      <c r="D72" s="1002">
        <f t="shared" ref="D72:D80" si="17">SUMIF($J$71:$N$71,C72,J72:N72)</f>
        <v>6.6E-3</v>
      </c>
      <c r="E72" s="702">
        <f>ROUND(SUM(D72:D80),4)</f>
        <v>3.5499999999999997E-2</v>
      </c>
      <c r="F72" s="1675">
        <f>IF(E2="住宅",SUMIF(L1:L12,G2,N1:N12),"——")</f>
        <v>6.6000000000000003E-2</v>
      </c>
      <c r="G72" s="1000">
        <v>6.6E-3</v>
      </c>
      <c r="H72" s="1003">
        <f t="shared" ref="H72:H80" si="18">IFERROR(ROUNDDOWN($F$72*I72/2,4),"——")</f>
        <v>6.6E-3</v>
      </c>
      <c r="I72" s="3069">
        <v>0.2</v>
      </c>
      <c r="J72" s="1001">
        <f t="shared" ref="J72:J80" si="19">K72+$G72</f>
        <v>1.32E-2</v>
      </c>
      <c r="K72" s="1001">
        <f t="shared" ref="K72:K80" si="20">$L72+$G72</f>
        <v>6.6E-3</v>
      </c>
      <c r="L72" s="1001">
        <v>0</v>
      </c>
      <c r="M72" s="1001">
        <f t="shared" ref="M72:N80" si="21">L72-$G72</f>
        <v>-6.6E-3</v>
      </c>
      <c r="N72" s="1001">
        <f t="shared" si="21"/>
        <v>-1.32E-2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3404</v>
      </c>
      <c r="D73" s="1002">
        <f t="shared" si="17"/>
        <v>8.5000000000000006E-3</v>
      </c>
      <c r="E73" s="705"/>
      <c r="F73" s="1675"/>
      <c r="G73" s="1000">
        <v>8.5000000000000006E-3</v>
      </c>
      <c r="H73" s="1003">
        <f t="shared" si="18"/>
        <v>8.5000000000000006E-3</v>
      </c>
      <c r="I73" s="3069">
        <v>0.26</v>
      </c>
      <c r="J73" s="1001">
        <f t="shared" si="19"/>
        <v>1.7000000000000001E-2</v>
      </c>
      <c r="K73" s="1001">
        <f t="shared" si="20"/>
        <v>8.5000000000000006E-3</v>
      </c>
      <c r="L73" s="1001">
        <v>0</v>
      </c>
      <c r="M73" s="1001">
        <f t="shared" si="21"/>
        <v>-8.5000000000000006E-3</v>
      </c>
      <c r="N73" s="1001">
        <f t="shared" si="21"/>
        <v>-1.7000000000000001E-2</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t="s">
        <v>3404</v>
      </c>
      <c r="D74" s="1002">
        <f t="shared" si="17"/>
        <v>3.3E-3</v>
      </c>
      <c r="E74" s="705"/>
      <c r="F74" s="1675"/>
      <c r="G74" s="1000">
        <v>3.3E-3</v>
      </c>
      <c r="H74" s="1003">
        <f t="shared" si="18"/>
        <v>3.3E-3</v>
      </c>
      <c r="I74" s="3069">
        <v>0.1</v>
      </c>
      <c r="J74" s="1001">
        <f t="shared" si="19"/>
        <v>6.6E-3</v>
      </c>
      <c r="K74" s="1001">
        <f t="shared" si="20"/>
        <v>3.3E-3</v>
      </c>
      <c r="L74" s="1001">
        <v>0</v>
      </c>
      <c r="M74" s="1001">
        <f t="shared" si="21"/>
        <v>-3.3E-3</v>
      </c>
      <c r="N74" s="1001">
        <f t="shared" si="21"/>
        <v>-6.6E-3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3404</v>
      </c>
      <c r="D75" s="1002">
        <f t="shared" si="17"/>
        <v>1.6000000000000001E-3</v>
      </c>
      <c r="E75" s="705"/>
      <c r="F75" s="1675"/>
      <c r="G75" s="1000">
        <v>1.6000000000000001E-3</v>
      </c>
      <c r="H75" s="1003">
        <f t="shared" si="18"/>
        <v>1.6000000000000001E-3</v>
      </c>
      <c r="I75" s="3069">
        <v>0.05</v>
      </c>
      <c r="J75" s="1001">
        <f t="shared" si="19"/>
        <v>3.2000000000000002E-3</v>
      </c>
      <c r="K75" s="1001">
        <f t="shared" si="20"/>
        <v>1.6000000000000001E-3</v>
      </c>
      <c r="L75" s="1001">
        <v>0</v>
      </c>
      <c r="M75" s="1001">
        <f t="shared" si="21"/>
        <v>-1.6000000000000001E-3</v>
      </c>
      <c r="N75" s="1001">
        <f t="shared" si="21"/>
        <v>-3.2000000000000002E-3</v>
      </c>
      <c r="O75" s="1056"/>
      <c r="P75" s="1056"/>
      <c r="Q75" s="1844"/>
      <c r="Z75" s="1845"/>
      <c r="AA75" s="1895"/>
      <c r="AG75" s="1058"/>
      <c r="AK75" s="1895"/>
    </row>
    <row r="76" spans="1:37" ht="25.5">
      <c r="A76" s="1970" t="s">
        <v>2059</v>
      </c>
      <c r="B76" s="1240" t="str">
        <f>估价对象房地状况!C21</f>
        <v>估价对象所在区域公共配套设施齐备情况</v>
      </c>
      <c r="C76" s="1887" t="s">
        <v>3404</v>
      </c>
      <c r="D76" s="1002">
        <f t="shared" si="17"/>
        <v>2.5999999999999999E-3</v>
      </c>
      <c r="E76" s="705"/>
      <c r="F76" s="1675"/>
      <c r="G76" s="1000">
        <v>2.5999999999999999E-3</v>
      </c>
      <c r="H76" s="1003">
        <f t="shared" si="18"/>
        <v>2.5999999999999999E-3</v>
      </c>
      <c r="I76" s="3069">
        <v>0.08</v>
      </c>
      <c r="J76" s="1001">
        <f t="shared" si="19"/>
        <v>5.1999999999999998E-3</v>
      </c>
      <c r="K76" s="1001">
        <f t="shared" si="20"/>
        <v>2.5999999999999999E-3</v>
      </c>
      <c r="L76" s="1001">
        <v>0</v>
      </c>
      <c r="M76" s="1001">
        <f t="shared" si="21"/>
        <v>-2.5999999999999999E-3</v>
      </c>
      <c r="N76" s="1001">
        <f t="shared" si="21"/>
        <v>-5.1999999999999998E-3</v>
      </c>
      <c r="O76" s="1056"/>
      <c r="P76" s="1056"/>
      <c r="Z76" s="1845"/>
      <c r="AA76" s="1895"/>
      <c r="AG76" s="1058"/>
      <c r="AK76" s="1895"/>
    </row>
    <row r="77" spans="1:37" ht="25.5">
      <c r="A77" s="1970" t="s">
        <v>2060</v>
      </c>
      <c r="B77" s="1240" t="str">
        <f>估价对象房地状况!C22</f>
        <v>估价对象所在区域基础设施水平</v>
      </c>
      <c r="C77" s="1887" t="s">
        <v>3405</v>
      </c>
      <c r="D77" s="1002">
        <f t="shared" si="17"/>
        <v>5.7999999999999996E-3</v>
      </c>
      <c r="E77" s="705"/>
      <c r="F77" s="1675"/>
      <c r="G77" s="1000">
        <v>2.8999999999999998E-3</v>
      </c>
      <c r="H77" s="1003">
        <f t="shared" si="18"/>
        <v>2.8999999999999998E-3</v>
      </c>
      <c r="I77" s="3069">
        <v>0.09</v>
      </c>
      <c r="J77" s="1001">
        <f t="shared" si="19"/>
        <v>5.7999999999999996E-3</v>
      </c>
      <c r="K77" s="1001">
        <f t="shared" si="20"/>
        <v>2.8999999999999998E-3</v>
      </c>
      <c r="L77" s="1001">
        <v>0</v>
      </c>
      <c r="M77" s="1001">
        <f t="shared" si="21"/>
        <v>-2.8999999999999998E-3</v>
      </c>
      <c r="N77" s="1001">
        <f t="shared" si="21"/>
        <v>-5.7999999999999996E-3</v>
      </c>
      <c r="O77" s="1056"/>
      <c r="P77" s="1056"/>
      <c r="Z77" s="1845"/>
      <c r="AA77" s="1895"/>
      <c r="AG77" s="1058"/>
      <c r="AK77" s="1895"/>
    </row>
    <row r="78" spans="1:37" ht="24">
      <c r="A78" s="1970" t="s">
        <v>2057</v>
      </c>
      <c r="B78" s="1975" t="s">
        <v>2058</v>
      </c>
      <c r="C78" s="1887" t="s">
        <v>3404</v>
      </c>
      <c r="D78" s="1002">
        <f t="shared" si="17"/>
        <v>1.6000000000000001E-3</v>
      </c>
      <c r="E78" s="705"/>
      <c r="F78" s="1675"/>
      <c r="G78" s="1000">
        <v>1.6000000000000001E-3</v>
      </c>
      <c r="H78" s="1003">
        <f t="shared" si="18"/>
        <v>1.6000000000000001E-3</v>
      </c>
      <c r="I78" s="3069">
        <v>0.05</v>
      </c>
      <c r="J78" s="1001">
        <f t="shared" si="19"/>
        <v>3.2000000000000002E-3</v>
      </c>
      <c r="K78" s="1001">
        <f t="shared" si="20"/>
        <v>1.6000000000000001E-3</v>
      </c>
      <c r="L78" s="1001">
        <v>0</v>
      </c>
      <c r="M78" s="1001">
        <f t="shared" si="21"/>
        <v>-1.6000000000000001E-3</v>
      </c>
      <c r="N78" s="1001">
        <f t="shared" si="21"/>
        <v>-3.2000000000000002E-3</v>
      </c>
      <c r="O78" s="1844"/>
      <c r="P78" s="1844"/>
      <c r="Z78" s="1845"/>
      <c r="AA78" s="1895"/>
      <c r="AG78" s="1058"/>
      <c r="AK78" s="1895"/>
    </row>
    <row r="79" spans="1:37" ht="25.5">
      <c r="A79" s="1970" t="s">
        <v>2061</v>
      </c>
      <c r="B79" s="1973" t="str">
        <f>估价对象房地状况!C20</f>
        <v>区域自然环境：；人文环境；综合评价环境状况一般</v>
      </c>
      <c r="C79" s="1887" t="s">
        <v>3404</v>
      </c>
      <c r="D79" s="1002">
        <f t="shared" si="17"/>
        <v>3.8999999999999998E-3</v>
      </c>
      <c r="E79" s="705"/>
      <c r="F79" s="1675"/>
      <c r="G79" s="1000">
        <v>3.8999999999999998E-3</v>
      </c>
      <c r="H79" s="1003">
        <f t="shared" si="18"/>
        <v>3.8999999999999998E-3</v>
      </c>
      <c r="I79" s="3069">
        <v>0.12</v>
      </c>
      <c r="J79" s="1001">
        <f t="shared" si="19"/>
        <v>7.7999999999999996E-3</v>
      </c>
      <c r="K79" s="1001">
        <f t="shared" si="20"/>
        <v>3.8999999999999998E-3</v>
      </c>
      <c r="L79" s="1001">
        <v>0</v>
      </c>
      <c r="M79" s="1001">
        <f t="shared" si="21"/>
        <v>-3.8999999999999998E-3</v>
      </c>
      <c r="N79" s="1001">
        <f t="shared" si="21"/>
        <v>-7.7999999999999996E-3</v>
      </c>
      <c r="Z79" s="1845"/>
      <c r="AA79" s="1895"/>
      <c r="AG79" s="1058"/>
      <c r="AK79" s="1895"/>
    </row>
    <row r="80" spans="1:37" ht="24.75" thickBot="1">
      <c r="A80" s="1977" t="s">
        <v>2068</v>
      </c>
      <c r="B80" s="1981"/>
      <c r="C80" s="1887" t="s">
        <v>3404</v>
      </c>
      <c r="D80" s="1002">
        <f t="shared" si="17"/>
        <v>1.6000000000000001E-3</v>
      </c>
      <c r="E80" s="706"/>
      <c r="F80" s="1675"/>
      <c r="G80" s="1000">
        <v>1.6000000000000001E-3</v>
      </c>
      <c r="H80" s="1003">
        <f t="shared" si="18"/>
        <v>1.6000000000000001E-3</v>
      </c>
      <c r="I80" s="3070">
        <v>0.05</v>
      </c>
      <c r="J80" s="1001">
        <f t="shared" si="19"/>
        <v>3.2000000000000002E-3</v>
      </c>
      <c r="K80" s="1001">
        <f t="shared" si="20"/>
        <v>1.6000000000000001E-3</v>
      </c>
      <c r="L80" s="1001">
        <v>0</v>
      </c>
      <c r="M80" s="1001">
        <f t="shared" si="21"/>
        <v>-1.6000000000000001E-3</v>
      </c>
      <c r="N80" s="1001">
        <f t="shared" si="21"/>
        <v>-3.2000000000000002E-3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49" t="s">
        <v>3296</v>
      </c>
      <c r="B103" s="3349"/>
      <c r="C103" s="3349"/>
      <c r="D103" s="3349"/>
      <c r="E103" s="3349"/>
      <c r="F103" s="3349"/>
      <c r="G103" s="3349"/>
      <c r="H103" s="3349"/>
      <c r="I103" s="3349"/>
      <c r="J103" s="3349"/>
      <c r="K103" s="1667"/>
      <c r="L103" s="1667"/>
      <c r="M103" s="1667"/>
      <c r="N103" s="1667"/>
    </row>
    <row r="104" spans="1:14">
      <c r="A104" s="3350" t="s">
        <v>3297</v>
      </c>
      <c r="B104" s="3350" t="s">
        <v>3298</v>
      </c>
      <c r="C104" s="3091" t="s">
        <v>3299</v>
      </c>
      <c r="D104" s="3092"/>
      <c r="E104" s="3092"/>
      <c r="F104" s="3092"/>
      <c r="G104" s="3092"/>
      <c r="H104" s="3092"/>
      <c r="I104" s="3092"/>
      <c r="J104" s="3093"/>
      <c r="K104" s="3094"/>
      <c r="L104" s="3094"/>
      <c r="M104" s="3094"/>
      <c r="N104" s="3094"/>
    </row>
    <row r="105" spans="1:14">
      <c r="A105" s="3350"/>
      <c r="B105" s="3350"/>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336"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7"/>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3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39" t="s">
        <v>3313</v>
      </c>
      <c r="B113" s="3339"/>
      <c r="C113" s="3339"/>
      <c r="D113" s="3339"/>
      <c r="E113" s="3339"/>
      <c r="F113" s="3339"/>
      <c r="G113" s="3339"/>
      <c r="H113" s="3339"/>
      <c r="I113" s="3339"/>
      <c r="J113" s="333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1.8</v>
      </c>
      <c r="C116" s="3100" t="s">
        <v>3315</v>
      </c>
      <c r="D116" s="3101">
        <f>SUMPRODUCT((A118:A122=F116)*(B117:M117=H116)*B118:M122)</f>
        <v>0.91090000000000004</v>
      </c>
      <c r="E116" s="162" t="s">
        <v>3316</v>
      </c>
      <c r="F116" s="3102" t="str">
        <f>E2</f>
        <v>住宅</v>
      </c>
      <c r="G116" s="162" t="s">
        <v>3317</v>
      </c>
      <c r="H116" s="3102" t="str">
        <f>G2</f>
        <v>四级</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0.97699999999999998</v>
      </c>
      <c r="C118" s="3090">
        <f>B118</f>
        <v>0.97699999999999998</v>
      </c>
      <c r="D118" s="3090">
        <f>ROUND(0.949-0.014*B116,4)</f>
        <v>0.92379999999999995</v>
      </c>
      <c r="E118" s="3090">
        <f>D118</f>
        <v>0.92379999999999995</v>
      </c>
      <c r="F118" s="3090">
        <f>E118</f>
        <v>0.92379999999999995</v>
      </c>
      <c r="G118" s="3090">
        <f>F118</f>
        <v>0.92379999999999995</v>
      </c>
      <c r="H118" s="3090">
        <f>G118</f>
        <v>0.92379999999999995</v>
      </c>
      <c r="I118" s="3090">
        <f>ROUND(0.8486-0.018*B116,4)</f>
        <v>0.81620000000000004</v>
      </c>
      <c r="J118" s="3090">
        <f t="shared" ref="J118:M122" si="35">I118</f>
        <v>0.81620000000000004</v>
      </c>
      <c r="K118" s="3090">
        <f t="shared" si="35"/>
        <v>0.81620000000000004</v>
      </c>
      <c r="L118" s="3090">
        <f t="shared" si="35"/>
        <v>0.81620000000000004</v>
      </c>
      <c r="M118" s="3110">
        <f t="shared" si="35"/>
        <v>0.81620000000000004</v>
      </c>
      <c r="N118" s="3098"/>
    </row>
    <row r="119" spans="1:14">
      <c r="A119" s="3058" t="s">
        <v>3331</v>
      </c>
      <c r="B119" s="3090">
        <f>ROUND(0.993-0.0112*B116,4)</f>
        <v>0.9728</v>
      </c>
      <c r="C119" s="3090">
        <f>B119</f>
        <v>0.9728</v>
      </c>
      <c r="D119" s="3090">
        <f>ROUND(0.9415-0.0142*B116,4)</f>
        <v>0.91590000000000005</v>
      </c>
      <c r="E119" s="3090">
        <f t="shared" ref="E119:H120" si="36">D119</f>
        <v>0.91590000000000005</v>
      </c>
      <c r="F119" s="3090">
        <f t="shared" si="36"/>
        <v>0.91590000000000005</v>
      </c>
      <c r="G119" s="3090">
        <f t="shared" si="36"/>
        <v>0.91590000000000005</v>
      </c>
      <c r="H119" s="3090">
        <f t="shared" si="36"/>
        <v>0.91590000000000005</v>
      </c>
      <c r="I119" s="3090">
        <f>ROUND(0.838-0.0182*B116,4)</f>
        <v>0.80520000000000003</v>
      </c>
      <c r="J119" s="3090">
        <f t="shared" si="35"/>
        <v>0.80520000000000003</v>
      </c>
      <c r="K119" s="3090">
        <f t="shared" si="35"/>
        <v>0.80520000000000003</v>
      </c>
      <c r="L119" s="3090">
        <f t="shared" si="35"/>
        <v>0.80520000000000003</v>
      </c>
      <c r="M119" s="3110">
        <f t="shared" si="35"/>
        <v>0.80520000000000003</v>
      </c>
      <c r="N119" s="3098"/>
    </row>
    <row r="120" spans="1:14">
      <c r="A120" s="3058" t="s">
        <v>3332</v>
      </c>
      <c r="B120" s="3090">
        <f>ROUND(0.9448-0.0115*B116,4)</f>
        <v>0.92410000000000003</v>
      </c>
      <c r="C120" s="3090">
        <f>B120</f>
        <v>0.92410000000000003</v>
      </c>
      <c r="D120" s="3090">
        <f>ROUND(0.937-0.0145*B116,4)</f>
        <v>0.91090000000000004</v>
      </c>
      <c r="E120" s="3090">
        <f t="shared" si="36"/>
        <v>0.91090000000000004</v>
      </c>
      <c r="F120" s="3090">
        <f t="shared" si="36"/>
        <v>0.91090000000000004</v>
      </c>
      <c r="G120" s="3090">
        <f t="shared" si="36"/>
        <v>0.91090000000000004</v>
      </c>
      <c r="H120" s="3090">
        <f t="shared" si="36"/>
        <v>0.91090000000000004</v>
      </c>
      <c r="I120" s="3090">
        <f>ROUND(0.7965-0.0185*B116,4)</f>
        <v>0.76319999999999999</v>
      </c>
      <c r="J120" s="3090">
        <f t="shared" si="35"/>
        <v>0.76319999999999999</v>
      </c>
      <c r="K120" s="3090">
        <f t="shared" si="35"/>
        <v>0.76319999999999999</v>
      </c>
      <c r="L120" s="3090">
        <f t="shared" si="35"/>
        <v>0.76319999999999999</v>
      </c>
      <c r="M120" s="3110">
        <f t="shared" si="35"/>
        <v>0.76319999999999999</v>
      </c>
      <c r="N120" s="3098"/>
    </row>
    <row r="121" spans="1:14" ht="13.5" thickBot="1">
      <c r="A121" s="3111" t="s">
        <v>3333</v>
      </c>
      <c r="B121" s="3112">
        <f>ROUND(0.7836-0.012*B116,4)</f>
        <v>0.76200000000000001</v>
      </c>
      <c r="C121" s="3112">
        <f>B121</f>
        <v>0.76200000000000001</v>
      </c>
      <c r="D121" s="3112">
        <f>ROUND(0.753-0.015*B116,4)</f>
        <v>0.72599999999999998</v>
      </c>
      <c r="E121" s="3112">
        <f>D121</f>
        <v>0.72599999999999998</v>
      </c>
      <c r="F121" s="3112">
        <f>E121</f>
        <v>0.72599999999999998</v>
      </c>
      <c r="G121" s="3112">
        <f>ROUND(0.6612-0.018*B116,4)</f>
        <v>0.62880000000000003</v>
      </c>
      <c r="H121" s="3112">
        <f>G121</f>
        <v>0.62880000000000003</v>
      </c>
      <c r="I121" s="3112">
        <f>ROUND(0.5905-0.019*B116,4)</f>
        <v>0.55630000000000002</v>
      </c>
      <c r="J121" s="3112">
        <f t="shared" si="35"/>
        <v>0.55630000000000002</v>
      </c>
      <c r="K121" s="3112">
        <f t="shared" si="35"/>
        <v>0.55630000000000002</v>
      </c>
      <c r="L121" s="3112">
        <f t="shared" si="35"/>
        <v>0.55630000000000002</v>
      </c>
      <c r="M121" s="3113">
        <f t="shared" si="35"/>
        <v>0.55630000000000002</v>
      </c>
      <c r="N121" s="3098"/>
    </row>
    <row r="122" spans="1:14">
      <c r="A122" s="3114" t="s">
        <v>2614</v>
      </c>
      <c r="B122" s="3090">
        <f>ROUND(0.9404-0.0106*B116,4)</f>
        <v>0.92130000000000001</v>
      </c>
      <c r="C122" s="3090">
        <f>B122</f>
        <v>0.92130000000000001</v>
      </c>
      <c r="D122" s="3090">
        <f>ROUND(0.8955-0.0135*B116,4)</f>
        <v>0.87119999999999997</v>
      </c>
      <c r="E122" s="3090">
        <f t="shared" ref="E122:H122" si="37">D122</f>
        <v>0.87119999999999997</v>
      </c>
      <c r="F122" s="3090">
        <f t="shared" si="37"/>
        <v>0.87119999999999997</v>
      </c>
      <c r="G122" s="3090">
        <f t="shared" si="37"/>
        <v>0.87119999999999997</v>
      </c>
      <c r="H122" s="3090">
        <f t="shared" si="37"/>
        <v>0.87119999999999997</v>
      </c>
      <c r="I122" s="3090">
        <f>ROUND(0.7632-0.0166*B116,4)</f>
        <v>0.73329999999999995</v>
      </c>
      <c r="J122" s="3090">
        <f t="shared" si="35"/>
        <v>0.73329999999999995</v>
      </c>
      <c r="K122" s="3090">
        <f t="shared" si="35"/>
        <v>0.73329999999999995</v>
      </c>
      <c r="L122" s="3090">
        <f t="shared" si="35"/>
        <v>0.73329999999999995</v>
      </c>
      <c r="M122" s="3110">
        <f t="shared" si="35"/>
        <v>0.73329999999999995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61" t="s">
        <v>2319</v>
      </c>
      <c r="K2" s="3362"/>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63" t="s">
        <v>2329</v>
      </c>
      <c r="K3" s="3364"/>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63" t="s">
        <v>2331</v>
      </c>
      <c r="K4" s="3364"/>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9" t="s">
        <v>2335</v>
      </c>
      <c r="B6" s="3370"/>
      <c r="C6" s="3371"/>
      <c r="D6" s="2622"/>
      <c r="E6" s="2623"/>
      <c r="F6" s="2624"/>
      <c r="G6" s="2625"/>
      <c r="H6" s="2600"/>
      <c r="I6" s="2601"/>
      <c r="J6" s="3355">
        <v>1</v>
      </c>
      <c r="K6" s="3356"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55"/>
      <c r="K7" s="3357"/>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72" t="s">
        <v>2349</v>
      </c>
      <c r="C8" s="3373"/>
      <c r="D8" s="2641" t="s">
        <v>2350</v>
      </c>
      <c r="E8" s="2642" t="s">
        <v>2351</v>
      </c>
      <c r="F8" s="2643" t="s">
        <v>2352</v>
      </c>
      <c r="G8" s="2644"/>
      <c r="H8" s="2600"/>
      <c r="I8" s="2601"/>
      <c r="J8" s="3355"/>
      <c r="K8" s="3357"/>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72" t="s">
        <v>2355</v>
      </c>
      <c r="C9" s="3373"/>
      <c r="D9" s="2641">
        <f>ROUND(D6*E9,0)</f>
        <v>0</v>
      </c>
      <c r="E9" s="2645"/>
      <c r="F9" s="2646" t="s">
        <v>2356</v>
      </c>
      <c r="G9" s="2625"/>
      <c r="H9" s="2600"/>
      <c r="I9" s="2601"/>
      <c r="J9" s="3355"/>
      <c r="K9" s="3357"/>
      <c r="L9" s="2635" t="s">
        <v>2357</v>
      </c>
      <c r="M9" s="2636"/>
      <c r="N9" s="2612"/>
      <c r="O9" s="2637"/>
      <c r="P9" s="2637"/>
      <c r="Q9" s="2638">
        <v>365</v>
      </c>
      <c r="R9" s="2639">
        <f t="shared" si="0"/>
        <v>0</v>
      </c>
      <c r="S9" s="2593"/>
      <c r="T9" s="2593"/>
      <c r="U9" s="2593"/>
      <c r="V9" s="2601"/>
    </row>
    <row r="10" spans="1:22" s="2605" customFormat="1" ht="13.15" customHeight="1">
      <c r="A10" s="2640">
        <v>2</v>
      </c>
      <c r="B10" s="3372" t="s">
        <v>2358</v>
      </c>
      <c r="C10" s="3373"/>
      <c r="D10" s="2641">
        <f>ROUND(D6*E10,0)</f>
        <v>0</v>
      </c>
      <c r="E10" s="2645"/>
      <c r="F10" s="2646" t="s">
        <v>2359</v>
      </c>
      <c r="G10" s="2625"/>
      <c r="H10" s="2600"/>
      <c r="I10" s="2601"/>
      <c r="J10" s="3355"/>
      <c r="K10" s="3357"/>
      <c r="L10" s="2635" t="s">
        <v>2360</v>
      </c>
      <c r="M10" s="2636"/>
      <c r="N10" s="2612"/>
      <c r="O10" s="2637"/>
      <c r="P10" s="2637"/>
      <c r="Q10" s="2638">
        <v>365</v>
      </c>
      <c r="R10" s="2639">
        <f t="shared" si="0"/>
        <v>0</v>
      </c>
      <c r="S10" s="2593"/>
      <c r="T10" s="2593"/>
      <c r="U10" s="2593"/>
      <c r="V10" s="2601"/>
    </row>
    <row r="11" spans="1:22" s="2605" customFormat="1" ht="13.15" customHeight="1">
      <c r="A11" s="2640">
        <v>3</v>
      </c>
      <c r="B11" s="3372" t="s">
        <v>2361</v>
      </c>
      <c r="C11" s="3373"/>
      <c r="D11" s="2641">
        <f>D12+D14+D15+D16</f>
        <v>0</v>
      </c>
      <c r="E11" s="2647" t="e">
        <f>D11/D6</f>
        <v>#DIV/0!</v>
      </c>
      <c r="F11" s="2643"/>
      <c r="G11" s="2644"/>
      <c r="H11" s="2600"/>
      <c r="I11" s="2601"/>
      <c r="J11" s="3355"/>
      <c r="K11" s="3357"/>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65" t="s">
        <v>2364</v>
      </c>
      <c r="C12" s="3366"/>
      <c r="D12" s="2649">
        <f>ROUND(D13*1.2%*(1-30%),0)</f>
        <v>0</v>
      </c>
      <c r="E12" s="2650">
        <v>1.2E-2</v>
      </c>
      <c r="F12" s="2643" t="s">
        <v>2365</v>
      </c>
      <c r="G12" s="2644"/>
      <c r="H12" s="2600"/>
      <c r="I12" s="2601"/>
      <c r="J12" s="3355"/>
      <c r="K12" s="3357"/>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55"/>
      <c r="K13" s="3357"/>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65" t="s">
        <v>2370</v>
      </c>
      <c r="C14" s="3366"/>
      <c r="D14" s="2649">
        <f>ROUND(E14*B5/10000,0)</f>
        <v>0</v>
      </c>
      <c r="E14" s="2638"/>
      <c r="F14" s="2643" t="s">
        <v>2371</v>
      </c>
      <c r="G14" s="2644"/>
      <c r="H14" s="2600"/>
      <c r="I14" s="2601"/>
      <c r="J14" s="3355"/>
      <c r="K14" s="3358"/>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65" t="s">
        <v>2374</v>
      </c>
      <c r="C15" s="3366"/>
      <c r="D15" s="2649">
        <f>ROUND(D6*E15,0)</f>
        <v>0</v>
      </c>
      <c r="E15" s="2650">
        <v>5.5E-2</v>
      </c>
      <c r="F15" s="2643" t="s">
        <v>2375</v>
      </c>
      <c r="G15" s="2625"/>
      <c r="H15" s="2600"/>
      <c r="I15" s="2601"/>
      <c r="J15" s="3355">
        <v>2</v>
      </c>
      <c r="K15" s="3356"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65" t="s">
        <v>2383</v>
      </c>
      <c r="C16" s="3366"/>
      <c r="D16" s="2660">
        <f>D6*E16</f>
        <v>0</v>
      </c>
      <c r="E16" s="2661"/>
      <c r="F16" s="2646" t="s">
        <v>2384</v>
      </c>
      <c r="G16" s="2625"/>
      <c r="H16" s="2600"/>
      <c r="I16" s="2601"/>
      <c r="J16" s="3355"/>
      <c r="K16" s="3357"/>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7" t="s">
        <v>2386</v>
      </c>
      <c r="C17" s="3368"/>
      <c r="D17" s="2663">
        <f>ROUND(D6*E17,0)</f>
        <v>0</v>
      </c>
      <c r="E17" s="2664"/>
      <c r="F17" s="2665" t="s">
        <v>2387</v>
      </c>
      <c r="G17" s="2625"/>
      <c r="H17" s="2600"/>
      <c r="I17" s="2601"/>
      <c r="J17" s="3355"/>
      <c r="K17" s="3357"/>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55"/>
      <c r="K18" s="3357"/>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55"/>
      <c r="K19" s="3358"/>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5">
        <v>3</v>
      </c>
      <c r="K20" s="3356"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55"/>
      <c r="K21" s="3357"/>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55"/>
      <c r="K22" s="3357"/>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55"/>
      <c r="K23" s="3357"/>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55"/>
      <c r="K24" s="3358"/>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9">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6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61" t="s">
        <v>2319</v>
      </c>
      <c r="K32" s="3362"/>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63" t="s">
        <v>2329</v>
      </c>
      <c r="K33" s="3364"/>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63" t="s">
        <v>2331</v>
      </c>
      <c r="K34" s="336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55">
        <v>1</v>
      </c>
      <c r="K36" s="3356"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55"/>
      <c r="K37" s="3357"/>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5"/>
      <c r="K38" s="3357"/>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55"/>
      <c r="K39" s="3357"/>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55"/>
      <c r="K40" s="3358"/>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9">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6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106.694</v>
      </c>
      <c r="C2" s="1729" t="s">
        <v>1651</v>
      </c>
      <c r="D2" s="1730" t="s">
        <v>1652</v>
      </c>
      <c r="E2" s="2393">
        <f>SUM(E6:E13)</f>
        <v>38.18</v>
      </c>
      <c r="F2" s="2480"/>
      <c r="G2" s="459"/>
      <c r="H2" s="459"/>
      <c r="I2" s="459"/>
      <c r="J2" s="459"/>
      <c r="K2" s="459"/>
      <c r="L2" s="459"/>
      <c r="M2" s="459"/>
      <c r="N2" s="459"/>
      <c r="O2" s="459"/>
      <c r="P2" s="459"/>
      <c r="Q2" s="459"/>
      <c r="R2" s="459"/>
      <c r="S2" s="459"/>
    </row>
    <row r="3" spans="1:22" ht="15.75">
      <c r="A3" s="1728" t="s">
        <v>686</v>
      </c>
      <c r="B3" s="2387">
        <f ca="1">ROUND(B2*10000/E2,0)</f>
        <v>27945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4" t="s">
        <v>1654</v>
      </c>
      <c r="C5" s="337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106.694</v>
      </c>
      <c r="C6" s="1729" t="s">
        <v>1651</v>
      </c>
      <c r="D6" s="2480"/>
      <c r="E6" s="2392">
        <f>IF(OR(A6=0,F6="否"),0,'数据-取费表'!K6+'数据-取费表'!S6)</f>
        <v>38.18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90" zoomScaleNormal="60" zoomScaleSheetLayoutView="90" workbookViewId="0">
      <selection activeCell="K44" sqref="K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3391</v>
      </c>
      <c r="E1" s="3125" t="s">
        <v>3567</v>
      </c>
      <c r="F1" s="1735" t="s">
        <v>3566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141.31950000000001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37014</v>
      </c>
      <c r="C3" s="344" t="s">
        <v>1665</v>
      </c>
      <c r="D3" s="343">
        <f>IF(D1="",'数据-汇总表'!E3,SUMIF('数据-汇总表'!$C19:$C33,D1,'数据-汇总表'!$E19:$E33))</f>
        <v>38.18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4" t="s">
        <v>1667</v>
      </c>
      <c r="D4" s="3395"/>
      <c r="E4" s="3396" t="s">
        <v>1668</v>
      </c>
      <c r="F4" s="3397"/>
      <c r="G4" s="3394" t="s">
        <v>1669</v>
      </c>
      <c r="H4" s="3395"/>
      <c r="I4" s="3394" t="s">
        <v>1670</v>
      </c>
      <c r="J4" s="3395"/>
      <c r="K4" s="1744" t="s">
        <v>1671</v>
      </c>
      <c r="L4" s="2487"/>
      <c r="M4" s="2488"/>
      <c r="N4" s="2488"/>
      <c r="O4" s="2488"/>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ht="15">
      <c r="A5" s="348"/>
      <c r="B5" s="349"/>
      <c r="C5" s="3412" t="s">
        <v>1673</v>
      </c>
      <c r="D5" s="3413"/>
      <c r="E5" s="3419" t="s">
        <v>1674</v>
      </c>
      <c r="F5" s="3420"/>
      <c r="G5" s="3412" t="s">
        <v>1675</v>
      </c>
      <c r="H5" s="3413"/>
      <c r="I5" s="3412" t="s">
        <v>1676</v>
      </c>
      <c r="J5" s="3413"/>
      <c r="K5" s="1745"/>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1745"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f>售价案例!U6</f>
        <v>45506</v>
      </c>
      <c r="F7" s="357">
        <f>SUMIF(58:58,YEAR(E7)&amp;"-"&amp;MONTH(E7),59:59)</f>
        <v>100</v>
      </c>
      <c r="G7" s="356">
        <f>售价案例!U7</f>
        <v>45497</v>
      </c>
      <c r="H7" s="355">
        <f>SUMIF(58:58,YEAR(G7)&amp;"-"&amp;MONTH(G7),59:59)</f>
        <v>100</v>
      </c>
      <c r="I7" s="356">
        <f>售价案例!U10</f>
        <v>45497</v>
      </c>
      <c r="J7" s="355">
        <f>SUMIF(58:58,YEAR(I7)&amp;"-"&amp;MONTH(I7),59:59)</f>
        <v>100</v>
      </c>
      <c r="K7" s="1746"/>
      <c r="L7" s="2489"/>
      <c r="M7" s="2440"/>
      <c r="N7" s="2440"/>
      <c r="O7" s="2440"/>
      <c r="P7" s="3414" t="s">
        <v>1680</v>
      </c>
      <c r="Q7" s="3416"/>
      <c r="R7" s="664" t="s">
        <v>20</v>
      </c>
      <c r="S7" s="665">
        <f t="shared" ref="S7:S15" si="0">F7</f>
        <v>100</v>
      </c>
      <c r="T7" s="664" t="s">
        <v>20</v>
      </c>
      <c r="U7" s="665">
        <f t="shared" ref="U7:U15" si="1">H7</f>
        <v>100</v>
      </c>
      <c r="V7" s="664" t="s">
        <v>20</v>
      </c>
      <c r="W7" s="665">
        <f t="shared" ref="W7:W15" si="2">J7</f>
        <v>100</v>
      </c>
      <c r="X7" s="666"/>
      <c r="Y7" s="3414" t="s">
        <v>1680</v>
      </c>
      <c r="Z7" s="3415"/>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90"/>
      <c r="Q11" s="530" t="str">
        <f t="shared" si="6"/>
        <v>容积率</v>
      </c>
      <c r="R11" s="664" t="s">
        <v>18</v>
      </c>
      <c r="S11" s="665">
        <f t="shared" si="0"/>
        <v>100</v>
      </c>
      <c r="T11" s="664" t="s">
        <v>18</v>
      </c>
      <c r="U11" s="665">
        <f t="shared" si="1"/>
        <v>100</v>
      </c>
      <c r="V11" s="664" t="s">
        <v>18</v>
      </c>
      <c r="W11" s="665">
        <f t="shared" si="2"/>
        <v>100</v>
      </c>
      <c r="X11" s="666"/>
      <c r="Y11" s="323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0"/>
      <c r="Q12" s="530">
        <f t="shared" si="6"/>
        <v>111</v>
      </c>
      <c r="R12" s="664" t="s">
        <v>18</v>
      </c>
      <c r="S12" s="665">
        <f t="shared" si="0"/>
        <v>100</v>
      </c>
      <c r="T12" s="664" t="s">
        <v>18</v>
      </c>
      <c r="U12" s="665">
        <f t="shared" si="1"/>
        <v>100</v>
      </c>
      <c r="V12" s="664" t="s">
        <v>18</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0"/>
      <c r="Q13" s="530">
        <f t="shared" si="6"/>
        <v>111</v>
      </c>
      <c r="R13" s="664" t="s">
        <v>18</v>
      </c>
      <c r="S13" s="665">
        <f t="shared" si="0"/>
        <v>100</v>
      </c>
      <c r="T13" s="664" t="s">
        <v>18</v>
      </c>
      <c r="U13" s="665">
        <f t="shared" si="1"/>
        <v>100</v>
      </c>
      <c r="V13" s="664" t="s">
        <v>18</v>
      </c>
      <c r="W13" s="665">
        <f t="shared" si="2"/>
        <v>100</v>
      </c>
      <c r="X13" s="666"/>
      <c r="Y13" s="323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0"/>
      <c r="Q14" s="530">
        <f t="shared" si="6"/>
        <v>111</v>
      </c>
      <c r="R14" s="664" t="s">
        <v>18</v>
      </c>
      <c r="S14" s="665">
        <f t="shared" si="0"/>
        <v>100</v>
      </c>
      <c r="T14" s="664" t="s">
        <v>18</v>
      </c>
      <c r="U14" s="665">
        <f t="shared" si="1"/>
        <v>100</v>
      </c>
      <c r="V14" s="664" t="s">
        <v>18</v>
      </c>
      <c r="W14" s="665">
        <f t="shared" si="2"/>
        <v>100</v>
      </c>
      <c r="X14" s="666"/>
      <c r="Y14" s="323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9"/>
      <c r="Q16" s="1263"/>
      <c r="R16" s="667"/>
      <c r="S16" s="668"/>
      <c r="T16" s="667"/>
      <c r="U16" s="668"/>
      <c r="V16" s="667"/>
      <c r="W16" s="668"/>
      <c r="X16" s="1265"/>
      <c r="Y16" s="338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9"/>
      <c r="Q18" s="1263"/>
      <c r="R18" s="667"/>
      <c r="S18" s="668"/>
      <c r="T18" s="667"/>
      <c r="U18" s="668"/>
      <c r="V18" s="667"/>
      <c r="W18" s="668"/>
      <c r="X18" s="1265"/>
      <c r="Y18" s="338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9"/>
      <c r="Q20" s="1263"/>
      <c r="R20" s="667"/>
      <c r="S20" s="668"/>
      <c r="T20" s="667"/>
      <c r="U20" s="668"/>
      <c r="V20" s="667"/>
      <c r="W20" s="668"/>
      <c r="X20" s="1265"/>
      <c r="Y20" s="338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9"/>
      <c r="Q22" s="1263"/>
      <c r="R22" s="667"/>
      <c r="S22" s="668"/>
      <c r="T22" s="667"/>
      <c r="U22" s="668"/>
      <c r="V22" s="667"/>
      <c r="W22" s="668"/>
      <c r="X22" s="1265"/>
      <c r="Y22" s="338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t="s">
        <v>3617</v>
      </c>
      <c r="D26" s="374">
        <v>100</v>
      </c>
      <c r="E26" s="1760" t="s">
        <v>3612</v>
      </c>
      <c r="F26" s="374">
        <f>SUMIF(88:88,E26,89:89)-SUMIF(88:88,C26,89:89)+100</f>
        <v>101</v>
      </c>
      <c r="G26" s="1760" t="s">
        <v>3612</v>
      </c>
      <c r="H26" s="374">
        <f>SUMIF(88:88,G26,89:89)-SUMIF(88:88,C26,89:89)+100</f>
        <v>101</v>
      </c>
      <c r="I26" s="1760" t="s">
        <v>3612</v>
      </c>
      <c r="J26" s="374">
        <f>SUMIF(88:88,I26,89:89)-SUMIF(88:88,C26,89:89)+100</f>
        <v>101</v>
      </c>
      <c r="K26" s="365">
        <v>1</v>
      </c>
      <c r="L26" s="2493"/>
      <c r="M26" s="2488"/>
      <c r="N26" s="2488"/>
      <c r="O26" s="2488"/>
      <c r="P26" s="3389"/>
      <c r="Q26" s="1263" t="str">
        <f t="shared" si="11"/>
        <v>朝向</v>
      </c>
      <c r="R26" s="667" t="s">
        <v>18</v>
      </c>
      <c r="S26" s="668">
        <f t="shared" si="12"/>
        <v>101</v>
      </c>
      <c r="T26" s="667" t="s">
        <v>18</v>
      </c>
      <c r="U26" s="668">
        <f t="shared" si="13"/>
        <v>101</v>
      </c>
      <c r="V26" s="667" t="s">
        <v>18</v>
      </c>
      <c r="W26" s="668">
        <f t="shared" si="14"/>
        <v>101</v>
      </c>
      <c r="X26" s="1265"/>
      <c r="Y26" s="3382"/>
      <c r="Z26" s="1264" t="str">
        <f>Q26</f>
        <v>朝向</v>
      </c>
      <c r="AA26" s="1264">
        <f t="shared" si="15"/>
        <v>0.99009900990099009</v>
      </c>
      <c r="AB26" s="1264">
        <f t="shared" si="16"/>
        <v>0.99009900990099009</v>
      </c>
      <c r="AC26" s="1264">
        <f t="shared" si="17"/>
        <v>0.99009900990099009</v>
      </c>
    </row>
    <row r="27" spans="1:29" s="102" customFormat="1" ht="15">
      <c r="A27" s="370"/>
      <c r="B27" s="3503" t="s">
        <v>3626</v>
      </c>
      <c r="C27" s="403" t="s">
        <v>3620</v>
      </c>
      <c r="D27" s="401">
        <v>100</v>
      </c>
      <c r="E27" s="403" t="s">
        <v>3623</v>
      </c>
      <c r="F27" s="401">
        <f>SUMIF(90:90,E27,91:91)-SUMIF(90:90,C27,91:91)+100</f>
        <v>102</v>
      </c>
      <c r="G27" s="402" t="s">
        <v>3623</v>
      </c>
      <c r="H27" s="401">
        <f>SUMIF(90:90,G27,91:91)-SUMIF(90:90,C27,91:91)+100</f>
        <v>102</v>
      </c>
      <c r="I27" s="402" t="s">
        <v>3622</v>
      </c>
      <c r="J27" s="401">
        <f>SUMIF(90:90,I27,91:91)-SUMIF(90:90,C27,91:91)+100</f>
        <v>102</v>
      </c>
      <c r="K27" s="1748"/>
      <c r="L27" s="2489"/>
      <c r="M27" s="2440"/>
      <c r="N27" s="2440"/>
      <c r="O27" s="2440"/>
      <c r="P27" s="3389"/>
      <c r="Q27" s="530" t="str">
        <f t="shared" si="11"/>
        <v>楼层</v>
      </c>
      <c r="R27" s="664" t="s">
        <v>18</v>
      </c>
      <c r="S27" s="665">
        <f t="shared" si="12"/>
        <v>102</v>
      </c>
      <c r="T27" s="664" t="s">
        <v>18</v>
      </c>
      <c r="U27" s="665">
        <f t="shared" si="13"/>
        <v>102</v>
      </c>
      <c r="V27" s="664" t="s">
        <v>18</v>
      </c>
      <c r="W27" s="665">
        <f t="shared" si="14"/>
        <v>102</v>
      </c>
      <c r="X27" s="666"/>
      <c r="Y27" s="3382"/>
      <c r="Z27" s="50" t="str">
        <f>Q27</f>
        <v>楼层</v>
      </c>
      <c r="AA27" s="1264">
        <f t="shared" si="15"/>
        <v>0.98039215686274506</v>
      </c>
      <c r="AB27" s="1264">
        <f t="shared" si="16"/>
        <v>0.98039215686274506</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38.18</v>
      </c>
      <c r="D33" s="119">
        <v>100</v>
      </c>
      <c r="E33" s="369">
        <f>售价案例!J6</f>
        <v>55.1</v>
      </c>
      <c r="F33" s="364">
        <f>LOOKUP(E33,103:103,104:104)-LOOKUP(C33,103:103,104:104)+100</f>
        <v>101</v>
      </c>
      <c r="G33" s="368">
        <f>售价案例!J7</f>
        <v>63.65</v>
      </c>
      <c r="H33" s="119">
        <f>LOOKUP(G33,103:103,104:104)-LOOKUP(C33,103:103,104:104)+100</f>
        <v>101</v>
      </c>
      <c r="I33" s="369">
        <f>售价案例!J10</f>
        <v>55</v>
      </c>
      <c r="J33" s="119">
        <f>LOOKUP(I33,103:103,104:104)-LOOKUP(C33,103:103,104:104)+100</f>
        <v>101</v>
      </c>
      <c r="K33" s="1748"/>
      <c r="L33" s="2492"/>
      <c r="M33" s="2494"/>
      <c r="N33" s="2494"/>
      <c r="O33" s="2494"/>
      <c r="P33" s="3384"/>
      <c r="Q33" s="531" t="str">
        <f t="shared" si="11"/>
        <v>项目建筑规模</v>
      </c>
      <c r="R33" s="669" t="s">
        <v>18</v>
      </c>
      <c r="S33" s="670">
        <f t="shared" si="12"/>
        <v>101</v>
      </c>
      <c r="T33" s="669" t="s">
        <v>18</v>
      </c>
      <c r="U33" s="670">
        <f t="shared" si="13"/>
        <v>101</v>
      </c>
      <c r="V33" s="669" t="s">
        <v>18</v>
      </c>
      <c r="W33" s="670">
        <f t="shared" si="14"/>
        <v>101</v>
      </c>
      <c r="X33" s="671"/>
      <c r="Y33" s="3386"/>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9"/>
      <c r="M37" s="2440"/>
      <c r="N37" s="2440"/>
      <c r="O37" s="2440"/>
      <c r="P37" s="3384"/>
      <c r="Q37" s="530" t="str">
        <f t="shared" si="11"/>
        <v>成新度</v>
      </c>
      <c r="R37" s="664" t="s">
        <v>18</v>
      </c>
      <c r="S37" s="665">
        <f t="shared" si="12"/>
        <v>100</v>
      </c>
      <c r="T37" s="664" t="s">
        <v>18</v>
      </c>
      <c r="U37" s="665">
        <f t="shared" si="13"/>
        <v>100</v>
      </c>
      <c r="V37" s="664" t="s">
        <v>18</v>
      </c>
      <c r="W37" s="665">
        <f t="shared" si="14"/>
        <v>100</v>
      </c>
      <c r="X37" s="666"/>
      <c r="Y37" s="3386"/>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t="s">
        <v>3575</v>
      </c>
      <c r="D42" s="374">
        <v>100</v>
      </c>
      <c r="E42" s="1761" t="s">
        <v>3573</v>
      </c>
      <c r="F42" s="400">
        <f>SUMIF(122:122,E42,123:123)-SUMIF(122:122,C42,123:123)+100</f>
        <v>101</v>
      </c>
      <c r="G42" s="1761" t="s">
        <v>3573</v>
      </c>
      <c r="H42" s="374">
        <f>SUMIF(122:122,G42,123:123)-SUMIF(122:122,C42,123:123)+100</f>
        <v>101</v>
      </c>
      <c r="I42" s="1761" t="s">
        <v>3573</v>
      </c>
      <c r="J42" s="374">
        <f>SUMIF(122:122,I42,123:123)-SUMIF(122:122,C42,123:123)+100</f>
        <v>101</v>
      </c>
      <c r="K42" s="365">
        <v>1</v>
      </c>
      <c r="L42" s="2493"/>
      <c r="M42" s="2488"/>
      <c r="N42" s="2488"/>
      <c r="O42" s="2488"/>
      <c r="P42" s="3384"/>
      <c r="Q42" s="1263" t="str">
        <f t="shared" si="11"/>
        <v>内部装修</v>
      </c>
      <c r="R42" s="667" t="s">
        <v>18</v>
      </c>
      <c r="S42" s="668">
        <f t="shared" si="12"/>
        <v>101</v>
      </c>
      <c r="T42" s="667" t="s">
        <v>18</v>
      </c>
      <c r="U42" s="668">
        <f t="shared" si="13"/>
        <v>101</v>
      </c>
      <c r="V42" s="667" t="s">
        <v>18</v>
      </c>
      <c r="W42" s="668">
        <f t="shared" si="14"/>
        <v>101</v>
      </c>
      <c r="X42" s="1265"/>
      <c r="Y42" s="3386"/>
      <c r="Z42" s="1264" t="str">
        <f t="shared" si="18"/>
        <v>内部装修</v>
      </c>
      <c r="AA42" s="1264">
        <f t="shared" si="15"/>
        <v>0.99009900990099009</v>
      </c>
      <c r="AB42" s="1264">
        <f t="shared" si="16"/>
        <v>0.99009900990099009</v>
      </c>
      <c r="AC42" s="1264">
        <f t="shared" si="17"/>
        <v>0.99009900990099009</v>
      </c>
    </row>
    <row r="43" spans="1:29" ht="15">
      <c r="A43" s="409"/>
      <c r="B43" s="364" t="s">
        <v>1707</v>
      </c>
      <c r="C43" s="1760" t="s">
        <v>3627</v>
      </c>
      <c r="D43" s="374">
        <v>100</v>
      </c>
      <c r="E43" s="1761" t="s">
        <v>3404</v>
      </c>
      <c r="F43" s="400">
        <f>SUMIF(124:124,E43,125:125)-SUMIF(124:124,C43,125:125)+100</f>
        <v>101</v>
      </c>
      <c r="G43" s="1761" t="s">
        <v>3404</v>
      </c>
      <c r="H43" s="374">
        <f>SUMIF(124:124,G43,125:125)-SUMIF(124:124,C43,125:125)+100</f>
        <v>101</v>
      </c>
      <c r="I43" s="1761" t="s">
        <v>3404</v>
      </c>
      <c r="J43" s="374">
        <f>SUMIF(124:124,I43,125:125)-SUMIF(124:124,C43,125:125)+100</f>
        <v>101</v>
      </c>
      <c r="K43" s="365">
        <v>1</v>
      </c>
      <c r="L43" s="2493"/>
      <c r="M43" s="2488"/>
      <c r="N43" s="2488"/>
      <c r="O43" s="2488"/>
      <c r="P43" s="3384"/>
      <c r="Q43" s="1263" t="str">
        <f t="shared" si="11"/>
        <v>内部装修维护情况</v>
      </c>
      <c r="R43" s="667" t="s">
        <v>18</v>
      </c>
      <c r="S43" s="668">
        <f t="shared" si="12"/>
        <v>101</v>
      </c>
      <c r="T43" s="667" t="s">
        <v>18</v>
      </c>
      <c r="U43" s="668">
        <f t="shared" si="13"/>
        <v>101</v>
      </c>
      <c r="V43" s="667" t="s">
        <v>18</v>
      </c>
      <c r="W43" s="668">
        <f t="shared" si="14"/>
        <v>101</v>
      </c>
      <c r="X43" s="1265"/>
      <c r="Y43" s="3386"/>
      <c r="Z43" s="1264" t="str">
        <f t="shared" si="18"/>
        <v>内部装修维护情况</v>
      </c>
      <c r="AA43" s="1264">
        <f t="shared" si="15"/>
        <v>0.99009900990099009</v>
      </c>
      <c r="AB43" s="1264">
        <f t="shared" si="16"/>
        <v>0.99009900990099009</v>
      </c>
      <c r="AC43" s="1264">
        <f t="shared" si="17"/>
        <v>0.99009900990099009</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5">
      <c r="A47" s="416" t="s">
        <v>1708</v>
      </c>
      <c r="B47" s="417"/>
      <c r="C47" s="1081" t="s">
        <v>16</v>
      </c>
      <c r="D47" s="418"/>
      <c r="E47" s="419">
        <f>售价案例!R2</f>
        <v>37244</v>
      </c>
      <c r="F47" s="420"/>
      <c r="G47" s="421">
        <f>售价案例!R3</f>
        <v>41053</v>
      </c>
      <c r="H47" s="422"/>
      <c r="I47" s="419">
        <f>售价案例!R6</f>
        <v>39564</v>
      </c>
      <c r="J47" s="422"/>
      <c r="K47" s="1767"/>
      <c r="L47" s="2495"/>
      <c r="M47" s="2488"/>
      <c r="N47" s="2488"/>
      <c r="O47" s="2488"/>
      <c r="P47" s="3379" t="str">
        <f>A47</f>
        <v>成交单价（元/平方米）</v>
      </c>
      <c r="Q47" s="3379"/>
      <c r="R47" s="3380">
        <f>E47</f>
        <v>37244</v>
      </c>
      <c r="S47" s="3380"/>
      <c r="T47" s="3380">
        <f>G47</f>
        <v>41053</v>
      </c>
      <c r="U47" s="3380"/>
      <c r="V47" s="3380">
        <f>I47</f>
        <v>39564</v>
      </c>
      <c r="W47" s="3380"/>
      <c r="X47" s="385"/>
      <c r="Y47" s="673"/>
      <c r="Z47" s="385"/>
      <c r="AA47" s="385"/>
      <c r="AB47" s="385"/>
      <c r="AC47" s="385"/>
    </row>
    <row r="48" spans="1:29" ht="15.75" thickBot="1">
      <c r="A48" s="423" t="s">
        <v>1709</v>
      </c>
      <c r="B48" s="424"/>
      <c r="C48" s="1082">
        <f>R49</f>
        <v>37014</v>
      </c>
      <c r="D48" s="2141" t="s">
        <v>2138</v>
      </c>
      <c r="E48" s="1083">
        <f>R48</f>
        <v>35089</v>
      </c>
      <c r="F48" s="2142"/>
      <c r="G48" s="1082">
        <f>T48</f>
        <v>38678</v>
      </c>
      <c r="H48" s="2142"/>
      <c r="I48" s="1083">
        <f>V48</f>
        <v>37275</v>
      </c>
      <c r="J48" s="2142"/>
      <c r="K48" s="2143">
        <f>F48+H48+J48</f>
        <v>0</v>
      </c>
      <c r="L48" s="2495"/>
      <c r="M48" s="2488"/>
      <c r="N48" s="2488"/>
      <c r="O48" s="2488"/>
      <c r="P48" s="3379" t="str">
        <f>A48</f>
        <v>比较价值（元/平方米）</v>
      </c>
      <c r="Q48" s="3379"/>
      <c r="R48" s="3380">
        <f>IF(F1="售价",ROUND(PRODUCT(R47,AA7:AA46),0),ROUND(PRODUCT(R47,AA7:AA46),1))</f>
        <v>35089</v>
      </c>
      <c r="S48" s="3380"/>
      <c r="T48" s="3380">
        <f>IF(F1="售价",ROUND(PRODUCT(T47,AB7:AB46),0),ROUND(PRODUCT(T47,AB7:AB46),1))</f>
        <v>38678</v>
      </c>
      <c r="U48" s="3380"/>
      <c r="V48" s="3380">
        <f>IF(F1="售价",ROUND(PRODUCT(V47,AC7:AC46),0),ROUND(PRODUCT(V47,AC7:AC46),1))</f>
        <v>37275</v>
      </c>
      <c r="W48" s="3380"/>
      <c r="X48" s="385"/>
      <c r="Y48" s="385"/>
      <c r="Z48" s="385"/>
      <c r="AA48" s="385"/>
      <c r="AB48" s="385"/>
      <c r="AC48" s="385"/>
    </row>
    <row r="49" spans="1:29" ht="15.75" thickBot="1">
      <c r="A49" s="427" t="s">
        <v>1710</v>
      </c>
      <c r="B49" s="428"/>
      <c r="C49" s="1084">
        <f>R49</f>
        <v>37014</v>
      </c>
      <c r="D49" s="351"/>
      <c r="E49" s="351"/>
      <c r="F49" s="351"/>
      <c r="G49" s="351"/>
      <c r="H49" s="351"/>
      <c r="I49" s="351"/>
      <c r="J49" s="351"/>
      <c r="K49" s="1768"/>
      <c r="L49" s="2495"/>
      <c r="M49" s="2488"/>
      <c r="N49" s="2488"/>
      <c r="O49" s="2488"/>
      <c r="P49" s="3376" t="str">
        <f>A49</f>
        <v>估价对象XX用房的比较价值（楼面单价，元/平方米）</v>
      </c>
      <c r="Q49" s="3377"/>
      <c r="R49" s="3378">
        <f>IF(F1="售价",ROUND(IF(D48="简单平均",AVERAGE(R48:V48),R48*F48+T48*H48+V48*J48),0),ROUND(IF(D48="简单平均",AVERAGE(R48:V48),R48*F48+T48*H48+V48*J48),1))</f>
        <v>37014</v>
      </c>
      <c r="S49" s="3378"/>
      <c r="T49" s="3378"/>
      <c r="U49" s="3378"/>
      <c r="V49" s="3378"/>
      <c r="W49" s="33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6.1415258343070489E-2</v>
      </c>
      <c r="F52" s="435" t="str">
        <f>IF(OR(E52&gt;=0.3,E52&lt;=-0.3),"超过30%","")</f>
        <v/>
      </c>
      <c r="G52" s="434">
        <f>IF(G47&lt;G48,G48/G47-1,G47/G48-1)</f>
        <v>6.1404415947049928E-2</v>
      </c>
      <c r="H52" s="435" t="str">
        <f>IF(OR(G52&gt;=0.3,G52&lt;=-0.3),"超过30%","")</f>
        <v/>
      </c>
      <c r="I52" s="434">
        <f>IF(I47&lt;I48,I48/I47-1,I47/I48-1)</f>
        <v>6.1408450704225404E-2</v>
      </c>
      <c r="J52" s="435" t="str">
        <f>IF(OR(I52&gt;=0.3,I52&lt;=-0.3),"超过30%","")</f>
        <v/>
      </c>
      <c r="K52" s="2500"/>
      <c r="L52" s="2496"/>
      <c r="M52" s="2488"/>
      <c r="N52" s="2488"/>
      <c r="O52" s="2488"/>
    </row>
    <row r="53" spans="1:29" ht="13.5" customHeight="1">
      <c r="A53" s="2488"/>
      <c r="B53" s="2488"/>
      <c r="C53" s="432" t="s">
        <v>1712</v>
      </c>
      <c r="D53" s="436"/>
      <c r="E53" s="434">
        <f>IF(E48&lt;G48,G48/E48-1,E48/G48-1)</f>
        <v>0.10228276667901626</v>
      </c>
      <c r="F53" s="435" t="str">
        <f>IF(OR(E53&gt;=0.2,E53&lt;=-0.2),"超过20%","")</f>
        <v/>
      </c>
      <c r="G53" s="434">
        <f>IF(G48&lt;I48,I48/G48-1,G48/I48-1)</f>
        <v>3.7639168343393647E-2</v>
      </c>
      <c r="H53" s="435" t="str">
        <f>IF(OR(G53&gt;=0.2,G53&lt;=-0.2),"超过20%","")</f>
        <v/>
      </c>
      <c r="I53" s="434">
        <f>IF(I48&lt;E48,E48/I48-1,I48/E48-1)</f>
        <v>6.2298726096497559E-2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0.1022715068198905</v>
      </c>
      <c r="F54" s="435" t="str">
        <f>IF(OR(E54&gt;=0.3,E54&lt;=-0.3),"超过30%","")</f>
        <v/>
      </c>
      <c r="G54" s="434">
        <f>IF(G47&lt;I47,I47/G47-1,G47/I47-1)</f>
        <v>3.763522394095653E-2</v>
      </c>
      <c r="H54" s="435" t="str">
        <f>IF(OR(G54&gt;=0.3,G54&lt;=-0.3),"超过30%","")</f>
        <v/>
      </c>
      <c r="I54" s="434">
        <f>IF(I47&lt;E47,E47/I47-1,I47/E47-1)</f>
        <v>6.2291912791322179E-2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v>100</v>
      </c>
      <c r="E59" s="446">
        <v>100</v>
      </c>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483" t="s">
        <v>3616</v>
      </c>
      <c r="D88" s="3483" t="s">
        <v>3618</v>
      </c>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501" t="s">
        <v>3620</v>
      </c>
      <c r="D90" s="3501" t="s">
        <v>3621</v>
      </c>
      <c r="E90" s="3501" t="s">
        <v>3622</v>
      </c>
      <c r="F90" s="3501" t="s">
        <v>3623</v>
      </c>
      <c r="G90" s="3501" t="s">
        <v>3624</v>
      </c>
      <c r="H90" s="3502" t="s">
        <v>3625</v>
      </c>
      <c r="I90" s="486"/>
      <c r="J90" s="486"/>
      <c r="K90" s="486"/>
      <c r="L90" s="487"/>
      <c r="M90" s="488"/>
      <c r="N90" s="881"/>
      <c r="O90" s="881"/>
      <c r="P90" s="1776"/>
      <c r="Q90" s="490"/>
    </row>
    <row r="91" spans="1:17" s="408" customFormat="1" ht="15.75" thickBot="1">
      <c r="A91" s="484"/>
      <c r="B91" s="474"/>
      <c r="C91" s="491">
        <v>100</v>
      </c>
      <c r="D91" s="491">
        <v>101</v>
      </c>
      <c r="E91" s="491">
        <v>102</v>
      </c>
      <c r="F91" s="491">
        <v>102</v>
      </c>
      <c r="G91" s="491">
        <v>101</v>
      </c>
      <c r="H91" s="493">
        <v>100</v>
      </c>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101</v>
      </c>
      <c r="E104" s="467">
        <v>102</v>
      </c>
      <c r="F104" s="467"/>
      <c r="G104" s="467"/>
      <c r="H104" s="467"/>
      <c r="I104" s="467"/>
      <c r="J104" s="467"/>
      <c r="K104" s="467"/>
      <c r="L104" s="467"/>
      <c r="M104" s="467"/>
      <c r="N104" s="880"/>
      <c r="O104" s="880"/>
      <c r="P104" s="1776"/>
      <c r="Q104" s="490"/>
    </row>
    <row r="105" spans="1:17" ht="15" thickTop="1">
      <c r="A105" s="409"/>
      <c r="B105" s="469" t="s">
        <v>1738</v>
      </c>
      <c r="C105" s="3483" t="s">
        <v>3619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483" t="s">
        <v>3576</v>
      </c>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483" t="s">
        <v>3572</v>
      </c>
      <c r="D122" s="3483" t="s">
        <v>3574</v>
      </c>
      <c r="E122" s="3483" t="s">
        <v>3576</v>
      </c>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38.18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80"/>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80"/>
      <c r="AC6" s="3393"/>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0"/>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0"/>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8"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9"/>
      <c r="Q16" s="1263"/>
      <c r="R16" s="667"/>
      <c r="S16" s="668"/>
      <c r="T16" s="667"/>
      <c r="U16" s="668"/>
      <c r="V16" s="667"/>
      <c r="W16" s="668"/>
      <c r="X16" s="1265"/>
      <c r="Y16" s="338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9"/>
      <c r="Q18" s="1263"/>
      <c r="R18" s="667"/>
      <c r="S18" s="668"/>
      <c r="T18" s="667"/>
      <c r="U18" s="668"/>
      <c r="V18" s="667"/>
      <c r="W18" s="668"/>
      <c r="X18" s="1265"/>
      <c r="Y18" s="338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9"/>
      <c r="Q20" s="1263"/>
      <c r="R20" s="667"/>
      <c r="S20" s="668"/>
      <c r="T20" s="667"/>
      <c r="U20" s="668"/>
      <c r="V20" s="667"/>
      <c r="W20" s="668"/>
      <c r="X20" s="1265"/>
      <c r="Y20" s="338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9"/>
      <c r="Q22" s="1263"/>
      <c r="R22" s="667"/>
      <c r="S22" s="668"/>
      <c r="T22" s="667"/>
      <c r="U22" s="668"/>
      <c r="V22" s="667"/>
      <c r="W22" s="668"/>
      <c r="X22" s="1265"/>
      <c r="Y22" s="338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9"/>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9"/>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9"/>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38.18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5">
      <c r="A5" s="348"/>
      <c r="B5" s="349"/>
      <c r="C5" s="3412" t="s">
        <v>1673</v>
      </c>
      <c r="D5" s="3413"/>
      <c r="E5" s="3419" t="s">
        <v>1674</v>
      </c>
      <c r="F5" s="3420"/>
      <c r="G5" s="3412" t="s">
        <v>1675</v>
      </c>
      <c r="H5" s="3413"/>
      <c r="I5" s="3412" t="s">
        <v>1676</v>
      </c>
      <c r="J5" s="3413"/>
      <c r="K5" s="537"/>
      <c r="L5" s="2487"/>
      <c r="M5" s="2488"/>
      <c r="N5" s="2488"/>
      <c r="O5" s="2488"/>
      <c r="P5" s="3429"/>
      <c r="Q5" s="3401"/>
      <c r="R5" s="3406"/>
      <c r="S5" s="3407"/>
      <c r="T5" s="3406"/>
      <c r="U5" s="3407"/>
      <c r="V5" s="3380"/>
      <c r="W5" s="3380"/>
      <c r="X5" s="1265"/>
      <c r="Y5" s="3406"/>
      <c r="Z5" s="3407"/>
      <c r="AA5" s="3392"/>
      <c r="AB5" s="3392"/>
      <c r="AC5" s="3425"/>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30"/>
      <c r="Q6" s="3403"/>
      <c r="R6" s="3406"/>
      <c r="S6" s="3407"/>
      <c r="T6" s="3408"/>
      <c r="U6" s="3409"/>
      <c r="V6" s="3380"/>
      <c r="W6" s="3380"/>
      <c r="X6" s="1265"/>
      <c r="Y6" s="3408"/>
      <c r="Z6" s="3409"/>
      <c r="AA6" s="3393"/>
      <c r="AB6" s="3393"/>
      <c r="AC6" s="3426"/>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4"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0"/>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0"/>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0"/>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0"/>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0"/>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9"/>
      <c r="Q16" s="1263"/>
      <c r="R16" s="667"/>
      <c r="S16" s="668"/>
      <c r="T16" s="667"/>
      <c r="U16" s="668"/>
      <c r="V16" s="667"/>
      <c r="W16" s="668"/>
      <c r="X16" s="1265"/>
      <c r="Y16" s="338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9"/>
      <c r="Q18" s="1263"/>
      <c r="R18" s="667"/>
      <c r="S18" s="668"/>
      <c r="T18" s="667"/>
      <c r="U18" s="668"/>
      <c r="V18" s="667"/>
      <c r="W18" s="668"/>
      <c r="X18" s="1265"/>
      <c r="Y18" s="338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9"/>
      <c r="Q20" s="1263"/>
      <c r="R20" s="667"/>
      <c r="S20" s="668"/>
      <c r="T20" s="667"/>
      <c r="U20" s="668"/>
      <c r="V20" s="667"/>
      <c r="W20" s="668"/>
      <c r="X20" s="1265"/>
      <c r="Y20" s="338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9"/>
      <c r="Q22" s="1263"/>
      <c r="R22" s="667"/>
      <c r="S22" s="668"/>
      <c r="T22" s="667"/>
      <c r="U22" s="668"/>
      <c r="V22" s="667"/>
      <c r="W22" s="668"/>
      <c r="X22" s="1265"/>
      <c r="Y22" s="338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9"/>
      <c r="Q24" s="1263"/>
      <c r="R24" s="667"/>
      <c r="S24" s="668"/>
      <c r="T24" s="667"/>
      <c r="U24" s="668"/>
      <c r="V24" s="667"/>
      <c r="W24" s="668"/>
      <c r="X24" s="1265"/>
      <c r="Y24" s="338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38.18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估价对象为北京市房地产，为所有。根据《国有土地使用证》[]，估价对象（分摊）出让国有建设用地使用权面积为0平方米，建筑面积为38.18平方米。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估价对象为北京市房地产,属开发建设的，该项目尚在开发建设中。根据《国有土地使用证》[]，估价对象（分摊）出让国有建设用地使用权面积为0平方米，规划建筑面积为38.18平方米。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9"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9"/>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2"/>
      <c r="Q15" s="1263"/>
      <c r="R15" s="667"/>
      <c r="S15" s="668"/>
      <c r="T15" s="667"/>
      <c r="U15" s="668"/>
      <c r="V15" s="667"/>
      <c r="W15" s="668"/>
      <c r="X15" s="1265"/>
      <c r="Y15" s="338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2"/>
      <c r="Q17" s="1263"/>
      <c r="R17" s="667"/>
      <c r="S17" s="668"/>
      <c r="T17" s="667"/>
      <c r="U17" s="668"/>
      <c r="V17" s="667"/>
      <c r="W17" s="668"/>
      <c r="X17" s="1265"/>
      <c r="Y17" s="338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2"/>
      <c r="Q19" s="1263"/>
      <c r="R19" s="667"/>
      <c r="S19" s="668"/>
      <c r="T19" s="667"/>
      <c r="U19" s="668"/>
      <c r="V19" s="667"/>
      <c r="W19" s="668"/>
      <c r="X19" s="1265"/>
      <c r="Y19" s="338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379" t="str">
        <f>A37</f>
        <v>成交单价</v>
      </c>
      <c r="Q37" s="3379"/>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9" t="s">
        <v>1686</v>
      </c>
      <c r="Q9" s="530" t="str">
        <f t="shared" ref="Q9:Q14" si="6">B9</f>
        <v>用途</v>
      </c>
      <c r="R9" s="664" t="s">
        <v>14</v>
      </c>
      <c r="S9" s="665">
        <f t="shared" si="0"/>
        <v>100</v>
      </c>
      <c r="T9" s="664" t="s">
        <v>14</v>
      </c>
      <c r="U9" s="665">
        <f t="shared" si="1"/>
        <v>100</v>
      </c>
      <c r="V9" s="664" t="s">
        <v>14</v>
      </c>
      <c r="W9" s="665">
        <f t="shared" si="2"/>
        <v>100</v>
      </c>
      <c r="X9" s="666"/>
      <c r="Y9" s="323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9"/>
      <c r="Q10" s="530" t="str">
        <f t="shared" si="6"/>
        <v>土地使用年限（年）</v>
      </c>
      <c r="R10" s="664" t="s">
        <v>14</v>
      </c>
      <c r="S10" s="665">
        <f t="shared" si="0"/>
        <v>100</v>
      </c>
      <c r="T10" s="664" t="s">
        <v>14</v>
      </c>
      <c r="U10" s="665">
        <f t="shared" si="1"/>
        <v>100</v>
      </c>
      <c r="V10" s="664" t="s">
        <v>14</v>
      </c>
      <c r="W10" s="665">
        <f t="shared" si="2"/>
        <v>100</v>
      </c>
      <c r="X10" s="666"/>
      <c r="Y10" s="32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9"/>
      <c r="Q11" s="530">
        <f t="shared" si="6"/>
        <v>111</v>
      </c>
      <c r="R11" s="664" t="s">
        <v>14</v>
      </c>
      <c r="S11" s="665">
        <f t="shared" si="0"/>
        <v>100</v>
      </c>
      <c r="T11" s="664" t="s">
        <v>14</v>
      </c>
      <c r="U11" s="665">
        <f t="shared" si="1"/>
        <v>100</v>
      </c>
      <c r="V11" s="664" t="s">
        <v>14</v>
      </c>
      <c r="W11" s="665">
        <f t="shared" si="2"/>
        <v>100</v>
      </c>
      <c r="X11" s="666"/>
      <c r="Y11" s="32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2"/>
      <c r="Q15" s="1263"/>
      <c r="R15" s="667"/>
      <c r="S15" s="668"/>
      <c r="T15" s="667"/>
      <c r="U15" s="668"/>
      <c r="V15" s="667"/>
      <c r="W15" s="668"/>
      <c r="X15" s="1265"/>
      <c r="Y15" s="338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2"/>
      <c r="Q17" s="1263"/>
      <c r="R17" s="667"/>
      <c r="S17" s="668"/>
      <c r="T17" s="667"/>
      <c r="U17" s="668"/>
      <c r="V17" s="667"/>
      <c r="W17" s="668"/>
      <c r="X17" s="1265"/>
      <c r="Y17" s="338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2"/>
      <c r="Q19" s="1263"/>
      <c r="R19" s="667"/>
      <c r="S19" s="668"/>
      <c r="T19" s="667"/>
      <c r="U19" s="668"/>
      <c r="V19" s="667"/>
      <c r="W19" s="668"/>
      <c r="X19" s="1265"/>
      <c r="Y19" s="338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10" t="s">
        <v>1677</v>
      </c>
      <c r="D6" s="3411"/>
      <c r="E6" s="3417" t="s">
        <v>1677</v>
      </c>
      <c r="F6" s="3418"/>
      <c r="G6" s="3410" t="s">
        <v>1677</v>
      </c>
      <c r="H6" s="3411"/>
      <c r="I6" s="3410" t="s">
        <v>1677</v>
      </c>
      <c r="J6" s="3411"/>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90"/>
      <c r="M10" s="2491"/>
      <c r="N10" s="2491"/>
      <c r="O10" s="2542"/>
      <c r="P10" s="3379"/>
      <c r="Q10" s="530" t="str">
        <f t="shared" si="6"/>
        <v>土地使用年限（年）</v>
      </c>
      <c r="R10" s="664" t="s">
        <v>14</v>
      </c>
      <c r="S10" s="665">
        <f t="shared" si="0"/>
        <v>105</v>
      </c>
      <c r="T10" s="664" t="s">
        <v>14</v>
      </c>
      <c r="U10" s="665">
        <f t="shared" si="1"/>
        <v>105</v>
      </c>
      <c r="V10" s="664" t="s">
        <v>14</v>
      </c>
      <c r="W10" s="665">
        <f t="shared" si="2"/>
        <v>105</v>
      </c>
      <c r="X10" s="666"/>
      <c r="Y10" s="3235"/>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9"/>
      <c r="Q12" s="530" t="str">
        <f t="shared" si="6"/>
        <v>配建</v>
      </c>
      <c r="R12" s="664" t="s">
        <v>14</v>
      </c>
      <c r="S12" s="665">
        <f t="shared" si="0"/>
        <v>100</v>
      </c>
      <c r="T12" s="664" t="s">
        <v>14</v>
      </c>
      <c r="U12" s="665">
        <f t="shared" si="1"/>
        <v>100</v>
      </c>
      <c r="V12" s="664" t="s">
        <v>14</v>
      </c>
      <c r="W12" s="665">
        <f t="shared" si="2"/>
        <v>100</v>
      </c>
      <c r="X12" s="666"/>
      <c r="Y12" s="32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3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23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2"/>
      <c r="Q16" s="1263"/>
      <c r="R16" s="667"/>
      <c r="S16" s="668"/>
      <c r="T16" s="667"/>
      <c r="U16" s="668"/>
      <c r="V16" s="667"/>
      <c r="W16" s="668"/>
      <c r="X16" s="1265"/>
      <c r="Y16" s="338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2"/>
      <c r="Q18" s="1263"/>
      <c r="R18" s="667"/>
      <c r="S18" s="668"/>
      <c r="T18" s="667"/>
      <c r="U18" s="668"/>
      <c r="V18" s="667"/>
      <c r="W18" s="668"/>
      <c r="X18" s="1265"/>
      <c r="Y18" s="338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2"/>
      <c r="Q20" s="1263"/>
      <c r="R20" s="667"/>
      <c r="S20" s="668"/>
      <c r="T20" s="667"/>
      <c r="U20" s="668"/>
      <c r="V20" s="667"/>
      <c r="W20" s="668"/>
      <c r="X20" s="1265"/>
      <c r="Y20" s="338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2"/>
      <c r="Q22" s="1263"/>
      <c r="R22" s="667"/>
      <c r="S22" s="668"/>
      <c r="T22" s="667"/>
      <c r="U22" s="668"/>
      <c r="V22" s="667"/>
      <c r="W22" s="668"/>
      <c r="X22" s="1265"/>
      <c r="Y22" s="33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2"/>
      <c r="Q24" s="1263"/>
      <c r="R24" s="667"/>
      <c r="S24" s="668"/>
      <c r="T24" s="667"/>
      <c r="U24" s="668"/>
      <c r="V24" s="667"/>
      <c r="W24" s="668"/>
      <c r="X24" s="1265"/>
      <c r="Y24" s="338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2"/>
      <c r="Q26" s="1263"/>
      <c r="R26" s="667"/>
      <c r="S26" s="668"/>
      <c r="T26" s="667"/>
      <c r="U26" s="668"/>
      <c r="V26" s="667"/>
      <c r="W26" s="668"/>
      <c r="X26" s="1265"/>
      <c r="Y26" s="338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2"/>
      <c r="Q28" s="530"/>
      <c r="R28" s="664"/>
      <c r="S28" s="665"/>
      <c r="T28" s="664"/>
      <c r="U28" s="665"/>
      <c r="V28" s="664"/>
      <c r="W28" s="665"/>
      <c r="X28" s="666"/>
      <c r="Y28" s="338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9" t="str">
        <f>A46</f>
        <v>成交单价</v>
      </c>
      <c r="Q46" s="3379"/>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9" t="str">
        <f>A47</f>
        <v>比较价值（元/平方米）</v>
      </c>
      <c r="Q47" s="337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6" t="str">
        <f>A48</f>
        <v>估价对象XX用房的比较价值（楼面单价，元/平方米）</v>
      </c>
      <c r="Q48" s="3377"/>
      <c r="R48" s="3439" t="e">
        <f>ROUND(IF(D47="简单平均",AVERAGE(R47:W47),R47*F47+T47*H47+V47*J47),0)</f>
        <v>#DIV/0!</v>
      </c>
      <c r="S48" s="3439"/>
      <c r="T48" s="3439"/>
      <c r="U48" s="3439"/>
      <c r="V48" s="3439"/>
      <c r="W48" s="343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4" t="s">
        <v>1887</v>
      </c>
      <c r="H55" s="344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38.18</v>
      </c>
      <c r="F56" s="833" t="e">
        <f t="shared" ref="F56:F64" si="15">ROUND(B56*E56/10000,0)</f>
        <v>#DIV/0!</v>
      </c>
      <c r="G56" s="3390"/>
      <c r="H56" s="337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38.18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4" t="s">
        <v>1770</v>
      </c>
      <c r="D4" s="3395"/>
      <c r="E4" s="3396" t="s">
        <v>1771</v>
      </c>
      <c r="F4" s="3397"/>
      <c r="G4" s="3394" t="s">
        <v>1772</v>
      </c>
      <c r="H4" s="3395"/>
      <c r="I4" s="3394" t="s">
        <v>1773</v>
      </c>
      <c r="J4" s="3395"/>
      <c r="K4" s="537" t="s">
        <v>1774</v>
      </c>
      <c r="L4" s="2487"/>
      <c r="M4" s="2488"/>
      <c r="N4" s="2488"/>
      <c r="O4" s="2488"/>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ht="15">
      <c r="A5" s="348"/>
      <c r="B5" s="349"/>
      <c r="C5" s="3412" t="s">
        <v>1673</v>
      </c>
      <c r="D5" s="3413"/>
      <c r="E5" s="3419" t="s">
        <v>1674</v>
      </c>
      <c r="F5" s="3420"/>
      <c r="G5" s="3412" t="s">
        <v>1675</v>
      </c>
      <c r="H5" s="3413"/>
      <c r="I5" s="3412" t="s">
        <v>1676</v>
      </c>
      <c r="J5" s="3413"/>
      <c r="K5" s="537"/>
      <c r="L5" s="2487"/>
      <c r="M5" s="2488"/>
      <c r="N5" s="2488"/>
      <c r="O5" s="2488"/>
      <c r="P5" s="3400"/>
      <c r="Q5" s="3401"/>
      <c r="R5" s="3406"/>
      <c r="S5" s="3407"/>
      <c r="T5" s="3406"/>
      <c r="U5" s="3407"/>
      <c r="V5" s="3380"/>
      <c r="W5" s="3380"/>
      <c r="X5" s="1265"/>
      <c r="Y5" s="3406"/>
      <c r="Z5" s="3407"/>
      <c r="AA5" s="3392"/>
      <c r="AB5" s="3392"/>
      <c r="AC5" s="3392"/>
    </row>
    <row r="6" spans="1:29" ht="15.75" thickBot="1">
      <c r="A6" s="350"/>
      <c r="B6" s="351"/>
      <c r="C6" s="3441" t="s">
        <v>1919</v>
      </c>
      <c r="D6" s="3442"/>
      <c r="E6" s="3443" t="s">
        <v>1919</v>
      </c>
      <c r="F6" s="3444"/>
      <c r="G6" s="3441" t="s">
        <v>1919</v>
      </c>
      <c r="H6" s="3442"/>
      <c r="I6" s="3441" t="s">
        <v>1919</v>
      </c>
      <c r="J6" s="3442"/>
      <c r="K6" s="537" t="s">
        <v>1678</v>
      </c>
      <c r="L6" s="2487"/>
      <c r="M6" s="2488"/>
      <c r="N6" s="2488"/>
      <c r="O6" s="2488"/>
      <c r="P6" s="3402"/>
      <c r="Q6" s="3403"/>
      <c r="R6" s="3406"/>
      <c r="S6" s="3407"/>
      <c r="T6" s="3408"/>
      <c r="U6" s="3409"/>
      <c r="V6" s="3380"/>
      <c r="W6" s="3380"/>
      <c r="X6" s="1265"/>
      <c r="Y6" s="3408"/>
      <c r="Z6" s="3409"/>
      <c r="AA6" s="3393"/>
      <c r="AB6" s="3393"/>
      <c r="AC6" s="3393"/>
    </row>
    <row r="7" spans="1:29" s="102" customFormat="1" ht="15.75" thickBot="1">
      <c r="A7" s="352" t="s">
        <v>1679</v>
      </c>
      <c r="B7" s="353"/>
      <c r="C7" s="354">
        <f>'数据-取费表'!B2</f>
        <v>45546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9" t="s">
        <v>1686</v>
      </c>
      <c r="Q9" s="530" t="str">
        <f t="shared" ref="Q9:Q15" si="6">B9</f>
        <v>用途</v>
      </c>
      <c r="R9" s="664" t="s">
        <v>14</v>
      </c>
      <c r="S9" s="665">
        <f t="shared" si="0"/>
        <v>100</v>
      </c>
      <c r="T9" s="664" t="s">
        <v>14</v>
      </c>
      <c r="U9" s="665">
        <f t="shared" si="1"/>
        <v>100</v>
      </c>
      <c r="V9" s="664" t="s">
        <v>14</v>
      </c>
      <c r="W9" s="665">
        <f t="shared" si="2"/>
        <v>100</v>
      </c>
      <c r="X9" s="666"/>
      <c r="Y9" s="32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90"/>
      <c r="M10" s="2491"/>
      <c r="N10" s="2491"/>
      <c r="O10" s="2542"/>
      <c r="P10" s="3379"/>
      <c r="Q10" s="530" t="str">
        <f t="shared" si="6"/>
        <v>土地使用年限（年）</v>
      </c>
      <c r="R10" s="664" t="s">
        <v>14</v>
      </c>
      <c r="S10" s="665">
        <f t="shared" si="0"/>
        <v>105</v>
      </c>
      <c r="T10" s="664" t="s">
        <v>14</v>
      </c>
      <c r="U10" s="665">
        <f t="shared" si="1"/>
        <v>105</v>
      </c>
      <c r="V10" s="664" t="s">
        <v>14</v>
      </c>
      <c r="W10" s="665">
        <f t="shared" si="2"/>
        <v>105</v>
      </c>
      <c r="X10" s="666"/>
      <c r="Y10" s="3235"/>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9"/>
      <c r="Q11" s="530" t="str">
        <f t="shared" si="6"/>
        <v>容积率</v>
      </c>
      <c r="R11" s="664" t="s">
        <v>14</v>
      </c>
      <c r="S11" s="665" t="e">
        <f t="shared" si="0"/>
        <v>#N/A</v>
      </c>
      <c r="T11" s="664" t="s">
        <v>14</v>
      </c>
      <c r="U11" s="665" t="e">
        <f t="shared" si="1"/>
        <v>#N/A</v>
      </c>
      <c r="V11" s="664" t="s">
        <v>14</v>
      </c>
      <c r="W11" s="665" t="e">
        <f t="shared" si="2"/>
        <v>#N/A</v>
      </c>
      <c r="X11" s="666"/>
      <c r="Y11" s="32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9"/>
      <c r="Q12" s="530">
        <f t="shared" si="6"/>
        <v>111</v>
      </c>
      <c r="R12" s="664" t="s">
        <v>14</v>
      </c>
      <c r="S12" s="665">
        <f t="shared" si="0"/>
        <v>100</v>
      </c>
      <c r="T12" s="664" t="s">
        <v>14</v>
      </c>
      <c r="U12" s="665">
        <f t="shared" si="1"/>
        <v>100</v>
      </c>
      <c r="V12" s="664" t="s">
        <v>14</v>
      </c>
      <c r="W12" s="665">
        <f t="shared" si="2"/>
        <v>100</v>
      </c>
      <c r="X12" s="666"/>
      <c r="Y12" s="32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9"/>
      <c r="Q13" s="530">
        <f t="shared" si="6"/>
        <v>111</v>
      </c>
      <c r="R13" s="664" t="s">
        <v>14</v>
      </c>
      <c r="S13" s="665">
        <f t="shared" si="0"/>
        <v>100</v>
      </c>
      <c r="T13" s="664" t="s">
        <v>14</v>
      </c>
      <c r="U13" s="665">
        <f t="shared" si="1"/>
        <v>100</v>
      </c>
      <c r="V13" s="664" t="s">
        <v>14</v>
      </c>
      <c r="W13" s="665">
        <f t="shared" si="2"/>
        <v>100</v>
      </c>
      <c r="X13" s="666"/>
      <c r="Y13" s="323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9"/>
      <c r="Q14" s="530">
        <f t="shared" si="6"/>
        <v>111</v>
      </c>
      <c r="R14" s="664" t="s">
        <v>14</v>
      </c>
      <c r="S14" s="665">
        <f t="shared" si="0"/>
        <v>100</v>
      </c>
      <c r="T14" s="664" t="s">
        <v>14</v>
      </c>
      <c r="U14" s="665">
        <f t="shared" si="1"/>
        <v>100</v>
      </c>
      <c r="V14" s="664" t="s">
        <v>14</v>
      </c>
      <c r="W14" s="665">
        <f t="shared" si="2"/>
        <v>100</v>
      </c>
      <c r="X14" s="666"/>
      <c r="Y14" s="323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2"/>
      <c r="Q16" s="1263"/>
      <c r="R16" s="667"/>
      <c r="S16" s="668"/>
      <c r="T16" s="667"/>
      <c r="U16" s="668"/>
      <c r="V16" s="667"/>
      <c r="W16" s="668"/>
      <c r="X16" s="1265"/>
      <c r="Y16" s="338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2"/>
      <c r="Q18" s="1263"/>
      <c r="R18" s="667"/>
      <c r="S18" s="668"/>
      <c r="T18" s="667"/>
      <c r="U18" s="668"/>
      <c r="V18" s="667"/>
      <c r="W18" s="668"/>
      <c r="X18" s="1265"/>
      <c r="Y18" s="33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2"/>
      <c r="Q20" s="1263"/>
      <c r="R20" s="667"/>
      <c r="S20" s="668"/>
      <c r="T20" s="667"/>
      <c r="U20" s="668"/>
      <c r="V20" s="667"/>
      <c r="W20" s="668"/>
      <c r="X20" s="1265"/>
      <c r="Y20" s="338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2"/>
      <c r="Q22" s="1263"/>
      <c r="R22" s="667"/>
      <c r="S22" s="668"/>
      <c r="T22" s="667"/>
      <c r="U22" s="668"/>
      <c r="V22" s="667"/>
      <c r="W22" s="668"/>
      <c r="X22" s="1265"/>
      <c r="Y22" s="338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2"/>
      <c r="Q24" s="530"/>
      <c r="R24" s="664"/>
      <c r="S24" s="665"/>
      <c r="T24" s="664"/>
      <c r="U24" s="665"/>
      <c r="V24" s="664"/>
      <c r="W24" s="665"/>
      <c r="X24" s="666"/>
      <c r="Y24" s="338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9" t="str">
        <f>A41</f>
        <v>成交单价</v>
      </c>
      <c r="Q41" s="3379"/>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4" t="s">
        <v>1887</v>
      </c>
      <c r="H50" s="344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38.18</v>
      </c>
      <c r="F51" s="611" t="e">
        <f t="shared" ref="F51:F60" si="15">ROUND(B51*E51/10000,0)</f>
        <v>#DIV/0!</v>
      </c>
      <c r="G51" s="3390"/>
      <c r="H51" s="337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101</v>
      </c>
      <c r="C2" s="1984" t="s">
        <v>2074</v>
      </c>
      <c r="D2" s="1984" t="s">
        <v>2075</v>
      </c>
      <c r="E2" s="2398">
        <f ca="1">SUMIF(E6:E13,"&lt;&gt;#ref!",E6:E13)</f>
        <v>38.18</v>
      </c>
      <c r="F2" s="2545"/>
      <c r="G2" s="2545"/>
      <c r="H2" s="2545"/>
      <c r="I2" s="2545"/>
      <c r="J2" s="2545"/>
      <c r="K2" s="2545"/>
      <c r="L2" s="2545"/>
      <c r="M2" s="2545"/>
      <c r="N2" s="2545"/>
      <c r="O2" s="2545"/>
      <c r="P2" s="2545"/>
    </row>
    <row r="3" spans="1:16" ht="15.75">
      <c r="A3" s="1984" t="s">
        <v>2076</v>
      </c>
      <c r="B3" s="2388">
        <f ca="1">ROUND(B2*10000/E2,0)</f>
        <v>26454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101</v>
      </c>
      <c r="C6" s="1984" t="s">
        <v>2074</v>
      </c>
      <c r="D6" s="2545"/>
      <c r="E6" s="2398">
        <f ca="1">SUMIF(INDIRECT("'"&amp;A6&amp;"'"&amp;"!C:C"),"建筑面积",INDIRECT("'"&amp;A6&amp;"'"&amp;"!D:D"))</f>
        <v>38.18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60" t="s">
        <v>2609</v>
      </c>
      <c r="B20" s="3455" t="s">
        <v>2630</v>
      </c>
      <c r="C20" s="2843" t="s">
        <v>2441</v>
      </c>
      <c r="D20" s="2844"/>
      <c r="E20" s="2845">
        <v>1</v>
      </c>
      <c r="F20" s="2846" t="s">
        <v>2442</v>
      </c>
      <c r="G20" s="2846"/>
    </row>
    <row r="21" spans="1:13" ht="19.5" customHeight="1">
      <c r="A21" s="3461"/>
      <c r="B21" s="3454"/>
      <c r="C21" s="2847" t="s">
        <v>2443</v>
      </c>
      <c r="D21" s="2848"/>
      <c r="E21" s="2849">
        <v>1</v>
      </c>
      <c r="F21" s="2846" t="s">
        <v>2444</v>
      </c>
      <c r="G21" s="2846"/>
    </row>
    <row r="22" spans="1:13" ht="19.5" customHeight="1">
      <c r="A22" s="3461"/>
      <c r="B22" s="3454"/>
      <c r="C22" s="2847" t="s">
        <v>2445</v>
      </c>
      <c r="D22" s="2848"/>
      <c r="E22" s="2849">
        <v>0.9</v>
      </c>
      <c r="F22" s="2846" t="s">
        <v>2446</v>
      </c>
      <c r="G22" s="2846"/>
    </row>
    <row r="23" spans="1:13" ht="19.5" customHeight="1">
      <c r="A23" s="3461"/>
      <c r="B23" s="3454"/>
      <c r="C23" s="2847" t="s">
        <v>2447</v>
      </c>
      <c r="D23" s="2848"/>
      <c r="E23" s="2849">
        <v>0.9</v>
      </c>
      <c r="F23" s="2846" t="s">
        <v>2448</v>
      </c>
      <c r="G23" s="2846"/>
    </row>
    <row r="24" spans="1:13" ht="19.5" customHeight="1">
      <c r="A24" s="3461"/>
      <c r="B24" s="3454"/>
      <c r="C24" s="2847" t="s">
        <v>2449</v>
      </c>
      <c r="D24" s="2848"/>
      <c r="E24" s="2849">
        <v>0.8</v>
      </c>
      <c r="F24" s="2846" t="s">
        <v>2450</v>
      </c>
      <c r="G24" s="2846"/>
    </row>
    <row r="25" spans="1:13" ht="19.5" customHeight="1" thickBot="1">
      <c r="A25" s="3462"/>
      <c r="B25" s="3456"/>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57" t="s">
        <v>2633</v>
      </c>
      <c r="B27" s="3455" t="s">
        <v>2614</v>
      </c>
      <c r="C27" s="2843" t="s">
        <v>2454</v>
      </c>
      <c r="D27" s="2844"/>
      <c r="E27" s="2845">
        <v>1</v>
      </c>
      <c r="F27" s="2846" t="s">
        <v>2455</v>
      </c>
      <c r="G27" s="2846"/>
    </row>
    <row r="28" spans="1:13" ht="19.5" customHeight="1">
      <c r="A28" s="3458"/>
      <c r="B28" s="3454"/>
      <c r="C28" s="2847" t="s">
        <v>2456</v>
      </c>
      <c r="D28" s="2848"/>
      <c r="E28" s="2849">
        <v>1</v>
      </c>
      <c r="F28" s="2846" t="s">
        <v>2457</v>
      </c>
      <c r="G28" s="2846"/>
    </row>
    <row r="29" spans="1:13" ht="19.5" customHeight="1">
      <c r="A29" s="3458"/>
      <c r="B29" s="3454"/>
      <c r="C29" s="2847" t="s">
        <v>2458</v>
      </c>
      <c r="D29" s="2848"/>
      <c r="E29" s="2849">
        <v>0.8</v>
      </c>
      <c r="F29" s="2846" t="s">
        <v>2459</v>
      </c>
      <c r="G29" s="2846"/>
    </row>
    <row r="30" spans="1:13" ht="19.5" customHeight="1">
      <c r="A30" s="3458"/>
      <c r="B30" s="3454"/>
      <c r="C30" s="2847" t="s">
        <v>2460</v>
      </c>
      <c r="D30" s="2848"/>
      <c r="E30" s="2849">
        <v>0.8</v>
      </c>
      <c r="F30" s="2846" t="s">
        <v>2461</v>
      </c>
      <c r="G30" s="2846"/>
    </row>
    <row r="31" spans="1:13" ht="19.5" customHeight="1">
      <c r="A31" s="3458"/>
      <c r="B31" s="3454"/>
      <c r="C31" s="2847" t="s">
        <v>2462</v>
      </c>
      <c r="D31" s="2848"/>
      <c r="E31" s="2849">
        <v>0.8</v>
      </c>
      <c r="F31" s="2846" t="s">
        <v>2463</v>
      </c>
      <c r="G31" s="2846"/>
    </row>
    <row r="32" spans="1:13" ht="19.5" customHeight="1">
      <c r="A32" s="3458"/>
      <c r="B32" s="3454"/>
      <c r="C32" s="2847" t="s">
        <v>2464</v>
      </c>
      <c r="D32" s="2848"/>
      <c r="E32" s="2849">
        <v>0.7</v>
      </c>
      <c r="F32" s="2846" t="s">
        <v>2465</v>
      </c>
      <c r="G32" s="2846"/>
    </row>
    <row r="33" spans="1:7" ht="19.5" customHeight="1">
      <c r="A33" s="3458"/>
      <c r="B33" s="3454"/>
      <c r="C33" s="2847" t="s">
        <v>2466</v>
      </c>
      <c r="D33" s="2848"/>
      <c r="E33" s="2849">
        <v>0.8</v>
      </c>
      <c r="F33" s="2846" t="s">
        <v>2467</v>
      </c>
      <c r="G33" s="2846"/>
    </row>
    <row r="34" spans="1:7" ht="19.5" customHeight="1">
      <c r="A34" s="3458"/>
      <c r="B34" s="3454"/>
      <c r="C34" s="2847" t="s">
        <v>2468</v>
      </c>
      <c r="D34" s="2848"/>
      <c r="E34" s="2849">
        <v>0.6</v>
      </c>
      <c r="F34" s="2846" t="s">
        <v>2469</v>
      </c>
      <c r="G34" s="2846"/>
    </row>
    <row r="35" spans="1:7" ht="19.5" customHeight="1">
      <c r="A35" s="3458"/>
      <c r="B35" s="3454"/>
      <c r="C35" s="2847" t="s">
        <v>2470</v>
      </c>
      <c r="D35" s="2848"/>
      <c r="E35" s="2849">
        <v>0.2</v>
      </c>
      <c r="F35" s="2846" t="s">
        <v>2471</v>
      </c>
      <c r="G35" s="2846"/>
    </row>
    <row r="36" spans="1:7" ht="19.5" customHeight="1">
      <c r="A36" s="3458"/>
      <c r="B36" s="3454"/>
      <c r="C36" s="2847" t="s">
        <v>2472</v>
      </c>
      <c r="D36" s="2848"/>
      <c r="E36" s="2849">
        <v>0.2</v>
      </c>
      <c r="F36" s="2846" t="s">
        <v>2473</v>
      </c>
      <c r="G36" s="2846"/>
    </row>
    <row r="37" spans="1:7" ht="19.5" customHeight="1">
      <c r="A37" s="3458"/>
      <c r="B37" s="3452" t="s">
        <v>2634</v>
      </c>
      <c r="C37" s="2847" t="s">
        <v>2474</v>
      </c>
      <c r="D37" s="2848"/>
      <c r="E37" s="2849">
        <v>0.6</v>
      </c>
      <c r="F37" s="2846" t="s">
        <v>2475</v>
      </c>
      <c r="G37" s="2846"/>
    </row>
    <row r="38" spans="1:7" ht="19.5" customHeight="1">
      <c r="A38" s="3458"/>
      <c r="B38" s="3454"/>
      <c r="C38" s="2847" t="s">
        <v>2476</v>
      </c>
      <c r="D38" s="2848"/>
      <c r="E38" s="2849">
        <v>0.6</v>
      </c>
      <c r="F38" s="2846" t="s">
        <v>2477</v>
      </c>
      <c r="G38" s="2846"/>
    </row>
    <row r="39" spans="1:7" ht="19.5" customHeight="1" thickBot="1">
      <c r="A39" s="3459"/>
      <c r="B39" s="3456"/>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60" t="s">
        <v>2612</v>
      </c>
      <c r="B41" s="3455" t="s">
        <v>2636</v>
      </c>
      <c r="C41" s="2843" t="s">
        <v>2481</v>
      </c>
      <c r="D41" s="2844"/>
      <c r="E41" s="2845">
        <v>1</v>
      </c>
      <c r="F41" s="2846" t="s">
        <v>2482</v>
      </c>
      <c r="G41" s="2846"/>
    </row>
    <row r="42" spans="1:7" ht="19.5" customHeight="1">
      <c r="A42" s="3461"/>
      <c r="B42" s="3454"/>
      <c r="C42" s="2847" t="s">
        <v>2483</v>
      </c>
      <c r="D42" s="2848"/>
      <c r="E42" s="2849">
        <v>1</v>
      </c>
      <c r="F42" s="2846" t="s">
        <v>2484</v>
      </c>
      <c r="G42" s="2846"/>
    </row>
    <row r="43" spans="1:7" ht="19.5" customHeight="1">
      <c r="A43" s="3461"/>
      <c r="B43" s="3453"/>
      <c r="C43" s="2847" t="s">
        <v>2485</v>
      </c>
      <c r="D43" s="2848"/>
      <c r="E43" s="2849">
        <v>1.5</v>
      </c>
      <c r="F43" s="2846" t="s">
        <v>2486</v>
      </c>
      <c r="G43" s="2846"/>
    </row>
    <row r="44" spans="1:7" ht="19.5" customHeight="1">
      <c r="A44" s="3461"/>
      <c r="B44" s="2858" t="s">
        <v>2637</v>
      </c>
      <c r="C44" s="2847" t="s">
        <v>2638</v>
      </c>
      <c r="D44" s="2848"/>
      <c r="E44" s="2849">
        <v>2</v>
      </c>
      <c r="F44" s="2846" t="s">
        <v>2487</v>
      </c>
      <c r="G44" s="2846"/>
    </row>
    <row r="45" spans="1:7" ht="19.5" customHeight="1">
      <c r="A45" s="3461"/>
      <c r="B45" s="3452" t="s">
        <v>2639</v>
      </c>
      <c r="C45" s="2847" t="s">
        <v>2488</v>
      </c>
      <c r="D45" s="2848"/>
      <c r="E45" s="2849">
        <v>1</v>
      </c>
      <c r="F45" s="2846" t="s">
        <v>2489</v>
      </c>
      <c r="G45" s="2846"/>
    </row>
    <row r="46" spans="1:7" ht="19.5" customHeight="1">
      <c r="A46" s="3461"/>
      <c r="B46" s="3454"/>
      <c r="C46" s="2847" t="s">
        <v>2490</v>
      </c>
      <c r="D46" s="2848"/>
      <c r="E46" s="2849">
        <v>1</v>
      </c>
      <c r="F46" s="2846" t="s">
        <v>2491</v>
      </c>
      <c r="G46" s="2846"/>
    </row>
    <row r="47" spans="1:7" ht="19.5" customHeight="1">
      <c r="A47" s="3461"/>
      <c r="B47" s="3454"/>
      <c r="C47" s="2847" t="s">
        <v>2492</v>
      </c>
      <c r="D47" s="2848"/>
      <c r="E47" s="2849">
        <v>1</v>
      </c>
      <c r="F47" s="2846" t="s">
        <v>2493</v>
      </c>
      <c r="G47" s="2846"/>
    </row>
    <row r="48" spans="1:7" ht="19.5" customHeight="1">
      <c r="A48" s="3461"/>
      <c r="B48" s="3454"/>
      <c r="C48" s="2847" t="s">
        <v>2494</v>
      </c>
      <c r="D48" s="2848"/>
      <c r="E48" s="2849">
        <v>1</v>
      </c>
      <c r="F48" s="2846" t="s">
        <v>2495</v>
      </c>
      <c r="G48" s="2846"/>
    </row>
    <row r="49" spans="1:7" ht="19.5" customHeight="1">
      <c r="A49" s="3461"/>
      <c r="B49" s="3454"/>
      <c r="C49" s="2847" t="s">
        <v>2496</v>
      </c>
      <c r="D49" s="2848"/>
      <c r="E49" s="2849">
        <v>1</v>
      </c>
      <c r="F49" s="2846" t="s">
        <v>2497</v>
      </c>
      <c r="G49" s="2846"/>
    </row>
    <row r="50" spans="1:7" ht="19.5" customHeight="1">
      <c r="A50" s="3461"/>
      <c r="B50" s="3454"/>
      <c r="C50" s="2847" t="s">
        <v>2498</v>
      </c>
      <c r="D50" s="2848"/>
      <c r="E50" s="2849">
        <v>1</v>
      </c>
      <c r="F50" s="2846" t="s">
        <v>2499</v>
      </c>
      <c r="G50" s="2846"/>
    </row>
    <row r="51" spans="1:7" ht="19.5" customHeight="1" thickBot="1">
      <c r="A51" s="3462"/>
      <c r="B51" s="3456"/>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52" t="s">
        <v>2653</v>
      </c>
      <c r="C73" s="2832" t="s">
        <v>2654</v>
      </c>
      <c r="D73" s="2832" t="s">
        <v>2655</v>
      </c>
      <c r="E73" s="2858">
        <v>0.2</v>
      </c>
      <c r="F73" s="2858">
        <v>25</v>
      </c>
    </row>
    <row r="74" spans="1:7" ht="24">
      <c r="A74" s="2858">
        <v>2</v>
      </c>
      <c r="B74" s="3454"/>
      <c r="C74" s="2832" t="s">
        <v>2656</v>
      </c>
      <c r="D74" s="2832" t="s">
        <v>2657</v>
      </c>
      <c r="E74" s="2858">
        <v>0.2</v>
      </c>
      <c r="F74" s="2858">
        <v>25</v>
      </c>
    </row>
    <row r="75" spans="1:7" ht="24">
      <c r="A75" s="2858">
        <v>3</v>
      </c>
      <c r="B75" s="3454"/>
      <c r="C75" s="2832" t="s">
        <v>2658</v>
      </c>
      <c r="D75" s="2832" t="s">
        <v>2659</v>
      </c>
      <c r="E75" s="2858">
        <v>0.2</v>
      </c>
      <c r="F75" s="2858">
        <v>25</v>
      </c>
    </row>
    <row r="76" spans="1:7" ht="13.5">
      <c r="A76" s="2858">
        <v>4</v>
      </c>
      <c r="B76" s="3454"/>
      <c r="C76" s="2832" t="s">
        <v>2660</v>
      </c>
      <c r="D76" s="2832" t="s">
        <v>2661</v>
      </c>
      <c r="E76" s="2858">
        <v>0.15</v>
      </c>
      <c r="F76" s="2858">
        <v>20</v>
      </c>
    </row>
    <row r="77" spans="1:7" ht="24">
      <c r="A77" s="2858">
        <v>5</v>
      </c>
      <c r="B77" s="3454"/>
      <c r="C77" s="2832" t="s">
        <v>2662</v>
      </c>
      <c r="D77" s="2832" t="s">
        <v>2663</v>
      </c>
      <c r="E77" s="2858">
        <v>0.15</v>
      </c>
      <c r="F77" s="2858">
        <v>20</v>
      </c>
    </row>
    <row r="78" spans="1:7" ht="24">
      <c r="A78" s="2858">
        <v>6</v>
      </c>
      <c r="B78" s="3454"/>
      <c r="C78" s="2832" t="s">
        <v>2664</v>
      </c>
      <c r="D78" s="2832" t="s">
        <v>2665</v>
      </c>
      <c r="E78" s="2858">
        <v>0.15</v>
      </c>
      <c r="F78" s="2858">
        <v>20</v>
      </c>
    </row>
    <row r="79" spans="1:7" ht="24">
      <c r="A79" s="2858">
        <v>7</v>
      </c>
      <c r="B79" s="3454"/>
      <c r="C79" s="2832" t="s">
        <v>2666</v>
      </c>
      <c r="D79" s="2832" t="s">
        <v>2667</v>
      </c>
      <c r="E79" s="2858">
        <v>0.15</v>
      </c>
      <c r="F79" s="2858">
        <v>20</v>
      </c>
    </row>
    <row r="80" spans="1:7" ht="24">
      <c r="A80" s="2858">
        <v>8</v>
      </c>
      <c r="B80" s="3454"/>
      <c r="C80" s="2832" t="s">
        <v>2668</v>
      </c>
      <c r="D80" s="2832" t="s">
        <v>2669</v>
      </c>
      <c r="E80" s="2858">
        <v>0.1</v>
      </c>
      <c r="F80" s="2858">
        <v>15</v>
      </c>
    </row>
    <row r="81" spans="1:6" ht="24">
      <c r="A81" s="2858">
        <v>9</v>
      </c>
      <c r="B81" s="3454"/>
      <c r="C81" s="2832" t="s">
        <v>2670</v>
      </c>
      <c r="D81" s="2832" t="s">
        <v>2671</v>
      </c>
      <c r="E81" s="2858">
        <v>0.1</v>
      </c>
      <c r="F81" s="2858">
        <v>15</v>
      </c>
    </row>
    <row r="82" spans="1:6" ht="24">
      <c r="A82" s="2858">
        <v>10</v>
      </c>
      <c r="B82" s="3454"/>
      <c r="C82" s="2832" t="s">
        <v>2672</v>
      </c>
      <c r="D82" s="2832" t="s">
        <v>2673</v>
      </c>
      <c r="E82" s="2858">
        <v>0.1</v>
      </c>
      <c r="F82" s="2858">
        <v>15</v>
      </c>
    </row>
    <row r="83" spans="1:6" ht="24">
      <c r="A83" s="2858">
        <v>11</v>
      </c>
      <c r="B83" s="3454"/>
      <c r="C83" s="2832" t="s">
        <v>2674</v>
      </c>
      <c r="D83" s="2832" t="s">
        <v>2675</v>
      </c>
      <c r="E83" s="2858">
        <v>0.1</v>
      </c>
      <c r="F83" s="2858">
        <v>15</v>
      </c>
    </row>
    <row r="84" spans="1:6" ht="24">
      <c r="A84" s="2858">
        <v>12</v>
      </c>
      <c r="B84" s="3454"/>
      <c r="C84" s="2832" t="s">
        <v>2676</v>
      </c>
      <c r="D84" s="2832" t="s">
        <v>2677</v>
      </c>
      <c r="E84" s="2858">
        <v>0.1</v>
      </c>
      <c r="F84" s="2858">
        <v>15</v>
      </c>
    </row>
    <row r="85" spans="1:6" ht="13.5">
      <c r="A85" s="2858">
        <v>13</v>
      </c>
      <c r="B85" s="3454"/>
      <c r="C85" s="2832" t="s">
        <v>2678</v>
      </c>
      <c r="D85" s="2832" t="s">
        <v>2679</v>
      </c>
      <c r="E85" s="2858">
        <v>0.1</v>
      </c>
      <c r="F85" s="2858">
        <v>15</v>
      </c>
    </row>
    <row r="86" spans="1:6" ht="13.5">
      <c r="A86" s="2858">
        <v>14</v>
      </c>
      <c r="B86" s="3454"/>
      <c r="C86" s="2832" t="s">
        <v>2680</v>
      </c>
      <c r="D86" s="2832" t="s">
        <v>2681</v>
      </c>
      <c r="E86" s="2858">
        <v>0.1</v>
      </c>
      <c r="F86" s="2858">
        <v>15</v>
      </c>
    </row>
    <row r="87" spans="1:6" ht="13.5">
      <c r="A87" s="2858">
        <v>15</v>
      </c>
      <c r="B87" s="3454"/>
      <c r="C87" s="2832" t="s">
        <v>2682</v>
      </c>
      <c r="D87" s="2832" t="s">
        <v>2683</v>
      </c>
      <c r="E87" s="2858">
        <v>0.1</v>
      </c>
      <c r="F87" s="2858">
        <v>15</v>
      </c>
    </row>
    <row r="88" spans="1:6" ht="24">
      <c r="A88" s="2858">
        <v>16</v>
      </c>
      <c r="B88" s="3454"/>
      <c r="C88" s="2832" t="s">
        <v>2684</v>
      </c>
      <c r="D88" s="2832" t="s">
        <v>2685</v>
      </c>
      <c r="E88" s="2858">
        <v>0.1</v>
      </c>
      <c r="F88" s="2858">
        <v>15</v>
      </c>
    </row>
    <row r="89" spans="1:6" ht="24">
      <c r="A89" s="2858">
        <v>17</v>
      </c>
      <c r="B89" s="3453"/>
      <c r="C89" s="2832" t="s">
        <v>2686</v>
      </c>
      <c r="D89" s="2832" t="s">
        <v>2687</v>
      </c>
      <c r="E89" s="2858">
        <v>0.1</v>
      </c>
      <c r="F89" s="2858">
        <v>15</v>
      </c>
    </row>
    <row r="90" spans="1:6" ht="13.5">
      <c r="A90" s="2858">
        <v>18</v>
      </c>
      <c r="B90" s="3452" t="s">
        <v>2688</v>
      </c>
      <c r="C90" s="2832" t="s">
        <v>2689</v>
      </c>
      <c r="D90" s="2832" t="s">
        <v>2690</v>
      </c>
      <c r="E90" s="2858">
        <v>0.2</v>
      </c>
      <c r="F90" s="2858">
        <v>25</v>
      </c>
    </row>
    <row r="91" spans="1:6" ht="24">
      <c r="A91" s="2858">
        <v>19</v>
      </c>
      <c r="B91" s="3454"/>
      <c r="C91" s="2832" t="s">
        <v>2691</v>
      </c>
      <c r="D91" s="2832" t="s">
        <v>2692</v>
      </c>
      <c r="E91" s="2858">
        <v>0.2</v>
      </c>
      <c r="F91" s="2858">
        <v>25</v>
      </c>
    </row>
    <row r="92" spans="1:6" ht="13.5">
      <c r="A92" s="2858">
        <v>20</v>
      </c>
      <c r="B92" s="3454"/>
      <c r="C92" s="2832" t="s">
        <v>2693</v>
      </c>
      <c r="D92" s="2832" t="s">
        <v>2694</v>
      </c>
      <c r="E92" s="2858">
        <v>0.15</v>
      </c>
      <c r="F92" s="2858">
        <v>20</v>
      </c>
    </row>
    <row r="93" spans="1:6" ht="13.5">
      <c r="A93" s="2858">
        <v>21</v>
      </c>
      <c r="B93" s="3454"/>
      <c r="C93" s="2832" t="s">
        <v>2695</v>
      </c>
      <c r="D93" s="2832" t="s">
        <v>2696</v>
      </c>
      <c r="E93" s="2858">
        <v>0.15</v>
      </c>
      <c r="F93" s="2858">
        <v>20</v>
      </c>
    </row>
    <row r="94" spans="1:6" ht="13.5">
      <c r="A94" s="2858">
        <v>22</v>
      </c>
      <c r="B94" s="3454"/>
      <c r="C94" s="2832" t="s">
        <v>2697</v>
      </c>
      <c r="D94" s="2832" t="s">
        <v>2698</v>
      </c>
      <c r="E94" s="2858">
        <v>0.15</v>
      </c>
      <c r="F94" s="2858">
        <v>20</v>
      </c>
    </row>
    <row r="95" spans="1:6" ht="36">
      <c r="A95" s="2858">
        <v>23</v>
      </c>
      <c r="B95" s="3454"/>
      <c r="C95" s="2832" t="s">
        <v>2699</v>
      </c>
      <c r="D95" s="2832" t="s">
        <v>2700</v>
      </c>
      <c r="E95" s="2858">
        <v>0.15</v>
      </c>
      <c r="F95" s="2858">
        <v>20</v>
      </c>
    </row>
    <row r="96" spans="1:6" ht="13.5">
      <c r="A96" s="2858">
        <v>24</v>
      </c>
      <c r="B96" s="3454"/>
      <c r="C96" s="2832" t="s">
        <v>2701</v>
      </c>
      <c r="D96" s="2832" t="s">
        <v>2702</v>
      </c>
      <c r="E96" s="2858">
        <v>0.1</v>
      </c>
      <c r="F96" s="2858">
        <v>15</v>
      </c>
    </row>
    <row r="97" spans="1:6" ht="13.5">
      <c r="A97" s="2858">
        <v>25</v>
      </c>
      <c r="B97" s="3454"/>
      <c r="C97" s="2832" t="s">
        <v>2703</v>
      </c>
      <c r="D97" s="2832" t="s">
        <v>2704</v>
      </c>
      <c r="E97" s="2858">
        <v>0.1</v>
      </c>
      <c r="F97" s="2858">
        <v>15</v>
      </c>
    </row>
    <row r="98" spans="1:6" ht="24">
      <c r="A98" s="2858">
        <v>26</v>
      </c>
      <c r="B98" s="3454"/>
      <c r="C98" s="2832" t="s">
        <v>2705</v>
      </c>
      <c r="D98" s="2832" t="s">
        <v>2706</v>
      </c>
      <c r="E98" s="2858">
        <v>0.1</v>
      </c>
      <c r="F98" s="2858">
        <v>15</v>
      </c>
    </row>
    <row r="99" spans="1:6" ht="24">
      <c r="A99" s="2858">
        <v>27</v>
      </c>
      <c r="B99" s="3454"/>
      <c r="C99" s="2832" t="s">
        <v>2707</v>
      </c>
      <c r="D99" s="2832" t="s">
        <v>2708</v>
      </c>
      <c r="E99" s="2858">
        <v>0.1</v>
      </c>
      <c r="F99" s="2858">
        <v>15</v>
      </c>
    </row>
    <row r="100" spans="1:6" ht="13.5">
      <c r="A100" s="2858">
        <v>28</v>
      </c>
      <c r="B100" s="3454"/>
      <c r="C100" s="2832" t="s">
        <v>2709</v>
      </c>
      <c r="D100" s="2832" t="s">
        <v>2710</v>
      </c>
      <c r="E100" s="2858">
        <v>0.1</v>
      </c>
      <c r="F100" s="2858">
        <v>15</v>
      </c>
    </row>
    <row r="101" spans="1:6" ht="13.5">
      <c r="A101" s="2858">
        <v>29</v>
      </c>
      <c r="B101" s="3454"/>
      <c r="C101" s="2832" t="s">
        <v>2711</v>
      </c>
      <c r="D101" s="2832" t="s">
        <v>2712</v>
      </c>
      <c r="E101" s="2858">
        <v>0.1</v>
      </c>
      <c r="F101" s="2858">
        <v>15</v>
      </c>
    </row>
    <row r="102" spans="1:6" ht="13.5">
      <c r="A102" s="2858">
        <v>30</v>
      </c>
      <c r="B102" s="3454"/>
      <c r="C102" s="2832" t="s">
        <v>2713</v>
      </c>
      <c r="D102" s="2832" t="s">
        <v>2714</v>
      </c>
      <c r="E102" s="2858">
        <v>0.1</v>
      </c>
      <c r="F102" s="2858">
        <v>15</v>
      </c>
    </row>
    <row r="103" spans="1:6" ht="24">
      <c r="A103" s="2858">
        <v>31</v>
      </c>
      <c r="B103" s="3454"/>
      <c r="C103" s="2832" t="s">
        <v>2715</v>
      </c>
      <c r="D103" s="2832" t="s">
        <v>2716</v>
      </c>
      <c r="E103" s="2858">
        <v>0.1</v>
      </c>
      <c r="F103" s="2858">
        <v>15</v>
      </c>
    </row>
    <row r="104" spans="1:6" ht="24">
      <c r="A104" s="2858">
        <v>32</v>
      </c>
      <c r="B104" s="3454"/>
      <c r="C104" s="2832" t="s">
        <v>2717</v>
      </c>
      <c r="D104" s="2832" t="s">
        <v>2718</v>
      </c>
      <c r="E104" s="2858">
        <v>0.1</v>
      </c>
      <c r="F104" s="2858">
        <v>15</v>
      </c>
    </row>
    <row r="105" spans="1:6" ht="24">
      <c r="A105" s="2858">
        <v>33</v>
      </c>
      <c r="B105" s="3454"/>
      <c r="C105" s="2832" t="s">
        <v>2719</v>
      </c>
      <c r="D105" s="2832" t="s">
        <v>2720</v>
      </c>
      <c r="E105" s="2858">
        <v>0.1</v>
      </c>
      <c r="F105" s="2858">
        <v>15</v>
      </c>
    </row>
    <row r="106" spans="1:6" ht="24">
      <c r="A106" s="2858">
        <v>34</v>
      </c>
      <c r="B106" s="3453"/>
      <c r="C106" s="2832" t="s">
        <v>2721</v>
      </c>
      <c r="D106" s="2832" t="s">
        <v>2722</v>
      </c>
      <c r="E106" s="2858">
        <v>0.1</v>
      </c>
      <c r="F106" s="2858">
        <v>15</v>
      </c>
    </row>
    <row r="107" spans="1:6" ht="24">
      <c r="A107" s="2858">
        <v>35</v>
      </c>
      <c r="B107" s="3452" t="s">
        <v>2723</v>
      </c>
      <c r="C107" s="2858" t="s">
        <v>2724</v>
      </c>
      <c r="D107" s="2832" t="s">
        <v>2725</v>
      </c>
      <c r="E107" s="2858">
        <v>0.15</v>
      </c>
      <c r="F107" s="2858">
        <v>20</v>
      </c>
    </row>
    <row r="108" spans="1:6" ht="13.5">
      <c r="A108" s="2858">
        <v>36</v>
      </c>
      <c r="B108" s="3454"/>
      <c r="C108" s="2858" t="s">
        <v>2726</v>
      </c>
      <c r="D108" s="2832" t="s">
        <v>2727</v>
      </c>
      <c r="E108" s="2858">
        <v>0.15</v>
      </c>
      <c r="F108" s="2858">
        <v>20</v>
      </c>
    </row>
    <row r="109" spans="1:6" ht="13.5">
      <c r="A109" s="2858">
        <v>37</v>
      </c>
      <c r="B109" s="3454"/>
      <c r="C109" s="2858" t="s">
        <v>2728</v>
      </c>
      <c r="D109" s="2832" t="s">
        <v>2729</v>
      </c>
      <c r="E109" s="2858">
        <v>0.15</v>
      </c>
      <c r="F109" s="2858">
        <v>20</v>
      </c>
    </row>
    <row r="110" spans="1:6" ht="13.5">
      <c r="A110" s="2858">
        <v>38</v>
      </c>
      <c r="B110" s="3454"/>
      <c r="C110" s="2858" t="s">
        <v>2730</v>
      </c>
      <c r="D110" s="2832" t="s">
        <v>2731</v>
      </c>
      <c r="E110" s="2858">
        <v>0.1</v>
      </c>
      <c r="F110" s="2858">
        <v>15</v>
      </c>
    </row>
    <row r="111" spans="1:6" ht="24">
      <c r="A111" s="2858">
        <v>39</v>
      </c>
      <c r="B111" s="3454"/>
      <c r="C111" s="2858" t="s">
        <v>2732</v>
      </c>
      <c r="D111" s="2832" t="s">
        <v>2733</v>
      </c>
      <c r="E111" s="2858">
        <v>0.1</v>
      </c>
      <c r="F111" s="2858">
        <v>15</v>
      </c>
    </row>
    <row r="112" spans="1:6" ht="24">
      <c r="A112" s="2858">
        <v>40</v>
      </c>
      <c r="B112" s="3453"/>
      <c r="C112" s="2858" t="s">
        <v>2734</v>
      </c>
      <c r="D112" s="2832" t="s">
        <v>2735</v>
      </c>
      <c r="E112" s="2858">
        <v>0.1</v>
      </c>
      <c r="F112" s="2858">
        <v>15</v>
      </c>
    </row>
    <row r="113" spans="1:6" ht="13.5">
      <c r="A113" s="2858">
        <v>41</v>
      </c>
      <c r="B113" s="3451" t="s">
        <v>2736</v>
      </c>
      <c r="C113" s="2858" t="s">
        <v>2737</v>
      </c>
      <c r="D113" s="2832" t="s">
        <v>2738</v>
      </c>
      <c r="E113" s="2858">
        <v>0.1</v>
      </c>
      <c r="F113" s="2858">
        <v>15</v>
      </c>
    </row>
    <row r="114" spans="1:6" ht="13.5">
      <c r="A114" s="2858">
        <v>42</v>
      </c>
      <c r="B114" s="3451"/>
      <c r="C114" s="2858" t="s">
        <v>2739</v>
      </c>
      <c r="D114" s="2832" t="s">
        <v>2740</v>
      </c>
      <c r="E114" s="2858">
        <v>0.1</v>
      </c>
      <c r="F114" s="2858">
        <v>15</v>
      </c>
    </row>
    <row r="115" spans="1:6" ht="24">
      <c r="A115" s="2858">
        <v>43</v>
      </c>
      <c r="B115" s="3451"/>
      <c r="C115" s="2858" t="s">
        <v>2741</v>
      </c>
      <c r="D115" s="2832" t="s">
        <v>2742</v>
      </c>
      <c r="E115" s="2858">
        <v>0.1</v>
      </c>
      <c r="F115" s="2858">
        <v>15</v>
      </c>
    </row>
    <row r="116" spans="1:6" ht="13.5">
      <c r="A116" s="2858">
        <v>44</v>
      </c>
      <c r="B116" s="3452" t="s">
        <v>2743</v>
      </c>
      <c r="C116" s="2858" t="s">
        <v>2744</v>
      </c>
      <c r="D116" s="2832" t="s">
        <v>2745</v>
      </c>
      <c r="E116" s="2858">
        <v>0.1</v>
      </c>
      <c r="F116" s="2858">
        <v>15</v>
      </c>
    </row>
    <row r="117" spans="1:6" ht="24">
      <c r="A117" s="2858">
        <v>45</v>
      </c>
      <c r="B117" s="3453"/>
      <c r="C117" s="2832" t="s">
        <v>2746</v>
      </c>
      <c r="D117" s="2832" t="s">
        <v>2747</v>
      </c>
      <c r="E117" s="2858">
        <v>0.1</v>
      </c>
      <c r="F117" s="2858">
        <v>15</v>
      </c>
    </row>
    <row r="118" spans="1:6" ht="24">
      <c r="A118" s="2858">
        <v>46</v>
      </c>
      <c r="B118" s="3452" t="s">
        <v>2748</v>
      </c>
      <c r="C118" s="2858" t="s">
        <v>2749</v>
      </c>
      <c r="D118" s="2832" t="s">
        <v>2750</v>
      </c>
      <c r="E118" s="2858">
        <v>0.1</v>
      </c>
      <c r="F118" s="2858">
        <v>15</v>
      </c>
    </row>
    <row r="119" spans="1:6" ht="24">
      <c r="A119" s="2858">
        <v>47</v>
      </c>
      <c r="B119" s="3453"/>
      <c r="C119" s="2858" t="s">
        <v>2751</v>
      </c>
      <c r="D119" s="2832" t="s">
        <v>2752</v>
      </c>
      <c r="E119" s="2858">
        <v>0.1</v>
      </c>
      <c r="F119" s="2858">
        <v>15</v>
      </c>
    </row>
    <row r="120" spans="1:6" ht="13.5">
      <c r="A120" s="2858">
        <v>48</v>
      </c>
      <c r="B120" s="3452" t="s">
        <v>2753</v>
      </c>
      <c r="C120" s="2858" t="s">
        <v>2754</v>
      </c>
      <c r="D120" s="2832" t="s">
        <v>2755</v>
      </c>
      <c r="E120" s="2858">
        <v>0.1</v>
      </c>
      <c r="F120" s="2858">
        <v>15</v>
      </c>
    </row>
    <row r="121" spans="1:6" ht="13.5">
      <c r="A121" s="2858">
        <v>49</v>
      </c>
      <c r="B121" s="3453"/>
      <c r="C121" s="2858" t="s">
        <v>2756</v>
      </c>
      <c r="D121" s="2832" t="s">
        <v>2757</v>
      </c>
      <c r="E121" s="2858">
        <v>0.1</v>
      </c>
      <c r="F121" s="2858">
        <v>15</v>
      </c>
    </row>
    <row r="122" spans="1:6" ht="24">
      <c r="A122" s="2858">
        <v>50</v>
      </c>
      <c r="B122" s="3451" t="s">
        <v>2758</v>
      </c>
      <c r="C122" s="2858" t="s">
        <v>2759</v>
      </c>
      <c r="D122" s="2832" t="s">
        <v>2760</v>
      </c>
      <c r="E122" s="2858">
        <v>0.1</v>
      </c>
      <c r="F122" s="2858">
        <v>15</v>
      </c>
    </row>
    <row r="123" spans="1:6" ht="24">
      <c r="A123" s="2858">
        <v>51</v>
      </c>
      <c r="B123" s="3451"/>
      <c r="C123" s="2858" t="s">
        <v>2761</v>
      </c>
      <c r="D123" s="2832" t="s">
        <v>2762</v>
      </c>
      <c r="E123" s="2858">
        <v>0.1</v>
      </c>
      <c r="F123" s="2858">
        <v>15</v>
      </c>
    </row>
    <row r="124" spans="1:6" ht="24">
      <c r="A124" s="2858">
        <v>52</v>
      </c>
      <c r="B124" s="3451" t="s">
        <v>2763</v>
      </c>
      <c r="C124" s="2858" t="s">
        <v>2764</v>
      </c>
      <c r="D124" s="2832" t="s">
        <v>2765</v>
      </c>
      <c r="E124" s="2858">
        <v>0.1</v>
      </c>
      <c r="F124" s="2858">
        <v>15</v>
      </c>
    </row>
    <row r="125" spans="1:6" ht="24">
      <c r="A125" s="2858">
        <v>53</v>
      </c>
      <c r="B125" s="3451"/>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51" t="s">
        <v>2771</v>
      </c>
      <c r="C127" s="2858" t="s">
        <v>2772</v>
      </c>
      <c r="D127" s="2832" t="s">
        <v>2773</v>
      </c>
      <c r="E127" s="2858">
        <v>0.1</v>
      </c>
      <c r="F127" s="2858">
        <v>15</v>
      </c>
    </row>
    <row r="128" spans="1:6" ht="13.5">
      <c r="A128" s="2858">
        <v>56</v>
      </c>
      <c r="B128" s="3451"/>
      <c r="C128" s="2858" t="s">
        <v>2774</v>
      </c>
      <c r="D128" s="2832" t="s">
        <v>2775</v>
      </c>
      <c r="E128" s="2858">
        <v>0.1</v>
      </c>
      <c r="F128" s="2858">
        <v>15</v>
      </c>
    </row>
    <row r="129" spans="1:6" ht="24">
      <c r="A129" s="2858">
        <v>57</v>
      </c>
      <c r="B129" s="3451"/>
      <c r="C129" s="2858" t="s">
        <v>2776</v>
      </c>
      <c r="D129" s="2832" t="s">
        <v>2777</v>
      </c>
      <c r="E129" s="2858">
        <v>0.1</v>
      </c>
      <c r="F129" s="2858">
        <v>15</v>
      </c>
    </row>
    <row r="130" spans="1:6" ht="24">
      <c r="A130" s="2858">
        <v>58</v>
      </c>
      <c r="B130" s="3451" t="s">
        <v>2778</v>
      </c>
      <c r="C130" s="2858" t="s">
        <v>2779</v>
      </c>
      <c r="D130" s="2832" t="s">
        <v>2780</v>
      </c>
      <c r="E130" s="2858">
        <v>0.1</v>
      </c>
      <c r="F130" s="2858">
        <v>15</v>
      </c>
    </row>
    <row r="131" spans="1:6" ht="13.5">
      <c r="A131" s="2858">
        <v>59</v>
      </c>
      <c r="B131" s="3451"/>
      <c r="C131" s="2858" t="s">
        <v>2781</v>
      </c>
      <c r="D131" s="2832" t="s">
        <v>2782</v>
      </c>
      <c r="E131" s="2858">
        <v>0.1</v>
      </c>
      <c r="F131" s="2858">
        <v>15</v>
      </c>
    </row>
    <row r="132" spans="1:6" ht="13.5">
      <c r="A132" s="2858">
        <v>60</v>
      </c>
      <c r="B132" s="3452" t="s">
        <v>2783</v>
      </c>
      <c r="C132" s="2858" t="s">
        <v>2784</v>
      </c>
      <c r="D132" s="2832" t="s">
        <v>2785</v>
      </c>
      <c r="E132" s="2858">
        <v>0.1</v>
      </c>
      <c r="F132" s="2858">
        <v>15</v>
      </c>
    </row>
    <row r="133" spans="1:6" ht="13.5">
      <c r="A133" s="2858">
        <v>61</v>
      </c>
      <c r="B133" s="3453"/>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51" t="s">
        <v>2791</v>
      </c>
      <c r="C135" s="2858" t="s">
        <v>2792</v>
      </c>
      <c r="D135" s="2832" t="s">
        <v>2793</v>
      </c>
      <c r="E135" s="2858">
        <v>0.1</v>
      </c>
      <c r="F135" s="2858">
        <v>15</v>
      </c>
    </row>
    <row r="136" spans="1:6" ht="13.5">
      <c r="A136" s="2858">
        <v>64</v>
      </c>
      <c r="B136" s="3451"/>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1.0768</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1.0243</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28118</v>
      </c>
      <c r="C2" s="2" t="s">
        <v>106</v>
      </c>
      <c r="D2" s="191"/>
      <c r="E2" s="191"/>
      <c r="F2" s="191"/>
      <c r="G2" s="191"/>
    </row>
    <row r="3" spans="1:7" s="192" customFormat="1" ht="18" customHeight="1" thickBot="1">
      <c r="A3" s="195" t="s">
        <v>58</v>
      </c>
      <c r="B3" s="196">
        <f ca="1">ROUND(B2*10000/'数据-汇总表'!E3,0)</f>
        <v>7364589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38.18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38.18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697</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28107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38.18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28" t="s">
        <v>94</v>
      </c>
    </row>
    <row r="43" spans="1:7" ht="13.5" customHeight="1">
      <c r="A43" s="734" t="s">
        <v>347</v>
      </c>
      <c r="B43" s="207" t="s">
        <v>426</v>
      </c>
      <c r="C43" s="230">
        <f ca="1">ROUND(IF('数据-取费表'!B22&lt;=1,C39*F22*'数据-取费表'!B21/2,C39*(POWER((1+F22),'数据-取费表'!B21/2)-1)),0)</f>
        <v>0</v>
      </c>
      <c r="D43" s="230"/>
      <c r="E43" s="230"/>
      <c r="F43" s="231"/>
      <c r="G43" s="3329"/>
    </row>
    <row r="44" spans="1:7" ht="13.5" customHeight="1">
      <c r="A44" s="734" t="s">
        <v>348</v>
      </c>
      <c r="B44" s="207" t="s">
        <v>428</v>
      </c>
      <c r="C44" s="230">
        <f ca="1">ROUND(IF('数据-取费表'!B22&lt;=1,C40*F22*'数据-取费表'!B21/2,C40*(POWER((1+F22),'数据-取费表'!B21/2)-1)),4)</f>
        <v>2.9999999999999997E-4</v>
      </c>
      <c r="D44" s="230"/>
      <c r="E44" s="230"/>
      <c r="F44" s="231"/>
      <c r="G44" s="3330"/>
    </row>
    <row r="45" spans="1:7" s="206" customFormat="1" ht="13.5" customHeight="1">
      <c r="A45" s="731" t="s">
        <v>341</v>
      </c>
      <c r="B45" s="236" t="s">
        <v>85</v>
      </c>
      <c r="C45" s="237">
        <f>C46</f>
        <v>3</v>
      </c>
      <c r="D45" s="227">
        <f>C47</f>
        <v>4.0000000000000001E-3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28118</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5" t="s">
        <v>2841</v>
      </c>
      <c r="B1" s="3465"/>
      <c r="C1" s="3465"/>
      <c r="D1" s="3465"/>
      <c r="E1" s="3465"/>
      <c r="F1" s="3465"/>
      <c r="G1" s="3466"/>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63"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64"/>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估价结果一览表（市场价值不需“结果表-1”）</v>
      </c>
      <c r="B3" s="3152"/>
      <c r="C3" s="3152"/>
      <c r="D3" s="3152"/>
      <c r="E3" s="3152"/>
    </row>
    <row r="4" spans="1:5" ht="19.5" thickBot="1">
      <c r="A4" s="1391"/>
      <c r="B4" s="3150" t="s">
        <v>917</v>
      </c>
      <c r="C4" s="3150"/>
      <c r="D4" s="3150"/>
      <c r="E4" s="1391"/>
    </row>
    <row r="5" spans="1:5" ht="16.5" thickTop="1">
      <c r="B5" s="3148" t="s">
        <v>909</v>
      </c>
      <c r="C5" s="1392" t="s">
        <v>910</v>
      </c>
      <c r="D5" s="797" t="e">
        <f ca="1">结果表!H101</f>
        <v>#REF!</v>
      </c>
    </row>
    <row r="6" spans="1:5" ht="15.75">
      <c r="B6" s="3148"/>
      <c r="C6" s="1392" t="s">
        <v>911</v>
      </c>
      <c r="D6" s="797" t="e">
        <f ca="1">NUMBERSTRING(INT(D5*10000),2)&amp;"元整"</f>
        <v>#REF!</v>
      </c>
    </row>
    <row r="7" spans="1:5" ht="15.75">
      <c r="B7" s="3153"/>
      <c r="C7" s="1393" t="s">
        <v>912</v>
      </c>
      <c r="D7" s="798" t="e">
        <f ca="1">结果表!H102</f>
        <v>#REF!</v>
      </c>
    </row>
    <row r="8" spans="1:5" ht="15.75">
      <c r="B8" s="3154" t="str">
        <f>结果表!E103</f>
        <v>2.估价师知悉的法定优先受偿款</v>
      </c>
      <c r="C8" s="1394" t="s">
        <v>913</v>
      </c>
      <c r="D8" s="798">
        <f>结果表!H103</f>
        <v>0</v>
      </c>
    </row>
    <row r="9" spans="1:5" ht="15.75">
      <c r="B9" s="315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7" t="str">
        <f>结果表!E107</f>
        <v>3.房地产抵押价值</v>
      </c>
      <c r="C13" s="1397" t="s">
        <v>910</v>
      </c>
      <c r="D13" s="800" t="e">
        <f ca="1">结果表!H107</f>
        <v>#REF!</v>
      </c>
    </row>
    <row r="14" spans="1:5" ht="15.75">
      <c r="B14" s="3148"/>
      <c r="C14" s="1392" t="s">
        <v>911</v>
      </c>
      <c r="D14" s="797" t="e">
        <f ca="1">NUMBERSTRING(INT(D13*10000),2)&amp;"元整"</f>
        <v>#REF!</v>
      </c>
    </row>
    <row r="15" spans="1:5" ht="15">
      <c r="B15" s="3153"/>
      <c r="C15" s="1393" t="s">
        <v>921</v>
      </c>
      <c r="D15" s="806" t="e">
        <f ca="1">结果表!H108</f>
        <v>#REF!</v>
      </c>
    </row>
    <row r="16" spans="1:5" ht="15">
      <c r="B16" s="3154" t="str">
        <f>结果表!E109</f>
        <v>——</v>
      </c>
      <c r="C16" s="1397" t="s">
        <v>922</v>
      </c>
      <c r="D16" s="1398" t="str">
        <f>结果表!H109</f>
        <v>——</v>
      </c>
    </row>
    <row r="17" spans="1:5" ht="15.75">
      <c r="B17" s="3155"/>
      <c r="C17" s="1392" t="s">
        <v>923</v>
      </c>
      <c r="D17" s="797" t="e">
        <f>NUMBERSTRING(INT(D16*10000),2)&amp;"元整"</f>
        <v>#VALUE!</v>
      </c>
    </row>
    <row r="18" spans="1:5" ht="15">
      <c r="B18" s="3156"/>
      <c r="C18" s="1393" t="s">
        <v>912</v>
      </c>
      <c r="D18" s="806" t="str">
        <f>结果表!H110</f>
        <v>——</v>
      </c>
    </row>
    <row r="19" spans="1:5" ht="15.75">
      <c r="B19" s="3147" t="str">
        <f>结果表!E111</f>
        <v>——</v>
      </c>
      <c r="C19" s="1397" t="s">
        <v>910</v>
      </c>
      <c r="D19" s="798" t="str">
        <f>结果表!H111</f>
        <v>——</v>
      </c>
    </row>
    <row r="20" spans="1:5" ht="15.75">
      <c r="B20" s="3148"/>
      <c r="C20" s="1392" t="s">
        <v>923</v>
      </c>
      <c r="D20" s="797" t="e">
        <f>NUMBERSTRING(INT(D19*10000),2)&amp;"元整"</f>
        <v>#VALUE!</v>
      </c>
    </row>
    <row r="21" spans="1:5" ht="15.75" thickBot="1">
      <c r="B21" s="314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7" t="s">
        <v>3183</v>
      </c>
      <c r="B1" s="3467"/>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68" t="s">
        <v>3234</v>
      </c>
      <c r="B1" s="3468"/>
      <c r="C1" s="3468"/>
      <c r="D1" s="3468"/>
      <c r="E1" s="3468"/>
      <c r="F1" s="3469"/>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8">
        <f>基准地价修正!G23</f>
        <v>45546</v>
      </c>
      <c r="B1" s="2930" t="s">
        <v>3373</v>
      </c>
      <c r="C1" s="2931"/>
      <c r="D1" s="2931"/>
      <c r="E1" s="2931"/>
      <c r="F1" s="2931"/>
      <c r="G1" s="2931"/>
      <c r="H1" s="2931"/>
      <c r="I1" s="2931"/>
      <c r="J1" s="2897"/>
      <c r="K1" s="2931" t="s">
        <v>454</v>
      </c>
      <c r="L1" s="2931"/>
      <c r="M1" s="2931"/>
      <c r="N1" s="2931"/>
      <c r="O1" s="2931"/>
      <c r="P1" s="2931"/>
      <c r="Q1" s="2897"/>
      <c r="R1" s="3470" t="s">
        <v>456</v>
      </c>
      <c r="S1" s="3471"/>
      <c r="T1" s="3471"/>
      <c r="U1" s="3471"/>
      <c r="V1" s="3471"/>
      <c r="W1" s="3471"/>
      <c r="X1" s="2897"/>
      <c r="Y1" s="3470" t="s">
        <v>457</v>
      </c>
      <c r="Z1" s="3471"/>
      <c r="AA1" s="3471"/>
      <c r="AB1" s="3471"/>
      <c r="AC1" s="3471"/>
      <c r="AD1" s="3471"/>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2.75">
      <c r="A7" s="2906" t="s">
        <v>3382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2.75">
      <c r="A8" s="2906" t="s">
        <v>3377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3376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3372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3371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3370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3366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3357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2822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2823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2824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2825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2826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3368</v>
      </c>
    </row>
    <row r="22" spans="1:30">
      <c r="I22" s="1405" t="s">
        <v>2827</v>
      </c>
    </row>
    <row r="24" spans="1:30" s="2009" customFormat="1" ht="12.75">
      <c r="B24" s="2930" t="s">
        <v>3374</v>
      </c>
      <c r="C24" s="2931"/>
      <c r="D24" s="2931"/>
      <c r="E24" s="2931"/>
      <c r="F24" s="2931"/>
      <c r="G24" s="2931"/>
      <c r="H24" s="2931"/>
      <c r="I24" s="2931"/>
      <c r="J24" s="2897"/>
      <c r="K24" s="2931" t="s">
        <v>2828</v>
      </c>
      <c r="L24" s="2931"/>
      <c r="M24" s="2931"/>
      <c r="N24" s="2931"/>
      <c r="O24" s="2931"/>
      <c r="P24" s="2931"/>
      <c r="Q24" s="2897"/>
      <c r="R24" s="3470" t="s">
        <v>2829</v>
      </c>
      <c r="S24" s="3471"/>
      <c r="T24" s="3471"/>
      <c r="U24" s="3471"/>
      <c r="V24" s="3471"/>
      <c r="W24" s="3471"/>
      <c r="X24" s="2897"/>
      <c r="Y24" s="3470" t="s">
        <v>2830</v>
      </c>
      <c r="Z24" s="3471"/>
      <c r="AA24" s="3471"/>
      <c r="AB24" s="3471"/>
      <c r="AC24" s="3471"/>
      <c r="AD24" s="3471"/>
    </row>
    <row r="25" spans="1:30" s="2010" customFormat="1" ht="14.25" thickBot="1">
      <c r="B25" s="2882"/>
      <c r="C25" s="2883"/>
      <c r="D25" s="2011" t="s">
        <v>2831</v>
      </c>
      <c r="E25" s="2012" t="s">
        <v>2832</v>
      </c>
      <c r="F25" s="2012" t="s">
        <v>2833</v>
      </c>
      <c r="G25" s="2012" t="s">
        <v>2834</v>
      </c>
      <c r="H25" s="2012"/>
      <c r="I25" s="2012" t="s">
        <v>2835</v>
      </c>
      <c r="J25" s="2884"/>
      <c r="K25" s="2011" t="s">
        <v>2831</v>
      </c>
      <c r="L25" s="2012" t="s">
        <v>2832</v>
      </c>
      <c r="M25" s="2012" t="s">
        <v>2833</v>
      </c>
      <c r="N25" s="2012" t="s">
        <v>2834</v>
      </c>
      <c r="O25" s="2012"/>
      <c r="P25" s="2012" t="s">
        <v>2835</v>
      </c>
      <c r="Q25" s="2884"/>
      <c r="R25" s="2011" t="s">
        <v>2831</v>
      </c>
      <c r="S25" s="2012" t="s">
        <v>2832</v>
      </c>
      <c r="T25" s="2012" t="s">
        <v>2833</v>
      </c>
      <c r="U25" s="2012" t="s">
        <v>2834</v>
      </c>
      <c r="V25" s="2012"/>
      <c r="W25" s="2012" t="s">
        <v>2835</v>
      </c>
      <c r="X25" s="2884"/>
      <c r="Y25" s="2011" t="s">
        <v>2831</v>
      </c>
      <c r="Z25" s="2012" t="s">
        <v>2832</v>
      </c>
      <c r="AA25" s="2012" t="s">
        <v>2833</v>
      </c>
      <c r="AB25" s="2012" t="s">
        <v>2834</v>
      </c>
      <c r="AC25" s="2012"/>
      <c r="AD25" s="2012" t="s">
        <v>2835</v>
      </c>
    </row>
    <row r="26" spans="1:30" s="2887" customFormat="1" ht="12.75">
      <c r="A26" s="2885" t="s">
        <v>2836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3379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2.75">
      <c r="A29" s="2908" t="s">
        <v>3380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2.75">
      <c r="A30" s="2906" t="s">
        <v>3381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2.75">
      <c r="A31" s="2906" t="s">
        <v>3378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3376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3375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3371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3370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3367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3357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2837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2838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2839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2840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2826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4"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5" t="s">
        <v>452</v>
      </c>
      <c r="C1" s="3475"/>
      <c r="D1" s="3475"/>
      <c r="E1" s="3475"/>
      <c r="F1" s="3475"/>
      <c r="G1" s="3471" t="s">
        <v>453</v>
      </c>
      <c r="H1" s="3471"/>
      <c r="I1" s="3471"/>
      <c r="J1" s="3471"/>
      <c r="K1" s="3471"/>
      <c r="L1" s="3471"/>
      <c r="N1" s="3471" t="s">
        <v>454</v>
      </c>
      <c r="O1" s="3471"/>
      <c r="P1" s="3471"/>
      <c r="Q1" s="3471"/>
      <c r="S1" s="3471" t="s">
        <v>455</v>
      </c>
      <c r="T1" s="3471"/>
      <c r="U1" s="3471"/>
      <c r="V1" s="3471"/>
      <c r="X1" s="3470" t="s">
        <v>456</v>
      </c>
      <c r="Y1" s="3471"/>
      <c r="Z1" s="3471"/>
      <c r="AA1" s="3471"/>
      <c r="AB1" s="3471"/>
      <c r="AD1" s="3470" t="s">
        <v>457</v>
      </c>
      <c r="AE1" s="3471"/>
      <c r="AF1" s="3471"/>
      <c r="AG1" s="3471"/>
      <c r="AH1" s="347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1C57F-E485-47C1-ADCA-8EBB989D9D2E}">
  <dimension ref="A1:W51"/>
  <sheetViews>
    <sheetView workbookViewId="0">
      <selection activeCell="Y9" sqref="Y9"/>
    </sheetView>
  </sheetViews>
  <sheetFormatPr defaultRowHeight="13.5"/>
  <cols>
    <col min="1" max="20" width="9" style="3485"/>
    <col min="21" max="21" width="13.375" style="3485" bestFit="1" customWidth="1"/>
    <col min="22" max="16384" width="9" style="3485"/>
  </cols>
  <sheetData>
    <row r="1" spans="1:23" ht="14.25">
      <c r="A1" s="3484" t="s">
        <v>3577</v>
      </c>
      <c r="B1" s="3484" t="s">
        <v>3578</v>
      </c>
      <c r="C1" s="3484" t="s">
        <v>3579</v>
      </c>
      <c r="D1" s="3484" t="s">
        <v>3580</v>
      </c>
      <c r="E1" s="3484" t="s">
        <v>3581</v>
      </c>
      <c r="F1" s="3484" t="s">
        <v>3582</v>
      </c>
      <c r="G1" s="3484" t="s">
        <v>3583</v>
      </c>
      <c r="H1" s="3484" t="s">
        <v>3584</v>
      </c>
      <c r="I1" s="3484" t="s">
        <v>3585</v>
      </c>
      <c r="J1" s="3484" t="s">
        <v>3586</v>
      </c>
      <c r="K1" s="3484" t="s">
        <v>3587</v>
      </c>
      <c r="L1" s="3484" t="s">
        <v>3588</v>
      </c>
      <c r="M1" s="3484" t="s">
        <v>3589</v>
      </c>
      <c r="N1" s="3484" t="s">
        <v>3590</v>
      </c>
      <c r="O1" s="3484" t="s">
        <v>3591</v>
      </c>
      <c r="P1" s="3484" t="s">
        <v>3592</v>
      </c>
      <c r="Q1" s="3484" t="s">
        <v>3593</v>
      </c>
      <c r="R1" s="3484" t="s">
        <v>3594</v>
      </c>
      <c r="S1" s="3484" t="s">
        <v>3595</v>
      </c>
      <c r="T1" s="3484" t="s">
        <v>3596</v>
      </c>
      <c r="U1" s="3484" t="s">
        <v>3597</v>
      </c>
    </row>
    <row r="2" spans="1:23" ht="43.5" thickBot="1">
      <c r="A2" s="3486">
        <v>1</v>
      </c>
      <c r="B2" s="3487" t="s">
        <v>3409</v>
      </c>
      <c r="C2" s="3486" t="s">
        <v>3598</v>
      </c>
      <c r="D2" s="3486" t="s">
        <v>3599</v>
      </c>
      <c r="E2" s="3486" t="s">
        <v>3412</v>
      </c>
      <c r="F2" s="3486" t="s">
        <v>3600</v>
      </c>
      <c r="G2" s="3486" t="s">
        <v>3406</v>
      </c>
      <c r="H2" s="3486" t="s">
        <v>3414</v>
      </c>
      <c r="I2" s="3486" t="s">
        <v>3422</v>
      </c>
      <c r="J2" s="3486">
        <v>53.7</v>
      </c>
      <c r="K2" s="3486" t="s">
        <v>3391</v>
      </c>
      <c r="L2" s="3486">
        <v>6</v>
      </c>
      <c r="M2" s="3486">
        <v>4</v>
      </c>
      <c r="N2" s="3486" t="s">
        <v>633</v>
      </c>
      <c r="O2" s="3486">
        <v>1986</v>
      </c>
      <c r="P2" s="3486" t="s">
        <v>633</v>
      </c>
      <c r="Q2" s="3486" t="s">
        <v>633</v>
      </c>
      <c r="R2" s="3486">
        <v>37244</v>
      </c>
      <c r="S2" s="3486">
        <v>37485</v>
      </c>
      <c r="T2" s="3486">
        <v>2012945</v>
      </c>
      <c r="U2" s="3488">
        <v>45541</v>
      </c>
      <c r="V2" s="3485" t="s">
        <v>3613</v>
      </c>
      <c r="W2" s="3485" t="s">
        <v>3614</v>
      </c>
    </row>
    <row r="3" spans="1:23" ht="43.5" thickBot="1">
      <c r="A3" s="3486">
        <v>2</v>
      </c>
      <c r="B3" s="3487" t="s">
        <v>3409</v>
      </c>
      <c r="C3" s="3486" t="s">
        <v>3601</v>
      </c>
      <c r="D3" s="3486" t="s">
        <v>3602</v>
      </c>
      <c r="E3" s="3486" t="s">
        <v>3412</v>
      </c>
      <c r="F3" s="3486" t="s">
        <v>3603</v>
      </c>
      <c r="G3" s="3486" t="s">
        <v>3406</v>
      </c>
      <c r="H3" s="3486" t="s">
        <v>3414</v>
      </c>
      <c r="I3" s="3486" t="s">
        <v>3422</v>
      </c>
      <c r="J3" s="3486">
        <v>57</v>
      </c>
      <c r="K3" s="3486" t="s">
        <v>3391</v>
      </c>
      <c r="L3" s="3486">
        <v>6</v>
      </c>
      <c r="M3" s="3486">
        <v>4</v>
      </c>
      <c r="N3" s="3486" t="s">
        <v>633</v>
      </c>
      <c r="O3" s="3486">
        <v>1985</v>
      </c>
      <c r="P3" s="3486" t="s">
        <v>633</v>
      </c>
      <c r="Q3" s="3486" t="s">
        <v>633</v>
      </c>
      <c r="R3" s="3486">
        <v>41053</v>
      </c>
      <c r="S3" s="3486">
        <v>42091</v>
      </c>
      <c r="T3" s="3486">
        <v>2399187</v>
      </c>
      <c r="U3" s="3488">
        <v>45540</v>
      </c>
      <c r="V3" s="3485" t="s">
        <v>3613</v>
      </c>
      <c r="W3" s="3485" t="s">
        <v>3615</v>
      </c>
    </row>
    <row r="4" spans="1:23" ht="43.5" thickBot="1">
      <c r="A4" s="3489">
        <v>3</v>
      </c>
      <c r="B4" s="3490" t="s">
        <v>3409</v>
      </c>
      <c r="C4" s="3489" t="s">
        <v>3604</v>
      </c>
      <c r="D4" s="3489" t="s">
        <v>3605</v>
      </c>
      <c r="E4" s="3489" t="s">
        <v>3412</v>
      </c>
      <c r="F4" s="3489" t="s">
        <v>3606</v>
      </c>
      <c r="G4" s="3489" t="s">
        <v>3406</v>
      </c>
      <c r="H4" s="3489" t="s">
        <v>3414</v>
      </c>
      <c r="I4" s="3489" t="s">
        <v>3415</v>
      </c>
      <c r="J4" s="3489">
        <v>68.400000000000006</v>
      </c>
      <c r="K4" s="3489" t="s">
        <v>3391</v>
      </c>
      <c r="L4" s="3489" t="s">
        <v>3607</v>
      </c>
      <c r="M4" s="3489">
        <v>12</v>
      </c>
      <c r="N4" s="3489" t="s">
        <v>633</v>
      </c>
      <c r="O4" s="3489">
        <v>1995</v>
      </c>
      <c r="P4" s="3489" t="s">
        <v>633</v>
      </c>
      <c r="Q4" s="3489" t="s">
        <v>633</v>
      </c>
      <c r="R4" s="3489">
        <v>36257</v>
      </c>
      <c r="S4" s="3489">
        <v>36714</v>
      </c>
      <c r="T4" s="3489">
        <v>2511238</v>
      </c>
      <c r="U4" s="3491">
        <v>45539</v>
      </c>
    </row>
    <row r="5" spans="1:23" ht="43.5" thickBot="1">
      <c r="A5" s="3489">
        <v>4</v>
      </c>
      <c r="B5" s="3490" t="s">
        <v>3409</v>
      </c>
      <c r="C5" s="3489" t="s">
        <v>3608</v>
      </c>
      <c r="D5" s="3489" t="s">
        <v>3609</v>
      </c>
      <c r="E5" s="3489" t="s">
        <v>3412</v>
      </c>
      <c r="F5" s="3489" t="s">
        <v>3610</v>
      </c>
      <c r="G5" s="3489" t="s">
        <v>3611</v>
      </c>
      <c r="H5" s="3489" t="s">
        <v>3414</v>
      </c>
      <c r="I5" s="3489" t="s">
        <v>3422</v>
      </c>
      <c r="J5" s="3489">
        <v>88.08</v>
      </c>
      <c r="K5" s="3489" t="s">
        <v>3391</v>
      </c>
      <c r="L5" s="3489">
        <v>7</v>
      </c>
      <c r="M5" s="3489">
        <v>5</v>
      </c>
      <c r="N5" s="3489">
        <v>2000</v>
      </c>
      <c r="O5" s="3489" t="s">
        <v>633</v>
      </c>
      <c r="P5" s="3489" t="s">
        <v>633</v>
      </c>
      <c r="Q5" s="3489" t="s">
        <v>633</v>
      </c>
      <c r="R5" s="3489">
        <v>40020</v>
      </c>
      <c r="S5" s="3489">
        <v>40582</v>
      </c>
      <c r="T5" s="3489">
        <v>3574463</v>
      </c>
      <c r="U5" s="3491">
        <v>45519</v>
      </c>
    </row>
    <row r="6" spans="1:23" ht="43.5" thickBot="1">
      <c r="A6" s="3498">
        <v>1</v>
      </c>
      <c r="B6" s="3499" t="s">
        <v>3409</v>
      </c>
      <c r="C6" s="3498" t="s">
        <v>3410</v>
      </c>
      <c r="D6" s="3498" t="s">
        <v>3411</v>
      </c>
      <c r="E6" s="3498" t="s">
        <v>3412</v>
      </c>
      <c r="F6" s="3498" t="s">
        <v>3413</v>
      </c>
      <c r="G6" s="3498" t="s">
        <v>3406</v>
      </c>
      <c r="H6" s="3498" t="s">
        <v>3414</v>
      </c>
      <c r="I6" s="3498" t="s">
        <v>3415</v>
      </c>
      <c r="J6" s="3498">
        <v>55.1</v>
      </c>
      <c r="K6" s="3498" t="s">
        <v>3391</v>
      </c>
      <c r="L6" s="3498">
        <v>6</v>
      </c>
      <c r="M6" s="3498">
        <v>3</v>
      </c>
      <c r="N6" s="3498" t="s">
        <v>633</v>
      </c>
      <c r="O6" s="3498">
        <v>1985</v>
      </c>
      <c r="P6" s="3498" t="s">
        <v>633</v>
      </c>
      <c r="Q6" s="3498" t="s">
        <v>633</v>
      </c>
      <c r="R6" s="3498">
        <v>39564</v>
      </c>
      <c r="S6" s="3498">
        <v>40099</v>
      </c>
      <c r="T6" s="3498">
        <v>2209455</v>
      </c>
      <c r="U6" s="3500">
        <v>45506</v>
      </c>
      <c r="V6" s="3485" t="s">
        <v>3613</v>
      </c>
      <c r="W6" s="3485" t="s">
        <v>3615</v>
      </c>
    </row>
    <row r="7" spans="1:23" ht="43.5" thickBot="1">
      <c r="A7" s="3489">
        <v>2</v>
      </c>
      <c r="B7" s="3490" t="s">
        <v>3409</v>
      </c>
      <c r="C7" s="3489" t="s">
        <v>3416</v>
      </c>
      <c r="D7" s="3489" t="s">
        <v>3417</v>
      </c>
      <c r="E7" s="3489" t="s">
        <v>3412</v>
      </c>
      <c r="F7" s="3489" t="s">
        <v>3418</v>
      </c>
      <c r="G7" s="3489" t="s">
        <v>3406</v>
      </c>
      <c r="H7" s="3489" t="s">
        <v>3414</v>
      </c>
      <c r="I7" s="3489" t="s">
        <v>3415</v>
      </c>
      <c r="J7" s="3489">
        <v>63.65</v>
      </c>
      <c r="K7" s="3489" t="s">
        <v>3391</v>
      </c>
      <c r="L7" s="3489">
        <v>7</v>
      </c>
      <c r="M7" s="3489">
        <v>4</v>
      </c>
      <c r="N7" s="3489" t="s">
        <v>633</v>
      </c>
      <c r="O7" s="3489">
        <v>1995</v>
      </c>
      <c r="P7" s="3489" t="s">
        <v>633</v>
      </c>
      <c r="Q7" s="3489" t="s">
        <v>633</v>
      </c>
      <c r="R7" s="3489">
        <v>43676</v>
      </c>
      <c r="S7" s="3489">
        <v>43754</v>
      </c>
      <c r="T7" s="3489">
        <v>2784942</v>
      </c>
      <c r="U7" s="3491">
        <v>45497</v>
      </c>
    </row>
    <row r="8" spans="1:23" ht="43.5" thickBot="1">
      <c r="A8" s="3489">
        <v>3</v>
      </c>
      <c r="B8" s="3490" t="s">
        <v>3409</v>
      </c>
      <c r="C8" s="3489" t="s">
        <v>3419</v>
      </c>
      <c r="D8" s="3489" t="s">
        <v>3420</v>
      </c>
      <c r="E8" s="3489" t="s">
        <v>3412</v>
      </c>
      <c r="F8" s="3489" t="s">
        <v>3421</v>
      </c>
      <c r="G8" s="3489" t="s">
        <v>3406</v>
      </c>
      <c r="H8" s="3489" t="s">
        <v>3414</v>
      </c>
      <c r="I8" s="3489" t="s">
        <v>3422</v>
      </c>
      <c r="J8" s="3489">
        <v>64.209999999999994</v>
      </c>
      <c r="K8" s="3489" t="s">
        <v>3391</v>
      </c>
      <c r="L8" s="3489" t="s">
        <v>3423</v>
      </c>
      <c r="M8" s="3489">
        <v>17</v>
      </c>
      <c r="N8" s="3489" t="s">
        <v>633</v>
      </c>
      <c r="O8" s="3489">
        <v>1996</v>
      </c>
      <c r="P8" s="3489" t="s">
        <v>633</v>
      </c>
      <c r="Q8" s="3489" t="s">
        <v>633</v>
      </c>
      <c r="R8" s="3489">
        <v>49058</v>
      </c>
      <c r="S8" s="3489">
        <v>49415</v>
      </c>
      <c r="T8" s="3489">
        <v>3172937</v>
      </c>
      <c r="U8" s="3491">
        <v>45496</v>
      </c>
    </row>
    <row r="9" spans="1:23" ht="43.5" thickBot="1">
      <c r="A9" s="3489">
        <v>4</v>
      </c>
      <c r="B9" s="3490" t="s">
        <v>3409</v>
      </c>
      <c r="C9" s="3489" t="s">
        <v>3424</v>
      </c>
      <c r="D9" s="3489" t="s">
        <v>3425</v>
      </c>
      <c r="E9" s="3489" t="s">
        <v>3412</v>
      </c>
      <c r="F9" s="3489" t="s">
        <v>3426</v>
      </c>
      <c r="G9" s="3489" t="s">
        <v>3406</v>
      </c>
      <c r="H9" s="3489" t="s">
        <v>3414</v>
      </c>
      <c r="I9" s="3489" t="s">
        <v>3422</v>
      </c>
      <c r="J9" s="3489">
        <v>70.900000000000006</v>
      </c>
      <c r="K9" s="3489" t="s">
        <v>3391</v>
      </c>
      <c r="L9" s="3489">
        <v>19</v>
      </c>
      <c r="M9" s="3489">
        <v>6</v>
      </c>
      <c r="N9" s="3489" t="s">
        <v>633</v>
      </c>
      <c r="O9" s="3489">
        <v>1992</v>
      </c>
      <c r="P9" s="3489" t="s">
        <v>633</v>
      </c>
      <c r="Q9" s="3489" t="s">
        <v>633</v>
      </c>
      <c r="R9" s="3489">
        <v>40621</v>
      </c>
      <c r="S9" s="3489">
        <v>41417</v>
      </c>
      <c r="T9" s="3489">
        <v>2936465</v>
      </c>
      <c r="U9" s="3491">
        <v>45496</v>
      </c>
    </row>
    <row r="10" spans="1:23" ht="43.5" thickBot="1">
      <c r="A10" s="3489">
        <v>5</v>
      </c>
      <c r="B10" s="3490" t="s">
        <v>3409</v>
      </c>
      <c r="C10" s="3489" t="s">
        <v>3427</v>
      </c>
      <c r="D10" s="3489" t="s">
        <v>3428</v>
      </c>
      <c r="E10" s="3489" t="s">
        <v>3412</v>
      </c>
      <c r="F10" s="3489" t="s">
        <v>3429</v>
      </c>
      <c r="G10" s="3489" t="s">
        <v>3406</v>
      </c>
      <c r="H10" s="3489" t="s">
        <v>3414</v>
      </c>
      <c r="I10" s="3489" t="s">
        <v>3422</v>
      </c>
      <c r="J10" s="3489">
        <v>55</v>
      </c>
      <c r="K10" s="3489" t="s">
        <v>3391</v>
      </c>
      <c r="L10" s="3489">
        <v>6</v>
      </c>
      <c r="M10" s="3489">
        <v>2</v>
      </c>
      <c r="N10" s="3489" t="s">
        <v>633</v>
      </c>
      <c r="O10" s="3489">
        <v>1990</v>
      </c>
      <c r="P10" s="3489" t="s">
        <v>633</v>
      </c>
      <c r="Q10" s="3489" t="s">
        <v>633</v>
      </c>
      <c r="R10" s="3489">
        <v>37818</v>
      </c>
      <c r="S10" s="3489">
        <v>38545</v>
      </c>
      <c r="T10" s="3489">
        <v>2119975</v>
      </c>
      <c r="U10" s="3491">
        <v>45497</v>
      </c>
    </row>
    <row r="11" spans="1:23" ht="29.25" thickBot="1">
      <c r="A11" s="3489">
        <v>6</v>
      </c>
      <c r="B11" s="3490" t="s">
        <v>3409</v>
      </c>
      <c r="C11" s="3489" t="s">
        <v>3430</v>
      </c>
      <c r="D11" s="3489" t="s">
        <v>3431</v>
      </c>
      <c r="E11" s="3489" t="s">
        <v>3412</v>
      </c>
      <c r="F11" s="3489" t="s">
        <v>3432</v>
      </c>
      <c r="G11" s="3489" t="s">
        <v>3406</v>
      </c>
      <c r="H11" s="3489" t="s">
        <v>3414</v>
      </c>
      <c r="I11" s="3489" t="s">
        <v>3415</v>
      </c>
      <c r="J11" s="3489">
        <v>79.319999999999993</v>
      </c>
      <c r="K11" s="3489" t="s">
        <v>3391</v>
      </c>
      <c r="L11" s="3489" t="s">
        <v>3433</v>
      </c>
      <c r="M11" s="3489">
        <v>9</v>
      </c>
      <c r="N11" s="3489" t="s">
        <v>633</v>
      </c>
      <c r="O11" s="3489">
        <v>1992</v>
      </c>
      <c r="P11" s="3489" t="s">
        <v>633</v>
      </c>
      <c r="Q11" s="3489" t="s">
        <v>633</v>
      </c>
      <c r="R11" s="3489">
        <v>44629</v>
      </c>
      <c r="S11" s="3489">
        <v>45007</v>
      </c>
      <c r="T11" s="3489">
        <v>3569955</v>
      </c>
      <c r="U11" s="3491">
        <v>45480</v>
      </c>
    </row>
    <row r="12" spans="1:23" ht="43.5" thickBot="1">
      <c r="A12" s="3489">
        <v>7</v>
      </c>
      <c r="B12" s="3490" t="s">
        <v>3409</v>
      </c>
      <c r="C12" s="3489" t="s">
        <v>3434</v>
      </c>
      <c r="D12" s="3489" t="s">
        <v>3435</v>
      </c>
      <c r="E12" s="3489" t="s">
        <v>3412</v>
      </c>
      <c r="F12" s="3489" t="s">
        <v>3436</v>
      </c>
      <c r="G12" s="3489" t="s">
        <v>3406</v>
      </c>
      <c r="H12" s="3489" t="s">
        <v>3414</v>
      </c>
      <c r="I12" s="3489" t="s">
        <v>3422</v>
      </c>
      <c r="J12" s="3489">
        <v>42.8</v>
      </c>
      <c r="K12" s="3489" t="s">
        <v>3391</v>
      </c>
      <c r="L12" s="3489">
        <v>6</v>
      </c>
      <c r="M12" s="3489">
        <v>6</v>
      </c>
      <c r="N12" s="3489" t="s">
        <v>633</v>
      </c>
      <c r="O12" s="3489">
        <v>1985</v>
      </c>
      <c r="P12" s="3489" t="s">
        <v>633</v>
      </c>
      <c r="Q12" s="3489" t="s">
        <v>633</v>
      </c>
      <c r="R12" s="3489">
        <v>34579</v>
      </c>
      <c r="S12" s="3489">
        <v>34687</v>
      </c>
      <c r="T12" s="3489">
        <v>1484604</v>
      </c>
      <c r="U12" s="3491">
        <v>45455</v>
      </c>
    </row>
    <row r="13" spans="1:23" ht="43.5" thickBot="1">
      <c r="A13" s="3489">
        <v>8</v>
      </c>
      <c r="B13" s="3490" t="s">
        <v>3409</v>
      </c>
      <c r="C13" s="3489" t="s">
        <v>3437</v>
      </c>
      <c r="D13" s="3489" t="s">
        <v>3438</v>
      </c>
      <c r="E13" s="3489" t="s">
        <v>3412</v>
      </c>
      <c r="F13" s="3489" t="s">
        <v>3439</v>
      </c>
      <c r="G13" s="3489" t="s">
        <v>3406</v>
      </c>
      <c r="H13" s="3489" t="s">
        <v>3440</v>
      </c>
      <c r="I13" s="3489" t="s">
        <v>3415</v>
      </c>
      <c r="J13" s="3489">
        <v>59.9</v>
      </c>
      <c r="K13" s="3489" t="s">
        <v>3391</v>
      </c>
      <c r="L13" s="3489">
        <v>6</v>
      </c>
      <c r="M13" s="3489">
        <v>3</v>
      </c>
      <c r="N13" s="3489">
        <v>1983</v>
      </c>
      <c r="O13" s="3489" t="s">
        <v>633</v>
      </c>
      <c r="P13" s="3489" t="s">
        <v>633</v>
      </c>
      <c r="Q13" s="3489" t="s">
        <v>633</v>
      </c>
      <c r="R13" s="3489">
        <v>42571</v>
      </c>
      <c r="S13" s="3489">
        <v>43234</v>
      </c>
      <c r="T13" s="3489">
        <v>2589717</v>
      </c>
      <c r="U13" s="3491">
        <v>45438</v>
      </c>
    </row>
    <row r="14" spans="1:23" ht="57.75" thickBot="1">
      <c r="A14" s="3489">
        <v>9</v>
      </c>
      <c r="B14" s="3490" t="s">
        <v>3409</v>
      </c>
      <c r="C14" s="3489" t="s">
        <v>3441</v>
      </c>
      <c r="D14" s="3489" t="s">
        <v>3442</v>
      </c>
      <c r="E14" s="3489" t="s">
        <v>3412</v>
      </c>
      <c r="F14" s="3489" t="s">
        <v>3443</v>
      </c>
      <c r="G14" s="3489" t="s">
        <v>3406</v>
      </c>
      <c r="H14" s="3489" t="s">
        <v>3414</v>
      </c>
      <c r="I14" s="3489" t="s">
        <v>3422</v>
      </c>
      <c r="J14" s="3489">
        <v>68.58</v>
      </c>
      <c r="K14" s="3489" t="s">
        <v>3391</v>
      </c>
      <c r="L14" s="3489">
        <v>6</v>
      </c>
      <c r="M14" s="3489">
        <v>3</v>
      </c>
      <c r="N14" s="3489">
        <v>1982</v>
      </c>
      <c r="O14" s="3489" t="s">
        <v>633</v>
      </c>
      <c r="P14" s="3489" t="s">
        <v>633</v>
      </c>
      <c r="Q14" s="3489" t="s">
        <v>633</v>
      </c>
      <c r="R14" s="3489">
        <v>47827</v>
      </c>
      <c r="S14" s="3489">
        <v>47885</v>
      </c>
      <c r="T14" s="3489">
        <v>3283953</v>
      </c>
      <c r="U14" s="3491">
        <v>45431</v>
      </c>
    </row>
    <row r="15" spans="1:23" ht="43.5" thickBot="1">
      <c r="A15" s="3489">
        <v>10</v>
      </c>
      <c r="B15" s="3490" t="s">
        <v>3409</v>
      </c>
      <c r="C15" s="3489" t="s">
        <v>3444</v>
      </c>
      <c r="D15" s="3489" t="s">
        <v>3445</v>
      </c>
      <c r="E15" s="3489" t="s">
        <v>3412</v>
      </c>
      <c r="F15" s="3489" t="s">
        <v>3446</v>
      </c>
      <c r="G15" s="3489" t="s">
        <v>3406</v>
      </c>
      <c r="H15" s="3489" t="s">
        <v>3414</v>
      </c>
      <c r="I15" s="3489" t="s">
        <v>3415</v>
      </c>
      <c r="J15" s="3489">
        <v>45.89</v>
      </c>
      <c r="K15" s="3489" t="s">
        <v>3391</v>
      </c>
      <c r="L15" s="3489">
        <v>7</v>
      </c>
      <c r="M15" s="3489">
        <v>2</v>
      </c>
      <c r="N15" s="3489">
        <v>1995</v>
      </c>
      <c r="O15" s="3489" t="s">
        <v>633</v>
      </c>
      <c r="P15" s="3489" t="s">
        <v>633</v>
      </c>
      <c r="Q15" s="3489" t="s">
        <v>633</v>
      </c>
      <c r="R15" s="3489">
        <v>39224</v>
      </c>
      <c r="S15" s="3489">
        <v>39822</v>
      </c>
      <c r="T15" s="3489">
        <v>1827432</v>
      </c>
      <c r="U15" s="3491">
        <v>45421</v>
      </c>
    </row>
    <row r="16" spans="1:23" ht="43.5" thickBot="1">
      <c r="A16" s="3489">
        <v>11</v>
      </c>
      <c r="B16" s="3490" t="s">
        <v>3409</v>
      </c>
      <c r="C16" s="3489" t="s">
        <v>3447</v>
      </c>
      <c r="D16" s="3489" t="s">
        <v>3448</v>
      </c>
      <c r="E16" s="3489" t="s">
        <v>3412</v>
      </c>
      <c r="F16" s="3489" t="s">
        <v>3449</v>
      </c>
      <c r="G16" s="3489" t="s">
        <v>3406</v>
      </c>
      <c r="H16" s="3489" t="s">
        <v>3450</v>
      </c>
      <c r="I16" s="3489" t="s">
        <v>3422</v>
      </c>
      <c r="J16" s="3489">
        <v>62.24</v>
      </c>
      <c r="K16" s="3489" t="s">
        <v>3391</v>
      </c>
      <c r="L16" s="3489">
        <v>6</v>
      </c>
      <c r="M16" s="3489">
        <v>6</v>
      </c>
      <c r="N16" s="3489" t="s">
        <v>633</v>
      </c>
      <c r="O16" s="3489">
        <v>1995</v>
      </c>
      <c r="P16" s="3489" t="s">
        <v>633</v>
      </c>
      <c r="Q16" s="3489" t="s">
        <v>633</v>
      </c>
      <c r="R16" s="3489">
        <v>36472</v>
      </c>
      <c r="S16" s="3489">
        <v>36839</v>
      </c>
      <c r="T16" s="3489">
        <v>2292859</v>
      </c>
      <c r="U16" s="3491">
        <v>45396</v>
      </c>
    </row>
    <row r="17" spans="1:21" ht="43.5" thickBot="1">
      <c r="A17" s="3489">
        <v>12</v>
      </c>
      <c r="B17" s="3490" t="s">
        <v>3409</v>
      </c>
      <c r="C17" s="3489" t="s">
        <v>3451</v>
      </c>
      <c r="D17" s="3489" t="s">
        <v>3452</v>
      </c>
      <c r="E17" s="3489" t="s">
        <v>3412</v>
      </c>
      <c r="F17" s="3489" t="s">
        <v>3453</v>
      </c>
      <c r="G17" s="3489" t="s">
        <v>3406</v>
      </c>
      <c r="H17" s="3489" t="s">
        <v>3414</v>
      </c>
      <c r="I17" s="3489" t="s">
        <v>3422</v>
      </c>
      <c r="J17" s="3489">
        <v>66.290000000000006</v>
      </c>
      <c r="K17" s="3489" t="s">
        <v>3391</v>
      </c>
      <c r="L17" s="3489" t="s">
        <v>3454</v>
      </c>
      <c r="M17" s="3489">
        <v>5</v>
      </c>
      <c r="N17" s="3489" t="s">
        <v>633</v>
      </c>
      <c r="O17" s="3489">
        <v>1992</v>
      </c>
      <c r="P17" s="3489" t="s">
        <v>633</v>
      </c>
      <c r="Q17" s="3489" t="s">
        <v>633</v>
      </c>
      <c r="R17" s="3489">
        <v>43295</v>
      </c>
      <c r="S17" s="3489">
        <v>42791</v>
      </c>
      <c r="T17" s="3489">
        <v>2836615</v>
      </c>
      <c r="U17" s="3491">
        <v>45357</v>
      </c>
    </row>
    <row r="18" spans="1:21" ht="43.5" thickBot="1">
      <c r="A18" s="3489">
        <v>13</v>
      </c>
      <c r="B18" s="3490" t="s">
        <v>3409</v>
      </c>
      <c r="C18" s="3489" t="s">
        <v>3455</v>
      </c>
      <c r="D18" s="3489" t="s">
        <v>3456</v>
      </c>
      <c r="E18" s="3489" t="s">
        <v>3412</v>
      </c>
      <c r="F18" s="3489" t="s">
        <v>3457</v>
      </c>
      <c r="G18" s="3489" t="s">
        <v>3406</v>
      </c>
      <c r="H18" s="3489" t="s">
        <v>3458</v>
      </c>
      <c r="I18" s="3489" t="s">
        <v>3422</v>
      </c>
      <c r="J18" s="3489">
        <v>53.5</v>
      </c>
      <c r="K18" s="3489" t="s">
        <v>3391</v>
      </c>
      <c r="L18" s="3489">
        <v>6</v>
      </c>
      <c r="M18" s="3489">
        <v>1</v>
      </c>
      <c r="N18" s="3489">
        <v>1995</v>
      </c>
      <c r="O18" s="3489" t="s">
        <v>633</v>
      </c>
      <c r="P18" s="3489" t="s">
        <v>633</v>
      </c>
      <c r="Q18" s="3489" t="s">
        <v>633</v>
      </c>
      <c r="R18" s="3489">
        <v>0</v>
      </c>
      <c r="S18" s="3489">
        <v>50198</v>
      </c>
      <c r="T18" s="3489">
        <v>2685593</v>
      </c>
      <c r="U18" s="3491">
        <v>45360</v>
      </c>
    </row>
    <row r="19" spans="1:21" ht="57.75" thickBot="1">
      <c r="A19" s="3489">
        <v>14</v>
      </c>
      <c r="B19" s="3490" t="s">
        <v>3409</v>
      </c>
      <c r="C19" s="3489" t="s">
        <v>3459</v>
      </c>
      <c r="D19" s="3489" t="s">
        <v>3460</v>
      </c>
      <c r="E19" s="3489" t="s">
        <v>3412</v>
      </c>
      <c r="F19" s="3489" t="s">
        <v>3461</v>
      </c>
      <c r="G19" s="3489" t="s">
        <v>3406</v>
      </c>
      <c r="H19" s="3489" t="s">
        <v>3414</v>
      </c>
      <c r="I19" s="3489" t="s">
        <v>3422</v>
      </c>
      <c r="J19" s="3489">
        <v>64.19</v>
      </c>
      <c r="K19" s="3489" t="s">
        <v>3391</v>
      </c>
      <c r="L19" s="3489">
        <v>20</v>
      </c>
      <c r="M19" s="3489">
        <v>13</v>
      </c>
      <c r="N19" s="3489">
        <v>1995</v>
      </c>
      <c r="O19" s="3489" t="s">
        <v>633</v>
      </c>
      <c r="P19" s="3489" t="s">
        <v>633</v>
      </c>
      <c r="Q19" s="3489" t="s">
        <v>633</v>
      </c>
      <c r="R19" s="3489">
        <v>0</v>
      </c>
      <c r="S19" s="3489">
        <v>54334</v>
      </c>
      <c r="T19" s="3489">
        <v>3487699</v>
      </c>
      <c r="U19" s="3491">
        <v>45351</v>
      </c>
    </row>
    <row r="20" spans="1:21" ht="57.75" thickBot="1">
      <c r="A20" s="3489">
        <v>15</v>
      </c>
      <c r="B20" s="3490" t="s">
        <v>3409</v>
      </c>
      <c r="C20" s="3489" t="s">
        <v>3462</v>
      </c>
      <c r="D20" s="3489" t="s">
        <v>3460</v>
      </c>
      <c r="E20" s="3489" t="s">
        <v>3412</v>
      </c>
      <c r="F20" s="3489" t="s">
        <v>3463</v>
      </c>
      <c r="G20" s="3489" t="s">
        <v>3406</v>
      </c>
      <c r="H20" s="3489" t="s">
        <v>3414</v>
      </c>
      <c r="I20" s="3489" t="s">
        <v>3422</v>
      </c>
      <c r="J20" s="3489">
        <v>63.92</v>
      </c>
      <c r="K20" s="3489" t="s">
        <v>3391</v>
      </c>
      <c r="L20" s="3489" t="s">
        <v>3464</v>
      </c>
      <c r="M20" s="3489">
        <v>4</v>
      </c>
      <c r="N20" s="3489" t="s">
        <v>633</v>
      </c>
      <c r="O20" s="3489">
        <v>1996</v>
      </c>
      <c r="P20" s="3489" t="s">
        <v>633</v>
      </c>
      <c r="Q20" s="3489" t="s">
        <v>633</v>
      </c>
      <c r="R20" s="3489">
        <v>0</v>
      </c>
      <c r="S20" s="3489">
        <v>52238</v>
      </c>
      <c r="T20" s="3489">
        <v>3339053</v>
      </c>
      <c r="U20" s="3491">
        <v>45298</v>
      </c>
    </row>
    <row r="21" spans="1:21" ht="57.75" thickBot="1">
      <c r="A21" s="3489">
        <v>16</v>
      </c>
      <c r="B21" s="3490" t="s">
        <v>3409</v>
      </c>
      <c r="C21" s="3489" t="s">
        <v>3465</v>
      </c>
      <c r="D21" s="3489" t="s">
        <v>3466</v>
      </c>
      <c r="E21" s="3489" t="s">
        <v>3412</v>
      </c>
      <c r="F21" s="3489" t="s">
        <v>3467</v>
      </c>
      <c r="G21" s="3489" t="s">
        <v>3406</v>
      </c>
      <c r="H21" s="3489" t="s">
        <v>3414</v>
      </c>
      <c r="I21" s="3489" t="s">
        <v>3422</v>
      </c>
      <c r="J21" s="3489">
        <v>47.77</v>
      </c>
      <c r="K21" s="3489" t="s">
        <v>3391</v>
      </c>
      <c r="L21" s="3489">
        <v>7</v>
      </c>
      <c r="M21" s="3489">
        <v>2</v>
      </c>
      <c r="N21" s="3489" t="s">
        <v>633</v>
      </c>
      <c r="O21" s="3489">
        <v>1994</v>
      </c>
      <c r="P21" s="3489" t="s">
        <v>633</v>
      </c>
      <c r="Q21" s="3489" t="s">
        <v>633</v>
      </c>
      <c r="R21" s="3489">
        <v>0</v>
      </c>
      <c r="S21" s="3489">
        <v>48218</v>
      </c>
      <c r="T21" s="3489">
        <v>2303374</v>
      </c>
      <c r="U21" s="3491">
        <v>45254</v>
      </c>
    </row>
    <row r="22" spans="1:21" ht="29.25" thickBot="1">
      <c r="A22" s="3489">
        <v>17</v>
      </c>
      <c r="B22" s="3490" t="s">
        <v>3409</v>
      </c>
      <c r="C22" s="3489" t="s">
        <v>3468</v>
      </c>
      <c r="D22" s="3489" t="s">
        <v>3469</v>
      </c>
      <c r="E22" s="3489" t="s">
        <v>3412</v>
      </c>
      <c r="F22" s="3489" t="s">
        <v>3470</v>
      </c>
      <c r="G22" s="3489" t="s">
        <v>3406</v>
      </c>
      <c r="H22" s="3489" t="s">
        <v>3414</v>
      </c>
      <c r="I22" s="3489" t="s">
        <v>3415</v>
      </c>
      <c r="J22" s="3489">
        <v>57.59</v>
      </c>
      <c r="K22" s="3489" t="s">
        <v>3391</v>
      </c>
      <c r="L22" s="3489" t="s">
        <v>3471</v>
      </c>
      <c r="M22" s="3489">
        <v>7</v>
      </c>
      <c r="N22" s="3489" t="s">
        <v>633</v>
      </c>
      <c r="O22" s="3489">
        <v>1995</v>
      </c>
      <c r="P22" s="3489" t="s">
        <v>633</v>
      </c>
      <c r="Q22" s="3489" t="s">
        <v>633</v>
      </c>
      <c r="R22" s="3489">
        <v>48967</v>
      </c>
      <c r="S22" s="3489">
        <v>48704</v>
      </c>
      <c r="T22" s="3489">
        <v>2804863</v>
      </c>
      <c r="U22" s="3491">
        <v>45232</v>
      </c>
    </row>
    <row r="23" spans="1:21" ht="43.5" thickBot="1">
      <c r="A23" s="3489">
        <v>18</v>
      </c>
      <c r="B23" s="3490" t="s">
        <v>3409</v>
      </c>
      <c r="C23" s="3489" t="s">
        <v>3472</v>
      </c>
      <c r="D23" s="3489" t="s">
        <v>3473</v>
      </c>
      <c r="E23" s="3489" t="s">
        <v>3412</v>
      </c>
      <c r="F23" s="3489" t="s">
        <v>3474</v>
      </c>
      <c r="G23" s="3489" t="s">
        <v>3406</v>
      </c>
      <c r="H23" s="3489" t="s">
        <v>3414</v>
      </c>
      <c r="I23" s="3489" t="s">
        <v>3422</v>
      </c>
      <c r="J23" s="3489">
        <v>62.24</v>
      </c>
      <c r="K23" s="3489" t="s">
        <v>3391</v>
      </c>
      <c r="L23" s="3489">
        <v>6</v>
      </c>
      <c r="M23" s="3489">
        <v>3</v>
      </c>
      <c r="N23" s="3489" t="s">
        <v>633</v>
      </c>
      <c r="O23" s="3489">
        <v>1995</v>
      </c>
      <c r="P23" s="3489" t="s">
        <v>633</v>
      </c>
      <c r="Q23" s="3489" t="s">
        <v>633</v>
      </c>
      <c r="R23" s="3489">
        <v>50611</v>
      </c>
      <c r="S23" s="3489">
        <v>47088</v>
      </c>
      <c r="T23" s="3489">
        <v>2930757</v>
      </c>
      <c r="U23" s="3491">
        <v>45186</v>
      </c>
    </row>
    <row r="24" spans="1:21" ht="43.5" thickBot="1">
      <c r="A24" s="3489">
        <v>19</v>
      </c>
      <c r="B24" s="3490" t="s">
        <v>3409</v>
      </c>
      <c r="C24" s="3489" t="s">
        <v>3475</v>
      </c>
      <c r="D24" s="3489" t="s">
        <v>3476</v>
      </c>
      <c r="E24" s="3489" t="s">
        <v>3412</v>
      </c>
      <c r="F24" s="3489" t="s">
        <v>3477</v>
      </c>
      <c r="G24" s="3489" t="s">
        <v>3406</v>
      </c>
      <c r="H24" s="3489" t="s">
        <v>3414</v>
      </c>
      <c r="I24" s="3489" t="s">
        <v>3415</v>
      </c>
      <c r="J24" s="3489">
        <v>55.1</v>
      </c>
      <c r="K24" s="3489" t="s">
        <v>3391</v>
      </c>
      <c r="L24" s="3489">
        <v>6</v>
      </c>
      <c r="M24" s="3489">
        <v>6</v>
      </c>
      <c r="N24" s="3489">
        <v>1987</v>
      </c>
      <c r="O24" s="3489" t="s">
        <v>633</v>
      </c>
      <c r="P24" s="3489" t="s">
        <v>633</v>
      </c>
      <c r="Q24" s="3489" t="s">
        <v>633</v>
      </c>
      <c r="R24" s="3489">
        <v>42105</v>
      </c>
      <c r="S24" s="3489">
        <v>40892</v>
      </c>
      <c r="T24" s="3489">
        <v>2253149</v>
      </c>
      <c r="U24" s="3491">
        <v>45153</v>
      </c>
    </row>
    <row r="25" spans="1:21" ht="43.5" thickBot="1">
      <c r="A25" s="3489">
        <v>20</v>
      </c>
      <c r="B25" s="3490" t="s">
        <v>3409</v>
      </c>
      <c r="C25" s="3489" t="s">
        <v>3478</v>
      </c>
      <c r="D25" s="3489" t="s">
        <v>3479</v>
      </c>
      <c r="E25" s="3489" t="s">
        <v>3412</v>
      </c>
      <c r="F25" s="3489" t="s">
        <v>3480</v>
      </c>
      <c r="G25" s="3489" t="s">
        <v>3406</v>
      </c>
      <c r="H25" s="3489" t="s">
        <v>3481</v>
      </c>
      <c r="I25" s="3489" t="s">
        <v>3422</v>
      </c>
      <c r="J25" s="3489">
        <v>67.349999999999994</v>
      </c>
      <c r="K25" s="3489" t="s">
        <v>3391</v>
      </c>
      <c r="L25" s="3489">
        <v>6</v>
      </c>
      <c r="M25" s="3489">
        <v>6</v>
      </c>
      <c r="N25" s="3489">
        <v>1999</v>
      </c>
      <c r="O25" s="3489" t="s">
        <v>633</v>
      </c>
      <c r="P25" s="3489" t="s">
        <v>633</v>
      </c>
      <c r="Q25" s="3489" t="s">
        <v>633</v>
      </c>
      <c r="R25" s="3489">
        <v>42316</v>
      </c>
      <c r="S25" s="3489">
        <v>42398</v>
      </c>
      <c r="T25" s="3489">
        <v>2855505</v>
      </c>
      <c r="U25" s="3491">
        <v>45082</v>
      </c>
    </row>
    <row r="26" spans="1:21" ht="43.5" thickBot="1">
      <c r="A26" s="3489">
        <v>21</v>
      </c>
      <c r="B26" s="3490" t="s">
        <v>3409</v>
      </c>
      <c r="C26" s="3489" t="s">
        <v>3482</v>
      </c>
      <c r="D26" s="3489" t="s">
        <v>3483</v>
      </c>
      <c r="E26" s="3489" t="s">
        <v>3412</v>
      </c>
      <c r="F26" s="3489" t="s">
        <v>3484</v>
      </c>
      <c r="G26" s="3489" t="s">
        <v>3406</v>
      </c>
      <c r="H26" s="3489" t="s">
        <v>3414</v>
      </c>
      <c r="I26" s="3489" t="s">
        <v>3422</v>
      </c>
      <c r="J26" s="3489">
        <v>65</v>
      </c>
      <c r="K26" s="3489" t="s">
        <v>3391</v>
      </c>
      <c r="L26" s="3489">
        <v>22</v>
      </c>
      <c r="M26" s="3489">
        <v>10</v>
      </c>
      <c r="N26" s="3489" t="s">
        <v>633</v>
      </c>
      <c r="O26" s="3489">
        <v>1996</v>
      </c>
      <c r="P26" s="3489" t="s">
        <v>633</v>
      </c>
      <c r="Q26" s="3489" t="s">
        <v>633</v>
      </c>
      <c r="R26" s="3489">
        <v>61077</v>
      </c>
      <c r="S26" s="3489">
        <v>56429</v>
      </c>
      <c r="T26" s="3489">
        <v>3667885</v>
      </c>
      <c r="U26" s="3491">
        <v>45028</v>
      </c>
    </row>
    <row r="27" spans="1:21" ht="43.5" thickBot="1">
      <c r="A27" s="3489">
        <v>22</v>
      </c>
      <c r="B27" s="3490" t="s">
        <v>3409</v>
      </c>
      <c r="C27" s="3489" t="s">
        <v>3485</v>
      </c>
      <c r="D27" s="3489" t="s">
        <v>3486</v>
      </c>
      <c r="E27" s="3489" t="s">
        <v>3412</v>
      </c>
      <c r="F27" s="3489" t="s">
        <v>3487</v>
      </c>
      <c r="G27" s="3489" t="s">
        <v>3406</v>
      </c>
      <c r="H27" s="3489" t="s">
        <v>3414</v>
      </c>
      <c r="I27" s="3489" t="s">
        <v>3422</v>
      </c>
      <c r="J27" s="3489">
        <v>47.07</v>
      </c>
      <c r="K27" s="3489" t="s">
        <v>3391</v>
      </c>
      <c r="L27" s="3489">
        <v>6</v>
      </c>
      <c r="M27" s="3489">
        <v>6</v>
      </c>
      <c r="N27" s="3489" t="s">
        <v>633</v>
      </c>
      <c r="O27" s="3489">
        <v>1993</v>
      </c>
      <c r="P27" s="3489" t="s">
        <v>633</v>
      </c>
      <c r="Q27" s="3489" t="s">
        <v>633</v>
      </c>
      <c r="R27" s="3489">
        <v>46208</v>
      </c>
      <c r="S27" s="3489">
        <v>46164</v>
      </c>
      <c r="T27" s="3489">
        <v>2172939</v>
      </c>
      <c r="U27" s="3491">
        <v>45027</v>
      </c>
    </row>
    <row r="28" spans="1:21" ht="43.5" thickBot="1">
      <c r="A28" s="3489">
        <v>23</v>
      </c>
      <c r="B28" s="3490" t="s">
        <v>3409</v>
      </c>
      <c r="C28" s="3489" t="s">
        <v>3488</v>
      </c>
      <c r="D28" s="3489" t="s">
        <v>3489</v>
      </c>
      <c r="E28" s="3489" t="s">
        <v>3412</v>
      </c>
      <c r="F28" s="3489" t="s">
        <v>3490</v>
      </c>
      <c r="G28" s="3489" t="s">
        <v>3406</v>
      </c>
      <c r="H28" s="3489" t="s">
        <v>3414</v>
      </c>
      <c r="I28" s="3489" t="s">
        <v>3422</v>
      </c>
      <c r="J28" s="3489">
        <v>63.29</v>
      </c>
      <c r="K28" s="3489" t="s">
        <v>3391</v>
      </c>
      <c r="L28" s="3489">
        <v>7</v>
      </c>
      <c r="M28" s="3489">
        <v>6</v>
      </c>
      <c r="N28" s="3489" t="s">
        <v>633</v>
      </c>
      <c r="O28" s="3489">
        <v>1996</v>
      </c>
      <c r="P28" s="3489" t="s">
        <v>633</v>
      </c>
      <c r="Q28" s="3489" t="s">
        <v>633</v>
      </c>
      <c r="R28" s="3489">
        <v>47401</v>
      </c>
      <c r="S28" s="3489">
        <v>45120</v>
      </c>
      <c r="T28" s="3489">
        <v>2855645</v>
      </c>
      <c r="U28" s="3491">
        <v>45014</v>
      </c>
    </row>
    <row r="29" spans="1:21" ht="43.5" thickBot="1">
      <c r="A29" s="3489">
        <v>24</v>
      </c>
      <c r="B29" s="3490" t="s">
        <v>3409</v>
      </c>
      <c r="C29" s="3489" t="s">
        <v>3491</v>
      </c>
      <c r="D29" s="3489" t="s">
        <v>3492</v>
      </c>
      <c r="E29" s="3489" t="s">
        <v>3412</v>
      </c>
      <c r="F29" s="3489" t="s">
        <v>3493</v>
      </c>
      <c r="G29" s="3489" t="s">
        <v>3406</v>
      </c>
      <c r="H29" s="3489" t="s">
        <v>3414</v>
      </c>
      <c r="I29" s="3489" t="s">
        <v>3415</v>
      </c>
      <c r="J29" s="3489">
        <v>70.900000000000006</v>
      </c>
      <c r="K29" s="3489" t="s">
        <v>3391</v>
      </c>
      <c r="L29" s="3489">
        <v>19</v>
      </c>
      <c r="M29" s="3489">
        <v>17</v>
      </c>
      <c r="N29" s="3489" t="s">
        <v>633</v>
      </c>
      <c r="O29" s="3489">
        <v>1992</v>
      </c>
      <c r="P29" s="3489" t="s">
        <v>633</v>
      </c>
      <c r="Q29" s="3489" t="s">
        <v>633</v>
      </c>
      <c r="R29" s="3489">
        <v>55007</v>
      </c>
      <c r="S29" s="3489">
        <v>53796</v>
      </c>
      <c r="T29" s="3489">
        <v>3814136</v>
      </c>
      <c r="U29" s="3491">
        <v>45006</v>
      </c>
    </row>
    <row r="30" spans="1:21" ht="43.5" thickBot="1">
      <c r="A30" s="3489">
        <v>25</v>
      </c>
      <c r="B30" s="3490" t="s">
        <v>3409</v>
      </c>
      <c r="C30" s="3489" t="s">
        <v>3494</v>
      </c>
      <c r="D30" s="3489" t="s">
        <v>3495</v>
      </c>
      <c r="E30" s="3489" t="s">
        <v>3412</v>
      </c>
      <c r="F30" s="3489" t="s">
        <v>3496</v>
      </c>
      <c r="G30" s="3489" t="s">
        <v>3406</v>
      </c>
      <c r="H30" s="3489" t="s">
        <v>3414</v>
      </c>
      <c r="I30" s="3489" t="s">
        <v>3422</v>
      </c>
      <c r="J30" s="3489">
        <v>51.63</v>
      </c>
      <c r="K30" s="3489" t="s">
        <v>3391</v>
      </c>
      <c r="L30" s="3489" t="s">
        <v>3497</v>
      </c>
      <c r="M30" s="3489">
        <v>6</v>
      </c>
      <c r="N30" s="3489" t="s">
        <v>633</v>
      </c>
      <c r="O30" s="3489">
        <v>1993</v>
      </c>
      <c r="P30" s="3489" t="s">
        <v>633</v>
      </c>
      <c r="Q30" s="3489" t="s">
        <v>633</v>
      </c>
      <c r="R30" s="3489">
        <v>49003</v>
      </c>
      <c r="S30" s="3489">
        <v>45489</v>
      </c>
      <c r="T30" s="3489">
        <v>2348597</v>
      </c>
      <c r="U30" s="3491">
        <v>44985</v>
      </c>
    </row>
    <row r="31" spans="1:21" ht="43.5" thickBot="1">
      <c r="A31" s="3489">
        <v>26</v>
      </c>
      <c r="B31" s="3490" t="s">
        <v>3409</v>
      </c>
      <c r="C31" s="3489" t="s">
        <v>3498</v>
      </c>
      <c r="D31" s="3489" t="s">
        <v>3499</v>
      </c>
      <c r="E31" s="3489" t="s">
        <v>3412</v>
      </c>
      <c r="F31" s="3489" t="s">
        <v>3500</v>
      </c>
      <c r="G31" s="3489" t="s">
        <v>3406</v>
      </c>
      <c r="H31" s="3489" t="s">
        <v>3414</v>
      </c>
      <c r="I31" s="3489" t="s">
        <v>3415</v>
      </c>
      <c r="J31" s="3489">
        <v>68.58</v>
      </c>
      <c r="K31" s="3489" t="s">
        <v>3391</v>
      </c>
      <c r="L31" s="3489">
        <v>6</v>
      </c>
      <c r="M31" s="3489">
        <v>3</v>
      </c>
      <c r="N31" s="3489" t="s">
        <v>633</v>
      </c>
      <c r="O31" s="3489">
        <v>1982</v>
      </c>
      <c r="P31" s="3489" t="s">
        <v>633</v>
      </c>
      <c r="Q31" s="3489" t="s">
        <v>633</v>
      </c>
      <c r="R31" s="3489">
        <v>54972</v>
      </c>
      <c r="S31" s="3489">
        <v>54134</v>
      </c>
      <c r="T31" s="3489">
        <v>3712510</v>
      </c>
      <c r="U31" s="3491">
        <v>44978</v>
      </c>
    </row>
    <row r="32" spans="1:21" ht="43.5" thickBot="1">
      <c r="A32" s="3489">
        <v>27</v>
      </c>
      <c r="B32" s="3490" t="s">
        <v>3409</v>
      </c>
      <c r="C32" s="3489" t="s">
        <v>3501</v>
      </c>
      <c r="D32" s="3489" t="s">
        <v>3502</v>
      </c>
      <c r="E32" s="3489" t="s">
        <v>3412</v>
      </c>
      <c r="F32" s="3489" t="s">
        <v>3503</v>
      </c>
      <c r="G32" s="3489" t="s">
        <v>3406</v>
      </c>
      <c r="H32" s="3489" t="s">
        <v>3414</v>
      </c>
      <c r="I32" s="3489" t="s">
        <v>3415</v>
      </c>
      <c r="J32" s="3489">
        <v>62.24</v>
      </c>
      <c r="K32" s="3489" t="s">
        <v>3391</v>
      </c>
      <c r="L32" s="3489">
        <v>6</v>
      </c>
      <c r="M32" s="3489">
        <v>4</v>
      </c>
      <c r="N32" s="3489" t="s">
        <v>633</v>
      </c>
      <c r="O32" s="3489">
        <v>1995</v>
      </c>
      <c r="P32" s="3489" t="s">
        <v>633</v>
      </c>
      <c r="Q32" s="3489" t="s">
        <v>633</v>
      </c>
      <c r="R32" s="3489">
        <v>51735</v>
      </c>
      <c r="S32" s="3489">
        <v>49253</v>
      </c>
      <c r="T32" s="3489">
        <v>3065507</v>
      </c>
      <c r="U32" s="3491">
        <v>44972</v>
      </c>
    </row>
    <row r="33" spans="1:21" ht="43.5" thickBot="1">
      <c r="A33" s="3489">
        <v>28</v>
      </c>
      <c r="B33" s="3490" t="s">
        <v>3409</v>
      </c>
      <c r="C33" s="3489" t="s">
        <v>3504</v>
      </c>
      <c r="D33" s="3489" t="s">
        <v>3505</v>
      </c>
      <c r="E33" s="3489" t="s">
        <v>3412</v>
      </c>
      <c r="F33" s="3489" t="s">
        <v>3506</v>
      </c>
      <c r="G33" s="3489" t="s">
        <v>3406</v>
      </c>
      <c r="H33" s="3489" t="s">
        <v>3507</v>
      </c>
      <c r="I33" s="3489" t="s">
        <v>3422</v>
      </c>
      <c r="J33" s="3489">
        <v>55.87</v>
      </c>
      <c r="K33" s="3489" t="s">
        <v>3391</v>
      </c>
      <c r="L33" s="3489">
        <v>22</v>
      </c>
      <c r="M33" s="3489">
        <v>8</v>
      </c>
      <c r="N33" s="3489" t="s">
        <v>633</v>
      </c>
      <c r="O33" s="3489">
        <v>1996</v>
      </c>
      <c r="P33" s="3489" t="s">
        <v>633</v>
      </c>
      <c r="Q33" s="3489" t="s">
        <v>633</v>
      </c>
      <c r="R33" s="3489">
        <v>57974</v>
      </c>
      <c r="S33" s="3489">
        <v>53985</v>
      </c>
      <c r="T33" s="3489">
        <v>3016142</v>
      </c>
      <c r="U33" s="3491">
        <v>44961</v>
      </c>
    </row>
    <row r="34" spans="1:21" ht="43.5" thickBot="1">
      <c r="A34" s="3489">
        <v>29</v>
      </c>
      <c r="B34" s="3490" t="s">
        <v>3409</v>
      </c>
      <c r="C34" s="3489" t="s">
        <v>3508</v>
      </c>
      <c r="D34" s="3489" t="s">
        <v>3509</v>
      </c>
      <c r="E34" s="3489" t="s">
        <v>3412</v>
      </c>
      <c r="F34" s="3489" t="s">
        <v>3510</v>
      </c>
      <c r="G34" s="3489" t="s">
        <v>3406</v>
      </c>
      <c r="H34" s="3489" t="s">
        <v>3414</v>
      </c>
      <c r="I34" s="3489" t="s">
        <v>3415</v>
      </c>
      <c r="J34" s="3489">
        <v>65</v>
      </c>
      <c r="K34" s="3489" t="s">
        <v>3391</v>
      </c>
      <c r="L34" s="3489">
        <v>20</v>
      </c>
      <c r="M34" s="3489">
        <v>13</v>
      </c>
      <c r="N34" s="3489" t="s">
        <v>633</v>
      </c>
      <c r="O34" s="3489">
        <v>1996</v>
      </c>
      <c r="P34" s="3489" t="s">
        <v>633</v>
      </c>
      <c r="Q34" s="3489" t="s">
        <v>633</v>
      </c>
      <c r="R34" s="3489">
        <v>58308</v>
      </c>
      <c r="S34" s="3489">
        <v>53827</v>
      </c>
      <c r="T34" s="3489">
        <v>3498755</v>
      </c>
      <c r="U34" s="3491">
        <v>44925</v>
      </c>
    </row>
    <row r="35" spans="1:21" ht="43.5" thickBot="1">
      <c r="A35" s="3489">
        <v>30</v>
      </c>
      <c r="B35" s="3490" t="s">
        <v>3409</v>
      </c>
      <c r="C35" s="3489" t="s">
        <v>3511</v>
      </c>
      <c r="D35" s="3489" t="s">
        <v>3512</v>
      </c>
      <c r="E35" s="3489" t="s">
        <v>3412</v>
      </c>
      <c r="F35" s="3489" t="s">
        <v>3513</v>
      </c>
      <c r="G35" s="3489" t="s">
        <v>3406</v>
      </c>
      <c r="H35" s="3489" t="s">
        <v>3507</v>
      </c>
      <c r="I35" s="3489" t="s">
        <v>3422</v>
      </c>
      <c r="J35" s="3489">
        <v>55.1</v>
      </c>
      <c r="K35" s="3489" t="s">
        <v>3391</v>
      </c>
      <c r="L35" s="3489">
        <v>6</v>
      </c>
      <c r="M35" s="3489">
        <v>5</v>
      </c>
      <c r="N35" s="3489" t="s">
        <v>633</v>
      </c>
      <c r="O35" s="3489">
        <v>1993</v>
      </c>
      <c r="P35" s="3489" t="s">
        <v>633</v>
      </c>
      <c r="Q35" s="3489" t="s">
        <v>633</v>
      </c>
      <c r="R35" s="3489">
        <v>52795</v>
      </c>
      <c r="S35" s="3489">
        <v>50383</v>
      </c>
      <c r="T35" s="3489">
        <v>2776103</v>
      </c>
      <c r="U35" s="3491">
        <v>44891</v>
      </c>
    </row>
    <row r="36" spans="1:21" ht="43.5" thickBot="1">
      <c r="A36" s="3489">
        <v>31</v>
      </c>
      <c r="B36" s="3490" t="s">
        <v>3409</v>
      </c>
      <c r="C36" s="3489" t="s">
        <v>3514</v>
      </c>
      <c r="D36" s="3489" t="s">
        <v>3515</v>
      </c>
      <c r="E36" s="3489" t="s">
        <v>3412</v>
      </c>
      <c r="F36" s="3489" t="s">
        <v>3516</v>
      </c>
      <c r="G36" s="3489" t="s">
        <v>3406</v>
      </c>
      <c r="H36" s="3489" t="s">
        <v>3507</v>
      </c>
      <c r="I36" s="3489" t="s">
        <v>3422</v>
      </c>
      <c r="J36" s="3489">
        <v>55.1</v>
      </c>
      <c r="K36" s="3489" t="s">
        <v>3391</v>
      </c>
      <c r="L36" s="3489">
        <v>6</v>
      </c>
      <c r="M36" s="3489">
        <v>4</v>
      </c>
      <c r="N36" s="3489" t="s">
        <v>633</v>
      </c>
      <c r="O36" s="3489">
        <v>1993</v>
      </c>
      <c r="P36" s="3489" t="s">
        <v>633</v>
      </c>
      <c r="Q36" s="3489" t="s">
        <v>633</v>
      </c>
      <c r="R36" s="3489">
        <v>52359</v>
      </c>
      <c r="S36" s="3489">
        <v>50885</v>
      </c>
      <c r="T36" s="3489">
        <v>2803764</v>
      </c>
      <c r="U36" s="3491">
        <v>44891</v>
      </c>
    </row>
    <row r="37" spans="1:21" ht="43.5" thickBot="1">
      <c r="A37" s="3489">
        <v>32</v>
      </c>
      <c r="B37" s="3490" t="s">
        <v>3409</v>
      </c>
      <c r="C37" s="3489" t="s">
        <v>3517</v>
      </c>
      <c r="D37" s="3489" t="s">
        <v>3518</v>
      </c>
      <c r="E37" s="3489" t="s">
        <v>3412</v>
      </c>
      <c r="F37" s="3489" t="s">
        <v>3519</v>
      </c>
      <c r="G37" s="3489" t="s">
        <v>3406</v>
      </c>
      <c r="H37" s="3489" t="s">
        <v>3520</v>
      </c>
      <c r="I37" s="3489" t="s">
        <v>3415</v>
      </c>
      <c r="J37" s="3489">
        <v>54.1</v>
      </c>
      <c r="K37" s="3489" t="s">
        <v>3391</v>
      </c>
      <c r="L37" s="3489">
        <v>6</v>
      </c>
      <c r="M37" s="3489">
        <v>3</v>
      </c>
      <c r="N37" s="3489" t="s">
        <v>633</v>
      </c>
      <c r="O37" s="3489">
        <v>1993</v>
      </c>
      <c r="P37" s="3489" t="s">
        <v>633</v>
      </c>
      <c r="Q37" s="3489" t="s">
        <v>633</v>
      </c>
      <c r="R37" s="3489">
        <v>53604</v>
      </c>
      <c r="S37" s="3489">
        <v>49860</v>
      </c>
      <c r="T37" s="3489">
        <v>2697426</v>
      </c>
      <c r="U37" s="3491">
        <v>44890</v>
      </c>
    </row>
    <row r="38" spans="1:21" ht="43.5" thickBot="1">
      <c r="A38" s="3489">
        <v>33</v>
      </c>
      <c r="B38" s="3490" t="s">
        <v>3409</v>
      </c>
      <c r="C38" s="3489" t="s">
        <v>3521</v>
      </c>
      <c r="D38" s="3489" t="s">
        <v>3522</v>
      </c>
      <c r="E38" s="3489" t="s">
        <v>3412</v>
      </c>
      <c r="F38" s="3489" t="s">
        <v>3523</v>
      </c>
      <c r="G38" s="3489" t="s">
        <v>3406</v>
      </c>
      <c r="H38" s="3489" t="s">
        <v>3414</v>
      </c>
      <c r="I38" s="3489" t="s">
        <v>3422</v>
      </c>
      <c r="J38" s="3489">
        <v>45.61</v>
      </c>
      <c r="K38" s="3489" t="s">
        <v>3391</v>
      </c>
      <c r="L38" s="3489" t="s">
        <v>3524</v>
      </c>
      <c r="M38" s="3489">
        <v>21</v>
      </c>
      <c r="N38" s="3489" t="s">
        <v>633</v>
      </c>
      <c r="O38" s="3489">
        <v>1995</v>
      </c>
      <c r="P38" s="3489" t="s">
        <v>633</v>
      </c>
      <c r="Q38" s="3489" t="s">
        <v>633</v>
      </c>
      <c r="R38" s="3489">
        <v>49660</v>
      </c>
      <c r="S38" s="3489">
        <v>47528</v>
      </c>
      <c r="T38" s="3489">
        <v>2167752</v>
      </c>
      <c r="U38" s="3491">
        <v>44861</v>
      </c>
    </row>
    <row r="39" spans="1:21" ht="43.5" thickBot="1">
      <c r="A39" s="3492">
        <v>34</v>
      </c>
      <c r="B39" s="3493" t="s">
        <v>3409</v>
      </c>
      <c r="C39" s="3492" t="s">
        <v>3525</v>
      </c>
      <c r="D39" s="3492" t="s">
        <v>3526</v>
      </c>
      <c r="E39" s="3492" t="s">
        <v>3412</v>
      </c>
      <c r="F39" s="3492" t="s">
        <v>3527</v>
      </c>
      <c r="G39" s="3492" t="s">
        <v>3406</v>
      </c>
      <c r="H39" s="3492" t="s">
        <v>3414</v>
      </c>
      <c r="I39" s="3492" t="s">
        <v>3415</v>
      </c>
      <c r="J39" s="3492">
        <v>49.27</v>
      </c>
      <c r="K39" s="3492" t="s">
        <v>3391</v>
      </c>
      <c r="L39" s="3492" t="s">
        <v>3528</v>
      </c>
      <c r="M39" s="3492">
        <v>14</v>
      </c>
      <c r="N39" s="3492" t="s">
        <v>633</v>
      </c>
      <c r="O39" s="3492">
        <v>1995</v>
      </c>
      <c r="P39" s="3492" t="s">
        <v>633</v>
      </c>
      <c r="Q39" s="3492" t="s">
        <v>633</v>
      </c>
      <c r="R39" s="3492">
        <v>57439</v>
      </c>
      <c r="S39" s="3492">
        <v>56272</v>
      </c>
      <c r="T39" s="3492">
        <v>2772521</v>
      </c>
      <c r="U39" s="3494">
        <v>44797</v>
      </c>
    </row>
    <row r="40" spans="1:21" ht="43.5" thickBot="1">
      <c r="A40" s="3495">
        <v>35</v>
      </c>
      <c r="B40" s="3496" t="s">
        <v>3409</v>
      </c>
      <c r="C40" s="3495" t="s">
        <v>3529</v>
      </c>
      <c r="D40" s="3495" t="s">
        <v>3530</v>
      </c>
      <c r="E40" s="3495" t="s">
        <v>3412</v>
      </c>
      <c r="F40" s="3495" t="s">
        <v>3531</v>
      </c>
      <c r="G40" s="3495" t="s">
        <v>3406</v>
      </c>
      <c r="H40" s="3495" t="s">
        <v>3414</v>
      </c>
      <c r="I40" s="3495" t="s">
        <v>3422</v>
      </c>
      <c r="J40" s="3495">
        <v>77.37</v>
      </c>
      <c r="K40" s="3495" t="s">
        <v>3391</v>
      </c>
      <c r="L40" s="3495">
        <v>20</v>
      </c>
      <c r="M40" s="3495">
        <v>20</v>
      </c>
      <c r="N40" s="3495" t="s">
        <v>633</v>
      </c>
      <c r="O40" s="3495">
        <v>1996</v>
      </c>
      <c r="P40" s="3495" t="s">
        <v>633</v>
      </c>
      <c r="Q40" s="3495" t="s">
        <v>633</v>
      </c>
      <c r="R40" s="3495">
        <v>54931</v>
      </c>
      <c r="S40" s="3495">
        <v>53978</v>
      </c>
      <c r="T40" s="3495">
        <v>4176278</v>
      </c>
      <c r="U40" s="3497">
        <v>44794</v>
      </c>
    </row>
    <row r="41" spans="1:21" ht="43.5" thickBot="1">
      <c r="A41" s="3492">
        <v>36</v>
      </c>
      <c r="B41" s="3493" t="s">
        <v>3409</v>
      </c>
      <c r="C41" s="3492" t="s">
        <v>3532</v>
      </c>
      <c r="D41" s="3492" t="s">
        <v>3533</v>
      </c>
      <c r="E41" s="3492" t="s">
        <v>3412</v>
      </c>
      <c r="F41" s="3492" t="s">
        <v>3534</v>
      </c>
      <c r="G41" s="3492" t="s">
        <v>3406</v>
      </c>
      <c r="H41" s="3492" t="s">
        <v>3440</v>
      </c>
      <c r="I41" s="3492" t="s">
        <v>3422</v>
      </c>
      <c r="J41" s="3492">
        <v>36.200000000000003</v>
      </c>
      <c r="K41" s="3492" t="s">
        <v>3391</v>
      </c>
      <c r="L41" s="3492">
        <v>6</v>
      </c>
      <c r="M41" s="3492">
        <v>3</v>
      </c>
      <c r="N41" s="3492" t="s">
        <v>633</v>
      </c>
      <c r="O41" s="3492">
        <v>1993</v>
      </c>
      <c r="P41" s="3492" t="s">
        <v>633</v>
      </c>
      <c r="Q41" s="3492" t="s">
        <v>633</v>
      </c>
      <c r="R41" s="3492">
        <v>64503</v>
      </c>
      <c r="S41" s="3492">
        <v>63355</v>
      </c>
      <c r="T41" s="3492">
        <v>2293451</v>
      </c>
      <c r="U41" s="3494">
        <v>44758</v>
      </c>
    </row>
    <row r="42" spans="1:21" ht="43.5" thickBot="1">
      <c r="A42" s="3495">
        <v>37</v>
      </c>
      <c r="B42" s="3496" t="s">
        <v>3409</v>
      </c>
      <c r="C42" s="3495" t="s">
        <v>3535</v>
      </c>
      <c r="D42" s="3495" t="s">
        <v>3536</v>
      </c>
      <c r="E42" s="3495" t="s">
        <v>3412</v>
      </c>
      <c r="F42" s="3495" t="s">
        <v>3537</v>
      </c>
      <c r="G42" s="3495" t="s">
        <v>3406</v>
      </c>
      <c r="H42" s="3495" t="s">
        <v>3414</v>
      </c>
      <c r="I42" s="3495" t="s">
        <v>3422</v>
      </c>
      <c r="J42" s="3495">
        <v>47.77</v>
      </c>
      <c r="K42" s="3495" t="s">
        <v>3391</v>
      </c>
      <c r="L42" s="3495">
        <v>7</v>
      </c>
      <c r="M42" s="3495">
        <v>3</v>
      </c>
      <c r="N42" s="3495" t="s">
        <v>633</v>
      </c>
      <c r="O42" s="3495">
        <v>1994</v>
      </c>
      <c r="P42" s="3495" t="s">
        <v>633</v>
      </c>
      <c r="Q42" s="3495" t="s">
        <v>633</v>
      </c>
      <c r="R42" s="3495">
        <v>52543</v>
      </c>
      <c r="S42" s="3495">
        <v>50710</v>
      </c>
      <c r="T42" s="3495">
        <v>2422417</v>
      </c>
      <c r="U42" s="3497">
        <v>44689</v>
      </c>
    </row>
    <row r="43" spans="1:21" ht="43.5" thickBot="1">
      <c r="A43" s="3492">
        <v>38</v>
      </c>
      <c r="B43" s="3493" t="s">
        <v>3409</v>
      </c>
      <c r="C43" s="3492" t="s">
        <v>3538</v>
      </c>
      <c r="D43" s="3492" t="s">
        <v>3539</v>
      </c>
      <c r="E43" s="3492" t="s">
        <v>3412</v>
      </c>
      <c r="F43" s="3492" t="s">
        <v>3540</v>
      </c>
      <c r="G43" s="3492" t="s">
        <v>3406</v>
      </c>
      <c r="H43" s="3492" t="s">
        <v>3414</v>
      </c>
      <c r="I43" s="3492" t="s">
        <v>3415</v>
      </c>
      <c r="J43" s="3492">
        <v>62.24</v>
      </c>
      <c r="K43" s="3492" t="s">
        <v>3391</v>
      </c>
      <c r="L43" s="3492">
        <v>6</v>
      </c>
      <c r="M43" s="3492">
        <v>3</v>
      </c>
      <c r="N43" s="3492" t="s">
        <v>633</v>
      </c>
      <c r="O43" s="3492">
        <v>1995</v>
      </c>
      <c r="P43" s="3492" t="s">
        <v>633</v>
      </c>
      <c r="Q43" s="3492" t="s">
        <v>633</v>
      </c>
      <c r="R43" s="3492">
        <v>50450</v>
      </c>
      <c r="S43" s="3492">
        <v>50523</v>
      </c>
      <c r="T43" s="3492">
        <v>3144552</v>
      </c>
      <c r="U43" s="3494">
        <v>44672</v>
      </c>
    </row>
    <row r="44" spans="1:21" ht="43.5" thickBot="1">
      <c r="A44" s="3495">
        <v>39</v>
      </c>
      <c r="B44" s="3496" t="s">
        <v>3409</v>
      </c>
      <c r="C44" s="3495" t="s">
        <v>3541</v>
      </c>
      <c r="D44" s="3495" t="s">
        <v>3542</v>
      </c>
      <c r="E44" s="3495" t="s">
        <v>3412</v>
      </c>
      <c r="F44" s="3495" t="s">
        <v>3543</v>
      </c>
      <c r="G44" s="3495" t="s">
        <v>3406</v>
      </c>
      <c r="H44" s="3495" t="s">
        <v>3414</v>
      </c>
      <c r="I44" s="3495" t="s">
        <v>3415</v>
      </c>
      <c r="J44" s="3495">
        <v>73.67</v>
      </c>
      <c r="K44" s="3495" t="s">
        <v>3391</v>
      </c>
      <c r="L44" s="3495" t="s">
        <v>3423</v>
      </c>
      <c r="M44" s="3495">
        <v>5</v>
      </c>
      <c r="N44" s="3495" t="s">
        <v>633</v>
      </c>
      <c r="O44" s="3495">
        <v>1996</v>
      </c>
      <c r="P44" s="3495" t="s">
        <v>633</v>
      </c>
      <c r="Q44" s="3495" t="s">
        <v>633</v>
      </c>
      <c r="R44" s="3495">
        <v>50767</v>
      </c>
      <c r="S44" s="3495">
        <v>47033</v>
      </c>
      <c r="T44" s="3495">
        <v>3464921</v>
      </c>
      <c r="U44" s="3497">
        <v>44629</v>
      </c>
    </row>
    <row r="45" spans="1:21" ht="43.5" thickBot="1">
      <c r="A45" s="3492">
        <v>40</v>
      </c>
      <c r="B45" s="3493" t="s">
        <v>3409</v>
      </c>
      <c r="C45" s="3492" t="s">
        <v>3544</v>
      </c>
      <c r="D45" s="3492" t="s">
        <v>3545</v>
      </c>
      <c r="E45" s="3492" t="s">
        <v>3412</v>
      </c>
      <c r="F45" s="3492" t="s">
        <v>3546</v>
      </c>
      <c r="G45" s="3492" t="s">
        <v>3406</v>
      </c>
      <c r="H45" s="3492" t="s">
        <v>3547</v>
      </c>
      <c r="I45" s="3492" t="s">
        <v>3422</v>
      </c>
      <c r="J45" s="3492">
        <v>70.05</v>
      </c>
      <c r="K45" s="3492" t="s">
        <v>3391</v>
      </c>
      <c r="L45" s="3492">
        <v>6</v>
      </c>
      <c r="M45" s="3492">
        <v>4</v>
      </c>
      <c r="N45" s="3492" t="s">
        <v>633</v>
      </c>
      <c r="O45" s="3492">
        <v>2000</v>
      </c>
      <c r="P45" s="3492" t="s">
        <v>633</v>
      </c>
      <c r="Q45" s="3492" t="s">
        <v>633</v>
      </c>
      <c r="R45" s="3492">
        <v>61385</v>
      </c>
      <c r="S45" s="3492">
        <v>55662</v>
      </c>
      <c r="T45" s="3492">
        <v>3899123</v>
      </c>
      <c r="U45" s="3494">
        <v>44630</v>
      </c>
    </row>
    <row r="46" spans="1:21" ht="43.5" thickBot="1">
      <c r="A46" s="3495">
        <v>41</v>
      </c>
      <c r="B46" s="3496" t="s">
        <v>3409</v>
      </c>
      <c r="C46" s="3495" t="s">
        <v>3548</v>
      </c>
      <c r="D46" s="3495" t="s">
        <v>3549</v>
      </c>
      <c r="E46" s="3495" t="s">
        <v>3412</v>
      </c>
      <c r="F46" s="3495" t="s">
        <v>3550</v>
      </c>
      <c r="G46" s="3495" t="s">
        <v>3406</v>
      </c>
      <c r="H46" s="3495" t="s">
        <v>3414</v>
      </c>
      <c r="I46" s="3495" t="s">
        <v>3415</v>
      </c>
      <c r="J46" s="3495">
        <v>61</v>
      </c>
      <c r="K46" s="3495" t="s">
        <v>3391</v>
      </c>
      <c r="L46" s="3495">
        <v>6</v>
      </c>
      <c r="M46" s="3495">
        <v>3</v>
      </c>
      <c r="N46" s="3495" t="s">
        <v>633</v>
      </c>
      <c r="O46" s="3495">
        <v>1990</v>
      </c>
      <c r="P46" s="3495">
        <v>1993</v>
      </c>
      <c r="Q46" s="3495" t="s">
        <v>633</v>
      </c>
      <c r="R46" s="3495">
        <v>49672</v>
      </c>
      <c r="S46" s="3495">
        <v>48412</v>
      </c>
      <c r="T46" s="3495">
        <v>2953132</v>
      </c>
      <c r="U46" s="3497">
        <v>44577</v>
      </c>
    </row>
    <row r="47" spans="1:21" ht="43.5" thickBot="1">
      <c r="A47" s="3492">
        <v>42</v>
      </c>
      <c r="B47" s="3493" t="s">
        <v>3409</v>
      </c>
      <c r="C47" s="3492" t="s">
        <v>3551</v>
      </c>
      <c r="D47" s="3492" t="s">
        <v>3552</v>
      </c>
      <c r="E47" s="3492" t="s">
        <v>3412</v>
      </c>
      <c r="F47" s="3492" t="s">
        <v>3553</v>
      </c>
      <c r="G47" s="3492" t="s">
        <v>3406</v>
      </c>
      <c r="H47" s="3492" t="s">
        <v>3414</v>
      </c>
      <c r="I47" s="3492" t="s">
        <v>3415</v>
      </c>
      <c r="J47" s="3492">
        <v>62.37</v>
      </c>
      <c r="K47" s="3492" t="s">
        <v>3391</v>
      </c>
      <c r="L47" s="3492" t="s">
        <v>3524</v>
      </c>
      <c r="M47" s="3492">
        <v>15</v>
      </c>
      <c r="N47" s="3492" t="s">
        <v>633</v>
      </c>
      <c r="O47" s="3492">
        <v>1995</v>
      </c>
      <c r="P47" s="3492" t="s">
        <v>633</v>
      </c>
      <c r="Q47" s="3492" t="s">
        <v>633</v>
      </c>
      <c r="R47" s="3492">
        <v>63332</v>
      </c>
      <c r="S47" s="3492">
        <v>60232</v>
      </c>
      <c r="T47" s="3492">
        <v>3756670</v>
      </c>
      <c r="U47" s="3494">
        <v>44544</v>
      </c>
    </row>
    <row r="48" spans="1:21" ht="43.5" thickBot="1">
      <c r="A48" s="3495">
        <v>43</v>
      </c>
      <c r="B48" s="3496" t="s">
        <v>3409</v>
      </c>
      <c r="C48" s="3495" t="s">
        <v>3554</v>
      </c>
      <c r="D48" s="3495" t="s">
        <v>3555</v>
      </c>
      <c r="E48" s="3495" t="s">
        <v>3412</v>
      </c>
      <c r="F48" s="3495" t="s">
        <v>3556</v>
      </c>
      <c r="G48" s="3495" t="s">
        <v>3406</v>
      </c>
      <c r="H48" s="3495" t="s">
        <v>3414</v>
      </c>
      <c r="I48" s="3495" t="s">
        <v>3415</v>
      </c>
      <c r="J48" s="3495">
        <v>56.5</v>
      </c>
      <c r="K48" s="3495" t="s">
        <v>3391</v>
      </c>
      <c r="L48" s="3495">
        <v>6</v>
      </c>
      <c r="M48" s="3495">
        <v>2</v>
      </c>
      <c r="N48" s="3495" t="s">
        <v>633</v>
      </c>
      <c r="O48" s="3495">
        <v>1985</v>
      </c>
      <c r="P48" s="3495" t="s">
        <v>633</v>
      </c>
      <c r="Q48" s="3495" t="s">
        <v>633</v>
      </c>
      <c r="R48" s="3495">
        <v>54159</v>
      </c>
      <c r="S48" s="3495">
        <v>51367</v>
      </c>
      <c r="T48" s="3495">
        <v>2902236</v>
      </c>
      <c r="U48" s="3497">
        <v>44544</v>
      </c>
    </row>
    <row r="49" spans="1:21" ht="43.5" thickBot="1">
      <c r="A49" s="3492">
        <v>44</v>
      </c>
      <c r="B49" s="3493" t="s">
        <v>3409</v>
      </c>
      <c r="C49" s="3492" t="s">
        <v>3557</v>
      </c>
      <c r="D49" s="3492" t="s">
        <v>3558</v>
      </c>
      <c r="E49" s="3492" t="s">
        <v>3412</v>
      </c>
      <c r="F49" s="3492" t="s">
        <v>3559</v>
      </c>
      <c r="G49" s="3492" t="s">
        <v>3406</v>
      </c>
      <c r="H49" s="3492" t="s">
        <v>3414</v>
      </c>
      <c r="I49" s="3492" t="s">
        <v>3422</v>
      </c>
      <c r="J49" s="3492">
        <v>63.14</v>
      </c>
      <c r="K49" s="3492" t="s">
        <v>3391</v>
      </c>
      <c r="L49" s="3492">
        <v>6</v>
      </c>
      <c r="M49" s="3492">
        <v>5</v>
      </c>
      <c r="N49" s="3492" t="s">
        <v>633</v>
      </c>
      <c r="O49" s="3492">
        <v>1993</v>
      </c>
      <c r="P49" s="3492" t="s">
        <v>633</v>
      </c>
      <c r="Q49" s="3492" t="s">
        <v>633</v>
      </c>
      <c r="R49" s="3492">
        <v>54165</v>
      </c>
      <c r="S49" s="3492">
        <v>51251</v>
      </c>
      <c r="T49" s="3492">
        <v>3235988</v>
      </c>
      <c r="U49" s="3494">
        <v>44528</v>
      </c>
    </row>
    <row r="50" spans="1:21" ht="43.5" thickBot="1">
      <c r="A50" s="3495">
        <v>45</v>
      </c>
      <c r="B50" s="3496" t="s">
        <v>3409</v>
      </c>
      <c r="C50" s="3495" t="s">
        <v>3560</v>
      </c>
      <c r="D50" s="3495" t="s">
        <v>3561</v>
      </c>
      <c r="E50" s="3495" t="s">
        <v>3412</v>
      </c>
      <c r="F50" s="3495" t="s">
        <v>3562</v>
      </c>
      <c r="G50" s="3495" t="s">
        <v>3406</v>
      </c>
      <c r="H50" s="3495" t="s">
        <v>3414</v>
      </c>
      <c r="I50" s="3495" t="s">
        <v>3422</v>
      </c>
      <c r="J50" s="3495">
        <v>55.1</v>
      </c>
      <c r="K50" s="3495" t="s">
        <v>3391</v>
      </c>
      <c r="L50" s="3495">
        <v>6</v>
      </c>
      <c r="M50" s="3495">
        <v>5</v>
      </c>
      <c r="N50" s="3495" t="s">
        <v>633</v>
      </c>
      <c r="O50" s="3495">
        <v>1993</v>
      </c>
      <c r="P50" s="3495" t="s">
        <v>633</v>
      </c>
      <c r="Q50" s="3495" t="s">
        <v>633</v>
      </c>
      <c r="R50" s="3495">
        <v>52178</v>
      </c>
      <c r="S50" s="3495">
        <v>50139</v>
      </c>
      <c r="T50" s="3495">
        <v>2762659</v>
      </c>
      <c r="U50" s="3497">
        <v>44524</v>
      </c>
    </row>
    <row r="51" spans="1:21" ht="43.5" thickBot="1">
      <c r="A51" s="3492">
        <v>46</v>
      </c>
      <c r="B51" s="3493" t="s">
        <v>3409</v>
      </c>
      <c r="C51" s="3492" t="s">
        <v>3563</v>
      </c>
      <c r="D51" s="3492" t="s">
        <v>3564</v>
      </c>
      <c r="E51" s="3492" t="s">
        <v>3412</v>
      </c>
      <c r="F51" s="3492" t="s">
        <v>3565</v>
      </c>
      <c r="G51" s="3492" t="s">
        <v>3406</v>
      </c>
      <c r="H51" s="3492" t="s">
        <v>3414</v>
      </c>
      <c r="I51" s="3492" t="s">
        <v>3422</v>
      </c>
      <c r="J51" s="3492">
        <v>68.58</v>
      </c>
      <c r="K51" s="3492" t="s">
        <v>3391</v>
      </c>
      <c r="L51" s="3492">
        <v>6</v>
      </c>
      <c r="M51" s="3492">
        <v>6</v>
      </c>
      <c r="N51" s="3492" t="s">
        <v>633</v>
      </c>
      <c r="O51" s="3492">
        <v>1986</v>
      </c>
      <c r="P51" s="3492" t="s">
        <v>633</v>
      </c>
      <c r="Q51" s="3492" t="s">
        <v>633</v>
      </c>
      <c r="R51" s="3492">
        <v>45203</v>
      </c>
      <c r="S51" s="3492">
        <v>45262</v>
      </c>
      <c r="T51" s="3492">
        <v>3104068</v>
      </c>
      <c r="U51" s="3494">
        <v>44572</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3391</v>
      </c>
      <c r="D1" s="1271" t="s">
        <v>43</v>
      </c>
      <c r="E1" s="1272" t="s">
        <v>678</v>
      </c>
      <c r="F1" s="999">
        <f ca="1">J53</f>
        <v>51.32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106.694</v>
      </c>
      <c r="C2" s="1289" t="s">
        <v>879</v>
      </c>
      <c r="D2" s="1375">
        <f ca="1">C40+J29+L46</f>
        <v>1066940</v>
      </c>
      <c r="E2" s="1295" t="s">
        <v>880</v>
      </c>
      <c r="F2" s="1296"/>
      <c r="G2" s="2479"/>
      <c r="H2" s="2469"/>
      <c r="I2" s="2469"/>
      <c r="J2" s="2469"/>
      <c r="K2" s="2470"/>
      <c r="L2" s="2469"/>
      <c r="M2" s="2469"/>
    </row>
    <row r="3" spans="1:37" ht="18" customHeight="1" thickBot="1">
      <c r="A3" s="1297" t="s">
        <v>881</v>
      </c>
      <c r="B3" s="1298">
        <f ca="1">IF(ISERROR(D2/F43),0,ROUND(D2/F43,0))</f>
        <v>27945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43374</v>
      </c>
      <c r="D5" s="1273" t="s">
        <v>889</v>
      </c>
      <c r="E5" s="1008"/>
      <c r="F5" s="1009"/>
      <c r="G5" s="1292"/>
      <c r="H5" s="291">
        <v>1</v>
      </c>
      <c r="I5" s="292" t="s">
        <v>888</v>
      </c>
      <c r="J5" s="1007">
        <f ca="1">J6+J10+J12</f>
        <v>0</v>
      </c>
      <c r="K5" s="1273" t="s">
        <v>889</v>
      </c>
      <c r="L5" s="1008"/>
      <c r="M5" s="1009"/>
    </row>
    <row r="6" spans="1:37" ht="18" customHeight="1">
      <c r="A6" s="1006" t="s">
        <v>398</v>
      </c>
      <c r="B6" s="3333" t="s">
        <v>694</v>
      </c>
      <c r="C6" s="1011">
        <f ca="1">ROUND(F6*F8*F7*(1-F9),0)</f>
        <v>43320</v>
      </c>
      <c r="D6" s="147" t="s">
        <v>2106</v>
      </c>
      <c r="E6" s="294" t="s">
        <v>696</v>
      </c>
      <c r="F6" s="295">
        <f ca="1">INDIRECT("'数据-取费表'!u"&amp;$G$1)</f>
        <v>3800</v>
      </c>
      <c r="G6" s="1292"/>
      <c r="H6" s="1006" t="s">
        <v>398</v>
      </c>
      <c r="I6" s="3333" t="s">
        <v>694</v>
      </c>
      <c r="J6" s="293">
        <f ca="1">ROUND(M6*M8*M7*(1-M9),0)</f>
        <v>0</v>
      </c>
      <c r="K6" s="1284" t="s">
        <v>2107</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1</v>
      </c>
      <c r="G7" s="1292"/>
      <c r="H7" s="296"/>
      <c r="I7" s="3334"/>
      <c r="J7" s="298"/>
      <c r="K7" s="299"/>
      <c r="L7" s="294" t="s">
        <v>697</v>
      </c>
      <c r="M7" s="295">
        <f ca="1">F7</f>
        <v>1</v>
      </c>
    </row>
    <row r="8" spans="1:37" ht="18" customHeight="1">
      <c r="A8" s="296"/>
      <c r="B8" s="3334"/>
      <c r="C8" s="298"/>
      <c r="D8" s="299"/>
      <c r="E8" s="294" t="s">
        <v>698</v>
      </c>
      <c r="F8" s="295">
        <f ca="1">INDIRECT("'数据-取费表'!ai"&amp;$G$1)</f>
        <v>12</v>
      </c>
      <c r="G8" s="1292"/>
      <c r="H8" s="296"/>
      <c r="I8" s="3334"/>
      <c r="J8" s="298"/>
      <c r="K8" s="299"/>
      <c r="L8" s="294" t="s">
        <v>698</v>
      </c>
      <c r="M8" s="295">
        <f ca="1">INDIRECT("'数据-取费表'!ai"&amp;$G$1)</f>
        <v>12</v>
      </c>
    </row>
    <row r="9" spans="1:37" ht="18" customHeight="1">
      <c r="A9" s="296"/>
      <c r="B9" s="3335"/>
      <c r="C9" s="298"/>
      <c r="D9" s="299"/>
      <c r="E9" s="294" t="s">
        <v>699</v>
      </c>
      <c r="F9" s="304">
        <f ca="1">INDIRECT("'数据-取费表'!w"&amp;$G$1)</f>
        <v>0.05</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109266</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114540</v>
      </c>
      <c r="D14" s="1257" t="s">
        <v>708</v>
      </c>
      <c r="E14" s="1255"/>
      <c r="F14" s="311"/>
      <c r="G14" s="1292"/>
      <c r="H14" s="928" t="s">
        <v>398</v>
      </c>
      <c r="I14" s="294" t="s">
        <v>709</v>
      </c>
      <c r="J14" s="21">
        <f ca="1">C29</f>
        <v>182110</v>
      </c>
      <c r="K14" s="12"/>
      <c r="L14" s="759"/>
      <c r="M14" s="760"/>
    </row>
    <row r="15" spans="1:37" s="1304" customFormat="1" ht="18" customHeight="1" thickBot="1">
      <c r="A15" s="928" t="s">
        <v>399</v>
      </c>
      <c r="B15" s="294" t="s">
        <v>710</v>
      </c>
      <c r="C15" s="21">
        <f ca="1">ROUND(C14*F15,0)</f>
        <v>5727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5727</v>
      </c>
      <c r="D16" s="294" t="s">
        <v>711</v>
      </c>
      <c r="E16" s="294" t="s">
        <v>712</v>
      </c>
      <c r="F16" s="314">
        <f ca="1">IF(INDIRECT("'数据-取费表'!c"&amp;$G$1)="住宅",'数据-取费表'!B34,0)</f>
        <v>0.05</v>
      </c>
      <c r="G16" s="1292"/>
      <c r="H16" s="1016" t="s">
        <v>393</v>
      </c>
      <c r="I16" s="1017" t="s">
        <v>714</v>
      </c>
      <c r="J16" s="302">
        <f ca="1">ROUND(J17+J22+J23+J24,0)</f>
        <v>364</v>
      </c>
      <c r="K16" s="1024" t="s">
        <v>715</v>
      </c>
      <c r="L16" s="1025"/>
      <c r="M16" s="1009"/>
    </row>
    <row r="17" spans="1:37" s="1304" customFormat="1" ht="18" customHeight="1">
      <c r="A17" s="928" t="s">
        <v>681</v>
      </c>
      <c r="B17" s="294" t="s">
        <v>716</v>
      </c>
      <c r="C17" s="21">
        <f ca="1">ROUND(F17*(F43+INDIRECT("'数据-取费表'!S"&amp;$G$1)),0)</f>
        <v>7636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135348</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2707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364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2312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-364</v>
      </c>
      <c r="K25" s="1032" t="s">
        <v>753</v>
      </c>
      <c r="L25" s="1033"/>
      <c r="M25" s="1034"/>
    </row>
    <row r="26" spans="1:37" ht="18" customHeight="1">
      <c r="A26" s="928" t="s">
        <v>397</v>
      </c>
      <c r="B26" s="294" t="s">
        <v>754</v>
      </c>
      <c r="C26" s="21">
        <f ca="1">ROUND((C19+C20)*F26,0)</f>
        <v>27611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182110</v>
      </c>
      <c r="D29" s="1029"/>
      <c r="E29" s="1027"/>
      <c r="F29" s="1030"/>
      <c r="G29" s="1303"/>
      <c r="H29" s="325" t="s">
        <v>396</v>
      </c>
      <c r="I29" s="326" t="s">
        <v>768</v>
      </c>
      <c r="J29" s="327">
        <f ca="1">ROUND(J26/(1+F40)^F41,0)</f>
        <v>0</v>
      </c>
      <c r="K29" s="328" t="s">
        <v>769</v>
      </c>
      <c r="L29" s="329"/>
      <c r="M29" s="330">
        <f ca="1">INDIRECT("'数据-取费表'!k"&amp;$G$1)</f>
        <v>38.18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1938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1031</v>
      </c>
      <c r="D31" s="1257" t="s">
        <v>720</v>
      </c>
      <c r="E31" s="1256" t="s">
        <v>770</v>
      </c>
      <c r="F31" s="2139">
        <f ca="1">IF(项目基本情况!B11="企业","——",IF(M47="住宅",IF(F6*F7*F8/12/(1+'数据-取费表'!F30)&gt;100000,4%,2.5%),IF(F6*F7*F8/12/(1+'数据-取费表'!F30)&gt;100000,12%,7%)))</f>
        <v>2.5000000000000001E-2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364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109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434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41436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1066940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51.32</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ROUND(C40/F43,0)</f>
        <v>27945</v>
      </c>
      <c r="D43" s="328" t="s">
        <v>777</v>
      </c>
      <c r="E43" s="329" t="s">
        <v>778</v>
      </c>
      <c r="F43" s="330">
        <f ca="1">INDIRECT("'数据-取费表'!k"&amp;$G$1)</f>
        <v>38.18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f ca="1">ROUND((C68-C40)/10000,4)</f>
        <v>-107.49890000000001</v>
      </c>
      <c r="D45" s="3131" t="s">
        <v>3355</v>
      </c>
      <c r="E45" s="1307"/>
      <c r="F45" s="1307"/>
      <c r="O45" s="1310" t="s">
        <v>808</v>
      </c>
      <c r="P45" s="1366"/>
      <c r="Q45" s="1366"/>
      <c r="R45" s="1366"/>
    </row>
    <row r="46" spans="1:18" s="1292" customFormat="1" ht="13.5" thickBot="1">
      <c r="A46" s="1311" t="s">
        <v>809</v>
      </c>
      <c r="C46" s="1312">
        <f ca="1">ROUND(C45,0)</f>
        <v>-107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70</v>
      </c>
      <c r="M47" s="1288" t="str">
        <f>IF(ISNUMBER(FIND("住宅",C1)),"住宅","非住宅")</f>
        <v>住宅</v>
      </c>
      <c r="O47" s="1325" t="s">
        <v>403</v>
      </c>
      <c r="P47" s="1326" t="s">
        <v>817</v>
      </c>
      <c r="Q47" s="1327">
        <f ca="1">C40+J29</f>
        <v>1066940</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51.32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1986</v>
      </c>
      <c r="K49" s="1330" t="s">
        <v>824</v>
      </c>
      <c r="L49" s="1333"/>
      <c r="O49" s="1334" t="s">
        <v>405</v>
      </c>
      <c r="P49" s="1326" t="s">
        <v>825</v>
      </c>
      <c r="Q49" s="1327">
        <f ca="1">C29</f>
        <v>182110</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309151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f>'数据-取费表'!J6</f>
        <v>0.06</v>
      </c>
      <c r="K52" s="1342" t="s">
        <v>833</v>
      </c>
      <c r="L52" s="1343"/>
      <c r="O52" s="1334" t="s">
        <v>408</v>
      </c>
      <c r="P52" s="1326" t="s">
        <v>834</v>
      </c>
      <c r="Q52" s="1327">
        <f ca="1">J53</f>
        <v>51.32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51.32</v>
      </c>
      <c r="K53" s="3331" t="s">
        <v>837</v>
      </c>
      <c r="L53" s="3332"/>
      <c r="O53" s="1325" t="s">
        <v>409</v>
      </c>
      <c r="P53" s="1326" t="s">
        <v>838</v>
      </c>
      <c r="Q53" s="1327">
        <f ca="1">Q47+Q48</f>
        <v>1066940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109266</v>
      </c>
      <c r="D56" s="1352"/>
      <c r="E56" s="1353"/>
      <c r="F56" s="1345"/>
      <c r="I56" s="1354" t="s">
        <v>842</v>
      </c>
      <c r="J56" s="1355" t="s">
        <v>3389</v>
      </c>
      <c r="K56" s="1328" t="s">
        <v>843</v>
      </c>
      <c r="L56" s="1331">
        <f ca="1">IF(L48&lt;J51,"——",L48-J51)</f>
        <v>39.32</v>
      </c>
      <c r="O56" s="1325" t="s">
        <v>403</v>
      </c>
      <c r="P56" s="1326" t="s">
        <v>817</v>
      </c>
      <c r="Q56" s="1327">
        <f ca="1">C40+J29</f>
        <v>1066940</v>
      </c>
      <c r="R56" s="1327" t="s">
        <v>818</v>
      </c>
    </row>
    <row r="57" spans="1:18" s="1292" customFormat="1" ht="24.75" thickBot="1">
      <c r="A57" s="1356"/>
      <c r="B57" s="896" t="s">
        <v>767</v>
      </c>
      <c r="C57" s="230">
        <f ca="1">C29</f>
        <v>182110</v>
      </c>
      <c r="D57" s="1357"/>
      <c r="E57" s="1358"/>
      <c r="F57" s="1359"/>
      <c r="I57" s="1360" t="s">
        <v>844</v>
      </c>
      <c r="J57" s="1361" t="str">
        <f ca="1">IF(OR(M47="住宅",J51&lt;L48,J56="是"),"——",J51-L48)</f>
        <v>——</v>
      </c>
      <c r="K57" s="1328" t="s">
        <v>892</v>
      </c>
      <c r="L57" s="1331">
        <f ca="1">IF(L48&lt;J51,"——",IF(L55="比较法",L49,IF(L55="基准地价",L50,L51)))</f>
        <v>309151</v>
      </c>
      <c r="O57" s="1325" t="s">
        <v>404</v>
      </c>
      <c r="P57" s="1326" t="s">
        <v>893</v>
      </c>
      <c r="Q57" s="1327">
        <f ca="1">L60</f>
        <v>0</v>
      </c>
      <c r="R57" s="1327" t="s">
        <v>894</v>
      </c>
    </row>
    <row r="58" spans="1:18" s="1292" customFormat="1" ht="24.75" thickBot="1">
      <c r="A58" s="307" t="s">
        <v>393</v>
      </c>
      <c r="B58" s="904" t="s">
        <v>714</v>
      </c>
      <c r="C58" s="308">
        <f ca="1">ROUND(C59+C64+C65+C66,0)</f>
        <v>473</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1066940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109</v>
      </c>
      <c r="D65" s="910" t="s">
        <v>743</v>
      </c>
      <c r="E65" s="896" t="s">
        <v>744</v>
      </c>
      <c r="F65" s="321">
        <f t="shared" ca="1" si="0"/>
        <v>1E-3</v>
      </c>
      <c r="I65" s="1367" t="s">
        <v>867</v>
      </c>
      <c r="J65" s="610">
        <v>40</v>
      </c>
      <c r="K65" s="610">
        <v>30</v>
      </c>
      <c r="L65" s="610">
        <v>50</v>
      </c>
      <c r="M65" s="1369">
        <v>0.02</v>
      </c>
      <c r="O65" s="1325" t="s">
        <v>403</v>
      </c>
      <c r="P65" s="1326" t="s">
        <v>868</v>
      </c>
      <c r="Q65" s="1327">
        <f ca="1">C40+J29</f>
        <v>1066940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-473</v>
      </c>
      <c r="D67" s="909" t="s">
        <v>753</v>
      </c>
      <c r="E67" s="914"/>
      <c r="F67" s="915"/>
      <c r="O67" s="1334" t="s">
        <v>405</v>
      </c>
      <c r="P67" s="1326" t="s">
        <v>850</v>
      </c>
      <c r="Q67" s="1370">
        <f ca="1">L51</f>
        <v>309151</v>
      </c>
      <c r="R67" s="1327" t="s">
        <v>870</v>
      </c>
    </row>
    <row r="68" spans="1:18" s="1292" customFormat="1" ht="16.5" thickBot="1">
      <c r="A68" s="893" t="s">
        <v>395</v>
      </c>
      <c r="B68" s="894" t="s">
        <v>774</v>
      </c>
      <c r="C68" s="293">
        <f ca="1">ROUND(C67*(1-((1+F70)/(1+F68))^F69)/(F68-F70),0)</f>
        <v>-8049</v>
      </c>
      <c r="D68" s="911" t="s">
        <v>758</v>
      </c>
      <c r="E68" s="896" t="s">
        <v>759</v>
      </c>
      <c r="F68" s="304">
        <f ca="1">F40</f>
        <v>5.5E-2</v>
      </c>
      <c r="O68" s="1334" t="s">
        <v>406</v>
      </c>
      <c r="P68" s="1371" t="s">
        <v>871</v>
      </c>
      <c r="Q68" s="1327">
        <f ca="1">ROUND(Q69-Q70*Q71,0)</f>
        <v>34880</v>
      </c>
      <c r="R68" s="1327" t="s">
        <v>414</v>
      </c>
    </row>
    <row r="69" spans="1:18" s="1292" customFormat="1" ht="13.5" thickBot="1">
      <c r="A69" s="897"/>
      <c r="B69" s="898"/>
      <c r="C69" s="298"/>
      <c r="D69" s="916" t="s">
        <v>762</v>
      </c>
      <c r="E69" s="896" t="s">
        <v>763</v>
      </c>
      <c r="F69" s="324">
        <f ca="1">F41</f>
        <v>51.32</v>
      </c>
      <c r="O69" s="1334" t="s">
        <v>411</v>
      </c>
      <c r="P69" s="1371" t="s">
        <v>872</v>
      </c>
      <c r="Q69" s="1327">
        <f ca="1">C39</f>
        <v>41436</v>
      </c>
      <c r="R69" s="1327" t="s">
        <v>818</v>
      </c>
    </row>
    <row r="70" spans="1:18" s="1292" customFormat="1" ht="13.5" thickBot="1">
      <c r="A70" s="900"/>
      <c r="B70" s="901"/>
      <c r="C70" s="302"/>
      <c r="D70" s="912"/>
      <c r="E70" s="896" t="s">
        <v>766</v>
      </c>
      <c r="F70" s="991"/>
      <c r="O70" s="1334" t="s">
        <v>412</v>
      </c>
      <c r="P70" s="1371" t="s">
        <v>873</v>
      </c>
      <c r="Q70" s="1327">
        <f ca="1">C13</f>
        <v>109266</v>
      </c>
      <c r="R70" s="1327" t="s">
        <v>818</v>
      </c>
    </row>
    <row r="71" spans="1:18" s="1292" customFormat="1" ht="13.5" thickBot="1">
      <c r="A71" s="917" t="s">
        <v>396</v>
      </c>
      <c r="B71" s="918" t="s">
        <v>776</v>
      </c>
      <c r="C71" s="327">
        <f ca="1">ROUND(C68/F71,0)</f>
        <v>-211</v>
      </c>
      <c r="D71" s="919" t="s">
        <v>777</v>
      </c>
      <c r="E71" s="920" t="s">
        <v>778</v>
      </c>
      <c r="F71" s="330">
        <f ca="1">F43</f>
        <v>38.18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6556</v>
      </c>
      <c r="D75" s="1292"/>
      <c r="E75" s="1292"/>
      <c r="F75" s="1292"/>
      <c r="K75" s="1309"/>
      <c r="L75" s="1292"/>
      <c r="O75" s="1325" t="s">
        <v>409</v>
      </c>
      <c r="P75" s="1326" t="s">
        <v>838</v>
      </c>
      <c r="Q75" s="1327">
        <f ca="1">Q65+Q66</f>
        <v>1066940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0.84199999999999997</v>
      </c>
    </row>
    <row r="80" spans="1:18">
      <c r="B80" s="331" t="s">
        <v>800</v>
      </c>
      <c r="C80" s="266">
        <f ca="1">ROUND(C75/C39,3)</f>
        <v>0.158</v>
      </c>
    </row>
    <row r="81" spans="2:3">
      <c r="B81" s="262" t="s">
        <v>801</v>
      </c>
      <c r="C81" s="230"/>
    </row>
    <row r="82" spans="2:3">
      <c r="B82" s="265" t="s">
        <v>802</v>
      </c>
      <c r="C82" s="267">
        <f ca="1">1-C83</f>
        <v>0.89800000000000002</v>
      </c>
    </row>
    <row r="83" spans="2:3">
      <c r="B83" s="265" t="s">
        <v>803</v>
      </c>
      <c r="C83" s="266">
        <f ca="1">ROUND(C13/C40,3)</f>
        <v>0.10199999999999999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408B-C6DF-4A3C-8813-1070D7DECB29}">
  <sheetPr>
    <tabColor rgb="FF92D050"/>
  </sheetPr>
  <dimension ref="N3:Q8"/>
  <sheetViews>
    <sheetView workbookViewId="0">
      <selection activeCell="Q28" sqref="Q28"/>
    </sheetView>
  </sheetViews>
  <sheetFormatPr defaultRowHeight="13.5"/>
  <sheetData>
    <row r="3" spans="14:17">
      <c r="N3" s="1405" t="s">
        <v>3407</v>
      </c>
      <c r="O3">
        <v>40.08</v>
      </c>
      <c r="P3">
        <v>4300</v>
      </c>
      <c r="Q3">
        <f>P3/O3</f>
        <v>107.28542914171658</v>
      </c>
    </row>
    <row r="4" spans="14:17">
      <c r="O4">
        <v>47.36</v>
      </c>
      <c r="P4">
        <v>4500</v>
      </c>
      <c r="Q4">
        <f t="shared" ref="Q4:Q7" si="0">P4/O4</f>
        <v>95.016891891891888</v>
      </c>
    </row>
    <row r="5" spans="14:17">
      <c r="O5">
        <v>50.6</v>
      </c>
      <c r="P5">
        <v>5150</v>
      </c>
      <c r="Q5">
        <f t="shared" si="0"/>
        <v>101.7786561264822</v>
      </c>
    </row>
    <row r="6" spans="14:17">
      <c r="O6">
        <v>53.6</v>
      </c>
      <c r="P6">
        <v>5700</v>
      </c>
      <c r="Q6">
        <f t="shared" si="0"/>
        <v>106.34328358208955</v>
      </c>
    </row>
    <row r="7" spans="14:17">
      <c r="O7">
        <v>53.7</v>
      </c>
      <c r="P7">
        <v>4600</v>
      </c>
      <c r="Q7">
        <f t="shared" si="0"/>
        <v>85.661080074487884</v>
      </c>
    </row>
    <row r="8" spans="14:17">
      <c r="O8" s="3145">
        <f>'数据-汇总表'!F19</f>
        <v>38.18</v>
      </c>
      <c r="P8" s="3145">
        <f>O8*Q8</f>
        <v>3788.1076624760772</v>
      </c>
      <c r="Q8" s="3145">
        <f>AVERAGE(Q3:Q7)</f>
        <v>99.217068163333607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4" t="str">
        <f>IF(项目基本情况!B9="房地产市场价值","估价结果一览表","结果表-2")</f>
        <v>估价结果一览表</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房地产市场价值</v>
      </c>
      <c r="I2" s="3165"/>
    </row>
    <row r="3" spans="1:9" ht="15">
      <c r="A3" s="3160"/>
      <c r="B3" s="3160"/>
      <c r="C3" s="3160"/>
      <c r="D3" s="801" t="s">
        <v>925</v>
      </c>
      <c r="E3" s="801" t="s">
        <v>931</v>
      </c>
      <c r="F3" s="801" t="s">
        <v>925</v>
      </c>
      <c r="G3" s="801" t="s">
        <v>926</v>
      </c>
      <c r="H3" s="801" t="s">
        <v>925</v>
      </c>
      <c r="I3" s="801" t="s">
        <v>926</v>
      </c>
    </row>
    <row r="4" spans="1:9" ht="15">
      <c r="A4" s="1403" t="str">
        <f>项目基本情况!S2</f>
        <v>北京市房地产</v>
      </c>
      <c r="B4" s="801">
        <f>项目基本情况!C17</f>
        <v>38.18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0" t="s">
        <v>927</v>
      </c>
      <c r="B5" s="3160"/>
      <c r="C5" s="3160"/>
      <c r="D5" s="3160" t="e">
        <f ca="1">结果表!D119</f>
        <v>#REF!</v>
      </c>
      <c r="E5" s="3160"/>
      <c r="F5" s="3160" t="e">
        <f ca="1">结果表!F119</f>
        <v>#REF!</v>
      </c>
      <c r="G5" s="3160"/>
      <c r="H5" s="3160" t="e">
        <f ca="1">结果表!H119</f>
        <v>#REF!</v>
      </c>
      <c r="I5" s="3160"/>
    </row>
    <row r="6" spans="1:9" ht="15.75">
      <c r="A6" s="3159" t="str">
        <f>结果表!A120</f>
        <v/>
      </c>
      <c r="B6" s="3159"/>
      <c r="C6" s="3159"/>
      <c r="D6" s="3159">
        <f>结果表!D120</f>
        <v>0</v>
      </c>
      <c r="E6" s="3159"/>
      <c r="F6" s="3159"/>
      <c r="G6" s="3159"/>
      <c r="H6" s="3159"/>
      <c r="I6" s="3159"/>
    </row>
    <row r="7" spans="1:9" ht="15">
      <c r="A7" s="3160" t="s">
        <v>927</v>
      </c>
      <c r="B7" s="3160"/>
      <c r="C7" s="3160"/>
      <c r="D7" s="3161" t="str">
        <f>结果表!D121</f>
        <v>零元整</v>
      </c>
      <c r="E7" s="3162"/>
      <c r="F7" s="3162"/>
      <c r="G7" s="3162"/>
      <c r="H7" s="3162"/>
      <c r="I7" s="3163"/>
    </row>
    <row r="8" spans="1:9" ht="15.75">
      <c r="A8" s="3159" t="str">
        <f>结果表!A122</f>
        <v/>
      </c>
      <c r="B8" s="3159"/>
      <c r="C8" s="3159"/>
      <c r="D8" s="3159" t="e">
        <f ca="1">结果表!D122</f>
        <v>#REF!</v>
      </c>
      <c r="E8" s="3159"/>
      <c r="F8" s="3159"/>
      <c r="G8" s="3159"/>
      <c r="H8" s="3159"/>
      <c r="I8" s="3159"/>
    </row>
    <row r="9" spans="1:9" ht="15">
      <c r="A9" s="3160" t="s">
        <v>927</v>
      </c>
      <c r="B9" s="3160"/>
      <c r="C9" s="3160"/>
      <c r="D9" s="3160" t="e">
        <f ca="1">结果表!D123</f>
        <v>#REF!</v>
      </c>
      <c r="E9" s="3160"/>
      <c r="F9" s="3160"/>
      <c r="G9" s="3160"/>
      <c r="H9" s="3160"/>
      <c r="I9" s="3160"/>
    </row>
    <row r="10" spans="1:9" ht="15.75">
      <c r="A10" s="3159" t="str">
        <f>结果表!A124</f>
        <v/>
      </c>
      <c r="B10" s="3159"/>
      <c r="C10" s="3159"/>
      <c r="D10" s="3159" t="str">
        <f>结果表!D124</f>
        <v>——</v>
      </c>
      <c r="E10" s="3159"/>
      <c r="F10" s="3159"/>
      <c r="G10" s="3159"/>
      <c r="H10" s="3159"/>
      <c r="I10" s="3159"/>
    </row>
    <row r="11" spans="1:9" ht="15">
      <c r="A11" s="3160" t="s">
        <v>927</v>
      </c>
      <c r="B11" s="3160"/>
      <c r="C11" s="3160"/>
      <c r="D11" s="3160" t="e">
        <f>结果表!D125</f>
        <v>#VALUE!</v>
      </c>
      <c r="E11" s="3160"/>
      <c r="F11" s="3160"/>
      <c r="G11" s="3160"/>
      <c r="H11" s="3160"/>
      <c r="I11" s="3160"/>
    </row>
    <row r="12" spans="1:9" ht="15.75">
      <c r="A12" s="3159" t="str">
        <f>结果表!A126</f>
        <v/>
      </c>
      <c r="B12" s="3159"/>
      <c r="C12" s="3159"/>
      <c r="D12" s="3159" t="str">
        <f>结果表!D126</f>
        <v>——</v>
      </c>
      <c r="E12" s="3159"/>
      <c r="F12" s="3159"/>
      <c r="G12" s="3159"/>
      <c r="H12" s="3159"/>
      <c r="I12" s="3159"/>
    </row>
    <row r="13" spans="1:9" ht="15.75" thickBot="1">
      <c r="A13" s="3157" t="s">
        <v>927</v>
      </c>
      <c r="B13" s="3157"/>
      <c r="C13" s="3157"/>
      <c r="D13" s="3157" t="e">
        <f>结果表!D127</f>
        <v>#VALUE!</v>
      </c>
      <c r="E13" s="3157"/>
      <c r="F13" s="3157"/>
      <c r="G13" s="3157"/>
      <c r="H13" s="3157"/>
      <c r="I13" s="3157"/>
    </row>
    <row r="14" spans="1:9" ht="15" thickTop="1">
      <c r="A14" s="3158" t="s">
        <v>932</v>
      </c>
      <c r="B14" s="3158"/>
      <c r="C14" s="3158"/>
      <c r="D14" s="3158"/>
      <c r="E14" s="3158"/>
      <c r="F14" s="3158"/>
      <c r="G14" s="3158"/>
      <c r="H14" s="3158"/>
      <c r="I14" s="315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2" t="s">
        <v>949</v>
      </c>
      <c r="B1" s="3172"/>
      <c r="C1" s="3172"/>
      <c r="D1" s="3172"/>
    </row>
    <row r="2" spans="1:4" ht="18">
      <c r="A2" s="3173" t="s">
        <v>933</v>
      </c>
      <c r="B2" s="3173"/>
      <c r="C2" s="3173"/>
      <c r="D2" s="317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3" t="s">
        <v>939</v>
      </c>
      <c r="B6" s="3173"/>
      <c r="C6" s="3173"/>
      <c r="D6" s="317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4" t="s">
        <v>942</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1"/>
      <c r="C12" s="3171"/>
      <c r="D12" s="3171"/>
    </row>
    <row r="13" spans="1:4" ht="30" customHeight="1">
      <c r="A13" s="3166" t="str">
        <f>IF(项目基本情况!B8="抵押","3.抵押双方在办理抵押登记手续时，应使用本公司出具的正式《房地产评估报告》，特提醒报告使用者注意。","——")</f>
        <v>——</v>
      </c>
      <c r="B13" s="3171"/>
      <c r="C13" s="3171"/>
      <c r="D13" s="3171"/>
    </row>
    <row r="14" spans="1:4" ht="15.75" customHeight="1">
      <c r="A14" s="3166" t="str">
        <f>IF(项目基本情况!B8="抵押","4.本次评估估价师所知悉的法定优先受偿款情况说明如下：","——")</f>
        <v>——</v>
      </c>
      <c r="B14" s="3171"/>
      <c r="C14" s="3171"/>
      <c r="D14" s="3171"/>
    </row>
    <row r="15" spans="1:4" ht="42" customHeight="1">
      <c r="A15" s="3166" t="str">
        <f>IF(项目基本情况!B8="抵押","（1）"&amp;CONCATENATE(项目基本情况!L20,项目基本情况!L21,项目基本情况!L22),"——")</f>
        <v>——</v>
      </c>
      <c r="B15" s="3166"/>
      <c r="C15" s="3166"/>
      <c r="D15" s="3166"/>
    </row>
    <row r="16" spans="1:4" ht="30" customHeight="1">
      <c r="A16" s="3168" t="s">
        <v>943</v>
      </c>
      <c r="B16" s="3168"/>
      <c r="C16" s="3168"/>
      <c r="D16" s="3168"/>
    </row>
    <row r="17" spans="1:4" ht="144" customHeight="1">
      <c r="A17" s="3168" t="s">
        <v>944</v>
      </c>
      <c r="B17" s="3168"/>
      <c r="C17" s="3168"/>
      <c r="D17" s="3168"/>
    </row>
    <row r="18" spans="1:4" ht="15.75" customHeight="1">
      <c r="A18" s="3166" t="str">
        <f>IF(项目基本情况!B8="抵押",结果表!K120,"——")</f>
        <v>——</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945</v>
      </c>
      <c r="B22" s="3170"/>
      <c r="C22" s="3170"/>
      <c r="D22" s="317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0" t="s">
        <v>956</v>
      </c>
      <c r="B15" s="3175" t="s">
        <v>109</v>
      </c>
      <c r="C15" s="3176"/>
    </row>
    <row r="16" spans="1:7" ht="13.5">
      <c r="A16" s="3181"/>
      <c r="B16" s="3175" t="s">
        <v>42</v>
      </c>
      <c r="C16" s="3176"/>
    </row>
    <row r="17" spans="1:3" ht="13.5">
      <c r="A17" s="3181"/>
      <c r="B17" s="3178" t="s">
        <v>957</v>
      </c>
      <c r="C17" s="1429" t="s">
        <v>956</v>
      </c>
    </row>
    <row r="18" spans="1:3" ht="13.5">
      <c r="A18" s="3181"/>
      <c r="B18" s="3178"/>
      <c r="C18" s="1429" t="s">
        <v>958</v>
      </c>
    </row>
    <row r="19" spans="1:3" ht="13.5">
      <c r="A19" s="3181"/>
      <c r="B19" s="3178"/>
      <c r="C19" s="1429" t="s">
        <v>959</v>
      </c>
    </row>
    <row r="20" spans="1:3" ht="13.5">
      <c r="A20" s="3182"/>
      <c r="B20" s="3177" t="s">
        <v>960</v>
      </c>
      <c r="C20" s="3176"/>
    </row>
    <row r="21" spans="1:3" ht="13.5">
      <c r="A21" s="1430" t="s">
        <v>961</v>
      </c>
      <c r="B21" s="1431"/>
      <c r="C21" s="1432"/>
    </row>
    <row r="22" spans="1:3" ht="13.5">
      <c r="A22" s="3179" t="s">
        <v>962</v>
      </c>
      <c r="B22" s="3177" t="s">
        <v>963</v>
      </c>
      <c r="C22" s="3176"/>
    </row>
    <row r="23" spans="1:3" ht="13.5">
      <c r="A23" s="3179"/>
      <c r="B23" s="3177" t="s">
        <v>964</v>
      </c>
      <c r="C23" s="3176"/>
    </row>
    <row r="24" spans="1:3" ht="13.5">
      <c r="A24" s="3179"/>
      <c r="B24" s="3177" t="s">
        <v>965</v>
      </c>
      <c r="C24" s="3176"/>
    </row>
    <row r="25" spans="1:3" ht="13.5">
      <c r="A25" s="3179"/>
      <c r="B25" s="3178" t="s">
        <v>966</v>
      </c>
      <c r="C25" s="1429" t="s">
        <v>967</v>
      </c>
    </row>
    <row r="26" spans="1:3" ht="13.5">
      <c r="A26" s="3179"/>
      <c r="B26" s="3178"/>
      <c r="C26" s="1429" t="s">
        <v>968</v>
      </c>
    </row>
    <row r="27" spans="1:3" ht="13.5">
      <c r="A27" s="3179"/>
      <c r="B27" s="3178"/>
      <c r="C27" s="1429" t="s">
        <v>969</v>
      </c>
    </row>
    <row r="28" spans="1:3" ht="13.5">
      <c r="A28" s="3179"/>
      <c r="B28" s="3178"/>
      <c r="C28" s="1429" t="s">
        <v>970</v>
      </c>
    </row>
    <row r="29" spans="1:3" ht="13.5">
      <c r="A29" s="3179"/>
      <c r="B29" s="3178"/>
      <c r="C29" s="1429" t="s">
        <v>971</v>
      </c>
    </row>
    <row r="30" spans="1:3" ht="13.5">
      <c r="A30" s="3179"/>
      <c r="B30" s="3178"/>
      <c r="C30" s="1429" t="s">
        <v>972</v>
      </c>
    </row>
    <row r="31" spans="1:3" ht="13.5">
      <c r="A31" s="3179"/>
      <c r="B31" s="3178"/>
      <c r="C31" s="1429" t="s">
        <v>973</v>
      </c>
    </row>
    <row r="32" spans="1:3" ht="13.5">
      <c r="A32" s="3179"/>
      <c r="B32" s="3178"/>
      <c r="C32" s="1429" t="s">
        <v>974</v>
      </c>
    </row>
    <row r="33" spans="1:3" ht="13.5">
      <c r="A33" s="3179"/>
      <c r="B33" s="317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45558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3" t="s">
        <v>2160</v>
      </c>
      <c r="B17" s="3183"/>
      <c r="C17" s="3183"/>
      <c r="D17" s="3183"/>
      <c r="E17" s="3183"/>
      <c r="F17" s="3183"/>
      <c r="G17" s="3183"/>
      <c r="H17" s="3183"/>
    </row>
    <row r="18" spans="1:8" ht="24" customHeight="1">
      <c r="A18" s="3184" t="s">
        <v>2161</v>
      </c>
      <c r="B18" s="3184"/>
      <c r="C18" s="3184"/>
      <c r="D18" s="2160"/>
      <c r="E18" s="3185" t="s">
        <v>2162</v>
      </c>
      <c r="F18" s="3184"/>
      <c r="G18" s="31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售价案例</vt:lpstr>
      <vt:lpstr>收益法 (元)</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2024-09-23T06:16:13Z</dcterms:modified>
</cp:coreProperties>
</file>