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D:\评估\贵阳中天项目2023年\"/>
    </mc:Choice>
  </mc:AlternateContent>
  <xr:revisionPtr revIDLastSave="0" documentId="13_ncr:1_{471710E1-4BEC-4D37-A5ED-D851A4314653}" xr6:coauthVersionLast="47" xr6:coauthVersionMax="47" xr10:uidLastSave="{00000000-0000-0000-0000-000000000000}"/>
  <bookViews>
    <workbookView xWindow="-110" yWindow="-110" windowWidth="19420" windowHeight="103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21" i="1" l="1"/>
  <c r="E35" i="77" l="1"/>
  <c r="D35" i="77"/>
  <c r="J15" i="74"/>
  <c r="B15" i="74"/>
  <c r="C19" i="68"/>
  <c r="D3" i="4"/>
  <c r="B2" i="1" s="1"/>
  <c r="D15" i="4"/>
  <c r="F6" i="1"/>
  <c r="A6" i="1"/>
  <c r="G1" i="68"/>
  <c r="F19" i="6"/>
  <c r="E19" i="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A16" i="3"/>
  <c r="BB17" i="3"/>
  <c r="BA17" i="3" s="1"/>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A20" i="3" s="1"/>
  <c r="BI20" i="3"/>
  <c r="BJ20" i="3"/>
  <c r="BK20" i="3"/>
  <c r="BB21" i="3"/>
  <c r="BC21" i="3"/>
  <c r="BD21" i="3"/>
  <c r="BE21" i="3"/>
  <c r="BA21" i="3" s="1"/>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B24" i="3"/>
  <c r="BC24" i="3"/>
  <c r="BD24" i="3"/>
  <c r="BE24" i="3"/>
  <c r="BF24" i="3"/>
  <c r="BG24" i="3"/>
  <c r="BH24" i="3"/>
  <c r="BI24" i="3"/>
  <c r="BJ24" i="3"/>
  <c r="BK24" i="3"/>
  <c r="BA24" i="3"/>
  <c r="BB25" i="3"/>
  <c r="BA25" i="3" s="1"/>
  <c r="BC25" i="3"/>
  <c r="BD25" i="3"/>
  <c r="BE25" i="3"/>
  <c r="BF25" i="3"/>
  <c r="BG25" i="3"/>
  <c r="BH25" i="3"/>
  <c r="BI25" i="3"/>
  <c r="BJ25" i="3"/>
  <c r="BK25" i="3"/>
  <c r="BB26" i="3"/>
  <c r="BC26" i="3"/>
  <c r="BD26" i="3"/>
  <c r="BE26" i="3"/>
  <c r="BF26" i="3"/>
  <c r="BG26" i="3"/>
  <c r="BH26" i="3"/>
  <c r="BI26" i="3"/>
  <c r="BJ26" i="3"/>
  <c r="BK26" i="3"/>
  <c r="BB27" i="3"/>
  <c r="BC27" i="3"/>
  <c r="BD27" i="3"/>
  <c r="BE27" i="3"/>
  <c r="BF27" i="3"/>
  <c r="BG27" i="3"/>
  <c r="BH27" i="3"/>
  <c r="BI27" i="3"/>
  <c r="BJ27" i="3"/>
  <c r="BK27" i="3"/>
  <c r="BB28" i="3"/>
  <c r="BC28" i="3"/>
  <c r="BD28" i="3"/>
  <c r="BE28" i="3"/>
  <c r="BF28" i="3"/>
  <c r="BG28" i="3"/>
  <c r="BH28" i="3"/>
  <c r="BA28" i="3" s="1"/>
  <c r="BI28" i="3"/>
  <c r="BJ28" i="3"/>
  <c r="BK28" i="3"/>
  <c r="BB29" i="3"/>
  <c r="BC29" i="3"/>
  <c r="BD29" i="3"/>
  <c r="BE29" i="3"/>
  <c r="BA29" i="3" s="1"/>
  <c r="BF29" i="3"/>
  <c r="BG29" i="3"/>
  <c r="BH29" i="3"/>
  <c r="BI29" i="3"/>
  <c r="BJ29" i="3"/>
  <c r="BK29" i="3"/>
  <c r="BB30" i="3"/>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B35" i="3"/>
  <c r="BC35" i="3"/>
  <c r="BD35" i="3"/>
  <c r="BE35" i="3"/>
  <c r="BF35" i="3"/>
  <c r="BG35" i="3"/>
  <c r="BH35" i="3"/>
  <c r="BI35" i="3"/>
  <c r="BJ35" i="3"/>
  <c r="BK35" i="3"/>
  <c r="BB36" i="3"/>
  <c r="BC36" i="3"/>
  <c r="BD36" i="3"/>
  <c r="BE36" i="3"/>
  <c r="BF36" i="3"/>
  <c r="BG36" i="3"/>
  <c r="BH36" i="3"/>
  <c r="BA36" i="3" s="1"/>
  <c r="BI36" i="3"/>
  <c r="BJ36" i="3"/>
  <c r="BK36" i="3"/>
  <c r="BB37" i="3"/>
  <c r="BC37" i="3"/>
  <c r="BD37" i="3"/>
  <c r="BE37" i="3"/>
  <c r="BA37" i="3" s="1"/>
  <c r="BF37" i="3"/>
  <c r="BG37" i="3"/>
  <c r="BH37" i="3"/>
  <c r="BI37" i="3"/>
  <c r="BJ37" i="3"/>
  <c r="BK37" i="3"/>
  <c r="BB38" i="3"/>
  <c r="BC38" i="3"/>
  <c r="BD38" i="3"/>
  <c r="BE38" i="3"/>
  <c r="BF38" i="3"/>
  <c r="BG38" i="3"/>
  <c r="BH38" i="3"/>
  <c r="BI38" i="3"/>
  <c r="BJ38" i="3"/>
  <c r="BK38" i="3"/>
  <c r="BB39" i="3"/>
  <c r="BC39" i="3"/>
  <c r="BA39" i="3" s="1"/>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B43" i="3"/>
  <c r="BC43" i="3"/>
  <c r="BD43" i="3"/>
  <c r="BE43" i="3"/>
  <c r="BF43" i="3"/>
  <c r="BG43" i="3"/>
  <c r="BH43" i="3"/>
  <c r="BI43" i="3"/>
  <c r="BJ43" i="3"/>
  <c r="BK43" i="3"/>
  <c r="BB44" i="3"/>
  <c r="BC44" i="3"/>
  <c r="BD44" i="3"/>
  <c r="BE44" i="3"/>
  <c r="BF44" i="3"/>
  <c r="BG44" i="3"/>
  <c r="BH44" i="3"/>
  <c r="BA44" i="3" s="1"/>
  <c r="BI44" i="3"/>
  <c r="BJ44" i="3"/>
  <c r="BK44" i="3"/>
  <c r="BB45" i="3"/>
  <c r="BC45" i="3"/>
  <c r="BD45" i="3"/>
  <c r="BE45" i="3"/>
  <c r="BA45" i="3" s="1"/>
  <c r="BF45" i="3"/>
  <c r="BG45" i="3"/>
  <c r="BH45" i="3"/>
  <c r="BI45" i="3"/>
  <c r="BJ45" i="3"/>
  <c r="BK45" i="3"/>
  <c r="BB46" i="3"/>
  <c r="BC46" i="3"/>
  <c r="BD46" i="3"/>
  <c r="BE46" i="3"/>
  <c r="BF46" i="3"/>
  <c r="BG46" i="3"/>
  <c r="BH46" i="3"/>
  <c r="BI46" i="3"/>
  <c r="BJ46" i="3"/>
  <c r="BK46" i="3"/>
  <c r="BB47" i="3"/>
  <c r="BA47" i="3" s="1"/>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A50" i="3" s="1"/>
  <c r="BC50" i="3"/>
  <c r="BD50" i="3"/>
  <c r="BE50" i="3"/>
  <c r="BF50" i="3"/>
  <c r="BG50" i="3"/>
  <c r="BH50" i="3"/>
  <c r="BI50" i="3"/>
  <c r="BJ50" i="3"/>
  <c r="BK50" i="3"/>
  <c r="BB51" i="3"/>
  <c r="BC51" i="3"/>
  <c r="BD51" i="3"/>
  <c r="BE51" i="3"/>
  <c r="BF51" i="3"/>
  <c r="BG51" i="3"/>
  <c r="BH51" i="3"/>
  <c r="BI51" i="3"/>
  <c r="BJ51" i="3"/>
  <c r="BK51" i="3"/>
  <c r="BB52" i="3"/>
  <c r="BC52" i="3"/>
  <c r="BD52" i="3"/>
  <c r="BE52" i="3"/>
  <c r="BF52" i="3"/>
  <c r="BG52" i="3"/>
  <c r="BH52" i="3"/>
  <c r="BA52" i="3" s="1"/>
  <c r="BI52" i="3"/>
  <c r="BJ52" i="3"/>
  <c r="BK52" i="3"/>
  <c r="BB53" i="3"/>
  <c r="BC53" i="3"/>
  <c r="BD53" i="3"/>
  <c r="BE53" i="3"/>
  <c r="BF53" i="3"/>
  <c r="BG53" i="3"/>
  <c r="BH53" i="3"/>
  <c r="BI53" i="3"/>
  <c r="BJ53" i="3"/>
  <c r="BK53" i="3"/>
  <c r="BB54" i="3"/>
  <c r="BC54" i="3"/>
  <c r="BD54" i="3"/>
  <c r="BE54" i="3"/>
  <c r="BF54" i="3"/>
  <c r="BG54" i="3"/>
  <c r="BH54" i="3"/>
  <c r="BI54" i="3"/>
  <c r="BJ54" i="3"/>
  <c r="BK54" i="3"/>
  <c r="BB55" i="3"/>
  <c r="BC55" i="3"/>
  <c r="BA55" i="3" s="1"/>
  <c r="BD55" i="3"/>
  <c r="BE55" i="3"/>
  <c r="BF55" i="3"/>
  <c r="BG55" i="3"/>
  <c r="BH55" i="3"/>
  <c r="BI55" i="3"/>
  <c r="BJ55" i="3"/>
  <c r="BK55" i="3"/>
  <c r="BB56" i="3"/>
  <c r="BC56" i="3"/>
  <c r="BD56" i="3"/>
  <c r="BE56" i="3"/>
  <c r="BF56" i="3"/>
  <c r="BG56" i="3"/>
  <c r="BH56" i="3"/>
  <c r="BI56" i="3"/>
  <c r="BJ56" i="3"/>
  <c r="BK56" i="3"/>
  <c r="BA56" i="3"/>
  <c r="BB57" i="3"/>
  <c r="BA57" i="3" s="1"/>
  <c r="BC57" i="3"/>
  <c r="BD57" i="3"/>
  <c r="BE57" i="3"/>
  <c r="BF57" i="3"/>
  <c r="BG57" i="3"/>
  <c r="BH57" i="3"/>
  <c r="BI57" i="3"/>
  <c r="BJ57" i="3"/>
  <c r="BK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A60" i="3" s="1"/>
  <c r="BI60" i="3"/>
  <c r="BJ60" i="3"/>
  <c r="BK60" i="3"/>
  <c r="BB61" i="3"/>
  <c r="BA61" i="3" s="1"/>
  <c r="BC61" i="3"/>
  <c r="BD61" i="3"/>
  <c r="BE61" i="3"/>
  <c r="BF61" i="3"/>
  <c r="BG61" i="3"/>
  <c r="BH61" i="3"/>
  <c r="BI61" i="3"/>
  <c r="BJ61" i="3"/>
  <c r="BK61" i="3"/>
  <c r="BB62" i="3"/>
  <c r="BC62" i="3"/>
  <c r="BD62" i="3"/>
  <c r="BE62" i="3"/>
  <c r="BF62" i="3"/>
  <c r="BG62" i="3"/>
  <c r="BH62" i="3"/>
  <c r="BI62" i="3"/>
  <c r="BJ62" i="3"/>
  <c r="BK62" i="3"/>
  <c r="BB63" i="3"/>
  <c r="BA63" i="3" s="1"/>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A68" i="3" s="1"/>
  <c r="BI68" i="3"/>
  <c r="BJ68" i="3"/>
  <c r="BK68" i="3"/>
  <c r="BB69" i="3"/>
  <c r="BC69" i="3"/>
  <c r="BD69" i="3"/>
  <c r="BE69" i="3"/>
  <c r="BA69" i="3" s="1"/>
  <c r="BF69" i="3"/>
  <c r="BG69" i="3"/>
  <c r="BH69" i="3"/>
  <c r="BI69" i="3"/>
  <c r="BJ69" i="3"/>
  <c r="BK69" i="3"/>
  <c r="BB70" i="3"/>
  <c r="BC70" i="3"/>
  <c r="BD70" i="3"/>
  <c r="BE70" i="3"/>
  <c r="BF70" i="3"/>
  <c r="BG70" i="3"/>
  <c r="BH70" i="3"/>
  <c r="BI70" i="3"/>
  <c r="BJ70" i="3"/>
  <c r="BK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A74" i="3" s="1"/>
  <c r="BC74" i="3"/>
  <c r="BD74" i="3"/>
  <c r="BE74" i="3"/>
  <c r="BF74" i="3"/>
  <c r="BG74" i="3"/>
  <c r="BH74" i="3"/>
  <c r="BI74" i="3"/>
  <c r="BJ74" i="3"/>
  <c r="BK74" i="3"/>
  <c r="BB75" i="3"/>
  <c r="BC75" i="3"/>
  <c r="BD75" i="3"/>
  <c r="BE75" i="3"/>
  <c r="BF75" i="3"/>
  <c r="BG75" i="3"/>
  <c r="BH75" i="3"/>
  <c r="BI75" i="3"/>
  <c r="BJ75" i="3"/>
  <c r="BK75" i="3"/>
  <c r="BB76" i="3"/>
  <c r="BC76" i="3"/>
  <c r="BD76" i="3"/>
  <c r="BE76" i="3"/>
  <c r="BF76" i="3"/>
  <c r="BG76" i="3"/>
  <c r="BH76" i="3"/>
  <c r="BA76" i="3" s="1"/>
  <c r="BI76" i="3"/>
  <c r="BJ76" i="3"/>
  <c r="BK76" i="3"/>
  <c r="BB77" i="3"/>
  <c r="BC77" i="3"/>
  <c r="BD77" i="3"/>
  <c r="BE77" i="3"/>
  <c r="BA77" i="3" s="1"/>
  <c r="BF77" i="3"/>
  <c r="BG77" i="3"/>
  <c r="BH77" i="3"/>
  <c r="BI77" i="3"/>
  <c r="BJ77" i="3"/>
  <c r="BK77" i="3"/>
  <c r="BB78" i="3"/>
  <c r="BC78" i="3"/>
  <c r="BD78" i="3"/>
  <c r="BE78" i="3"/>
  <c r="BF78" i="3"/>
  <c r="BG78" i="3"/>
  <c r="BH78" i="3"/>
  <c r="BI78" i="3"/>
  <c r="BJ78" i="3"/>
  <c r="BK78" i="3"/>
  <c r="BB79" i="3"/>
  <c r="BC79" i="3"/>
  <c r="BD79" i="3"/>
  <c r="BE79" i="3"/>
  <c r="BF79" i="3"/>
  <c r="BG79" i="3"/>
  <c r="BH79" i="3"/>
  <c r="BI79" i="3"/>
  <c r="BJ79" i="3"/>
  <c r="BK79" i="3"/>
  <c r="BB80" i="3"/>
  <c r="BC80" i="3"/>
  <c r="BD80" i="3"/>
  <c r="BE80" i="3"/>
  <c r="BF80" i="3"/>
  <c r="BG80" i="3"/>
  <c r="BH80" i="3"/>
  <c r="BI80" i="3"/>
  <c r="BJ80" i="3"/>
  <c r="BK80" i="3"/>
  <c r="BA80" i="3"/>
  <c r="BB81" i="3"/>
  <c r="BA81" i="3" s="1"/>
  <c r="BC81" i="3"/>
  <c r="BD81" i="3"/>
  <c r="BE81" i="3"/>
  <c r="BF81" i="3"/>
  <c r="BG81" i="3"/>
  <c r="BH81" i="3"/>
  <c r="BI81" i="3"/>
  <c r="BJ81" i="3"/>
  <c r="BK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A84" i="3" s="1"/>
  <c r="BI84" i="3"/>
  <c r="BJ84" i="3"/>
  <c r="BK84" i="3"/>
  <c r="BB85" i="3"/>
  <c r="BC85" i="3"/>
  <c r="BD85" i="3"/>
  <c r="BE85" i="3"/>
  <c r="BA85" i="3" s="1"/>
  <c r="BF85" i="3"/>
  <c r="BG85" i="3"/>
  <c r="BH85" i="3"/>
  <c r="BI85" i="3"/>
  <c r="BJ85" i="3"/>
  <c r="BK85" i="3"/>
  <c r="BB86" i="3"/>
  <c r="BC86" i="3"/>
  <c r="BD86" i="3"/>
  <c r="BE86" i="3"/>
  <c r="BF86" i="3"/>
  <c r="BG86" i="3"/>
  <c r="BH86" i="3"/>
  <c r="BI86" i="3"/>
  <c r="BJ86" i="3"/>
  <c r="BK86" i="3"/>
  <c r="BB87" i="3"/>
  <c r="BC87" i="3"/>
  <c r="BD87" i="3"/>
  <c r="BE87" i="3"/>
  <c r="BF87" i="3"/>
  <c r="BG87" i="3"/>
  <c r="BH87" i="3"/>
  <c r="BI87" i="3"/>
  <c r="BJ87" i="3"/>
  <c r="BK87" i="3"/>
  <c r="BB88" i="3"/>
  <c r="BC88" i="3"/>
  <c r="BD88" i="3"/>
  <c r="BE88" i="3"/>
  <c r="BF88" i="3"/>
  <c r="BG88" i="3"/>
  <c r="BH88" i="3"/>
  <c r="BI88" i="3"/>
  <c r="BJ88" i="3"/>
  <c r="BK88" i="3"/>
  <c r="BA88" i="3"/>
  <c r="BB89" i="3"/>
  <c r="BA89" i="3" s="1"/>
  <c r="BC89" i="3"/>
  <c r="BD89" i="3"/>
  <c r="BE89" i="3"/>
  <c r="BF89" i="3"/>
  <c r="BG89" i="3"/>
  <c r="BH89" i="3"/>
  <c r="BI89" i="3"/>
  <c r="BJ89" i="3"/>
  <c r="BK89" i="3"/>
  <c r="BB90" i="3"/>
  <c r="BC90" i="3"/>
  <c r="BD90" i="3"/>
  <c r="BE90" i="3"/>
  <c r="BF90" i="3"/>
  <c r="BG90" i="3"/>
  <c r="BH90" i="3"/>
  <c r="BI90" i="3"/>
  <c r="BJ90" i="3"/>
  <c r="BK90" i="3"/>
  <c r="BB91" i="3"/>
  <c r="BC91" i="3"/>
  <c r="BD91" i="3"/>
  <c r="BE91" i="3"/>
  <c r="BF91" i="3"/>
  <c r="BG91" i="3"/>
  <c r="BH91" i="3"/>
  <c r="BI91" i="3"/>
  <c r="BJ91" i="3"/>
  <c r="BK91" i="3"/>
  <c r="BB92" i="3"/>
  <c r="BC92" i="3"/>
  <c r="BD92" i="3"/>
  <c r="BE92" i="3"/>
  <c r="BF92" i="3"/>
  <c r="BG92" i="3"/>
  <c r="BH92" i="3"/>
  <c r="BA92" i="3" s="1"/>
  <c r="BI92" i="3"/>
  <c r="BJ92" i="3"/>
  <c r="BK92" i="3"/>
  <c r="BB93" i="3"/>
  <c r="BC93" i="3"/>
  <c r="BD93" i="3"/>
  <c r="BE93" i="3"/>
  <c r="BA93" i="3" s="1"/>
  <c r="BF93" i="3"/>
  <c r="BG93" i="3"/>
  <c r="BH93" i="3"/>
  <c r="BI93" i="3"/>
  <c r="BJ93" i="3"/>
  <c r="BK93" i="3"/>
  <c r="BB94" i="3"/>
  <c r="BC94" i="3"/>
  <c r="BD94" i="3"/>
  <c r="BE94" i="3"/>
  <c r="BF94" i="3"/>
  <c r="BG94" i="3"/>
  <c r="BH94" i="3"/>
  <c r="BI94" i="3"/>
  <c r="BJ94" i="3"/>
  <c r="BK94" i="3"/>
  <c r="BB95" i="3"/>
  <c r="BC95" i="3"/>
  <c r="BA95" i="3" s="1"/>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B99" i="3"/>
  <c r="BC99" i="3"/>
  <c r="BD99" i="3"/>
  <c r="BE99" i="3"/>
  <c r="BF99" i="3"/>
  <c r="BG99" i="3"/>
  <c r="BH99" i="3"/>
  <c r="BI99" i="3"/>
  <c r="BJ99" i="3"/>
  <c r="BK99" i="3"/>
  <c r="BB100" i="3"/>
  <c r="BC100" i="3"/>
  <c r="BD100" i="3"/>
  <c r="BE100" i="3"/>
  <c r="BF100" i="3"/>
  <c r="BG100" i="3"/>
  <c r="BH100" i="3"/>
  <c r="BA100" i="3" s="1"/>
  <c r="BI100" i="3"/>
  <c r="BJ100" i="3"/>
  <c r="BK100" i="3"/>
  <c r="BB101" i="3"/>
  <c r="BC101" i="3"/>
  <c r="BD101" i="3"/>
  <c r="BE101" i="3"/>
  <c r="BA101" i="3" s="1"/>
  <c r="BF101" i="3"/>
  <c r="BG101" i="3"/>
  <c r="BH101" i="3"/>
  <c r="BI101" i="3"/>
  <c r="BJ101" i="3"/>
  <c r="BK101" i="3"/>
  <c r="BB102" i="3"/>
  <c r="BC102" i="3"/>
  <c r="BD102" i="3"/>
  <c r="BE102" i="3"/>
  <c r="BF102" i="3"/>
  <c r="BG102" i="3"/>
  <c r="BH102" i="3"/>
  <c r="BI102" i="3"/>
  <c r="BJ102" i="3"/>
  <c r="BK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B107" i="3"/>
  <c r="BC107" i="3"/>
  <c r="BD107" i="3"/>
  <c r="BE107" i="3"/>
  <c r="BF107" i="3"/>
  <c r="BG107" i="3"/>
  <c r="BH107" i="3"/>
  <c r="BI107" i="3"/>
  <c r="BJ107" i="3"/>
  <c r="BK107" i="3"/>
  <c r="BB108" i="3"/>
  <c r="BC108" i="3"/>
  <c r="BD108" i="3"/>
  <c r="BE108" i="3"/>
  <c r="BF108" i="3"/>
  <c r="BG108" i="3"/>
  <c r="BH108" i="3"/>
  <c r="BA108" i="3" s="1"/>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A114" i="3" s="1"/>
  <c r="BC114" i="3"/>
  <c r="BD114" i="3"/>
  <c r="BE114" i="3"/>
  <c r="BF114" i="3"/>
  <c r="BG114" i="3"/>
  <c r="BH114" i="3"/>
  <c r="BI114" i="3"/>
  <c r="BJ114" i="3"/>
  <c r="BK114" i="3"/>
  <c r="BB115" i="3"/>
  <c r="BC115" i="3"/>
  <c r="BD115" i="3"/>
  <c r="BE115" i="3"/>
  <c r="BF115" i="3"/>
  <c r="BG115" i="3"/>
  <c r="BH115" i="3"/>
  <c r="BI115" i="3"/>
  <c r="BJ115" i="3"/>
  <c r="BK115" i="3"/>
  <c r="BB116" i="3"/>
  <c r="BC116" i="3"/>
  <c r="BD116" i="3"/>
  <c r="BE116" i="3"/>
  <c r="BF116" i="3"/>
  <c r="BG116" i="3"/>
  <c r="BH116" i="3"/>
  <c r="BA116" i="3" s="1"/>
  <c r="BI116" i="3"/>
  <c r="BJ116" i="3"/>
  <c r="BK116" i="3"/>
  <c r="BB117" i="3"/>
  <c r="BC117" i="3"/>
  <c r="BD117" i="3"/>
  <c r="BE117" i="3"/>
  <c r="BA117" i="3" s="1"/>
  <c r="BF117" i="3"/>
  <c r="BG117" i="3"/>
  <c r="BH117" i="3"/>
  <c r="BI117" i="3"/>
  <c r="BJ117" i="3"/>
  <c r="BK117" i="3"/>
  <c r="BB118" i="3"/>
  <c r="BC118" i="3"/>
  <c r="BD118" i="3"/>
  <c r="BE118" i="3"/>
  <c r="BF118" i="3"/>
  <c r="BG118" i="3"/>
  <c r="BH118" i="3"/>
  <c r="BI118" i="3"/>
  <c r="BJ118" i="3"/>
  <c r="BK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A124" i="3" s="1"/>
  <c r="BI124" i="3"/>
  <c r="BJ124" i="3"/>
  <c r="BK124" i="3"/>
  <c r="BB125" i="3"/>
  <c r="BC125" i="3"/>
  <c r="BD125" i="3"/>
  <c r="BE125" i="3"/>
  <c r="BA125" i="3" s="1"/>
  <c r="BF125" i="3"/>
  <c r="BG125" i="3"/>
  <c r="BH125" i="3"/>
  <c r="BI125" i="3"/>
  <c r="BJ125" i="3"/>
  <c r="BK125" i="3"/>
  <c r="BB126" i="3"/>
  <c r="BC126" i="3"/>
  <c r="BD126" i="3"/>
  <c r="BE126" i="3"/>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A130" i="3" s="1"/>
  <c r="BC130" i="3"/>
  <c r="BD130" i="3"/>
  <c r="BE130" i="3"/>
  <c r="BF130" i="3"/>
  <c r="BG130" i="3"/>
  <c r="BH130" i="3"/>
  <c r="BI130" i="3"/>
  <c r="BJ130" i="3"/>
  <c r="BK130" i="3"/>
  <c r="BB131" i="3"/>
  <c r="BC131" i="3"/>
  <c r="BD131" i="3"/>
  <c r="BE131" i="3"/>
  <c r="BF131" i="3"/>
  <c r="BG131" i="3"/>
  <c r="BH131" i="3"/>
  <c r="BI131" i="3"/>
  <c r="BJ131" i="3"/>
  <c r="BK131" i="3"/>
  <c r="BB132" i="3"/>
  <c r="BC132" i="3"/>
  <c r="BD132" i="3"/>
  <c r="BE132" i="3"/>
  <c r="BF132" i="3"/>
  <c r="BG132" i="3"/>
  <c r="BH132" i="3"/>
  <c r="BA132" i="3" s="1"/>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A138" i="3" s="1"/>
  <c r="BC138" i="3"/>
  <c r="BD138" i="3"/>
  <c r="BE138" i="3"/>
  <c r="BF138" i="3"/>
  <c r="BG138" i="3"/>
  <c r="BH138" i="3"/>
  <c r="BI138" i="3"/>
  <c r="BJ138" i="3"/>
  <c r="BK138" i="3"/>
  <c r="BB139" i="3"/>
  <c r="BC139" i="3"/>
  <c r="BD139" i="3"/>
  <c r="BE139" i="3"/>
  <c r="BF139" i="3"/>
  <c r="BG139" i="3"/>
  <c r="BH139" i="3"/>
  <c r="BI139" i="3"/>
  <c r="BJ139" i="3"/>
  <c r="BK139" i="3"/>
  <c r="BB140" i="3"/>
  <c r="BC140" i="3"/>
  <c r="BD140" i="3"/>
  <c r="BE140" i="3"/>
  <c r="BF140" i="3"/>
  <c r="BG140" i="3"/>
  <c r="BH140" i="3"/>
  <c r="BA140" i="3" s="1"/>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B143" i="3"/>
  <c r="BC143" i="3"/>
  <c r="BD143" i="3"/>
  <c r="BE143" i="3"/>
  <c r="BF143" i="3"/>
  <c r="BG143" i="3"/>
  <c r="BH143" i="3"/>
  <c r="BI143" i="3"/>
  <c r="BJ143" i="3"/>
  <c r="BK143" i="3"/>
  <c r="BB144" i="3"/>
  <c r="BC144" i="3"/>
  <c r="BD144" i="3"/>
  <c r="BE144" i="3"/>
  <c r="BF144" i="3"/>
  <c r="BG144" i="3"/>
  <c r="BH144" i="3"/>
  <c r="BI144" i="3"/>
  <c r="BJ144" i="3"/>
  <c r="BK144" i="3"/>
  <c r="BA144" i="3"/>
  <c r="BB145" i="3"/>
  <c r="BA145" i="3" s="1"/>
  <c r="BC145" i="3"/>
  <c r="BD145" i="3"/>
  <c r="BE145" i="3"/>
  <c r="BF145" i="3"/>
  <c r="BG145" i="3"/>
  <c r="BH145" i="3"/>
  <c r="BI145" i="3"/>
  <c r="BJ145" i="3"/>
  <c r="BK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A148" i="3" s="1"/>
  <c r="BI148" i="3"/>
  <c r="BJ148" i="3"/>
  <c r="BK148" i="3"/>
  <c r="BB149" i="3"/>
  <c r="BA149" i="3" s="1"/>
  <c r="BC149" i="3"/>
  <c r="BD149" i="3"/>
  <c r="BE149" i="3"/>
  <c r="BF149" i="3"/>
  <c r="BG149" i="3"/>
  <c r="BH149" i="3"/>
  <c r="BI149" i="3"/>
  <c r="BJ149" i="3"/>
  <c r="BK149" i="3"/>
  <c r="BB150" i="3"/>
  <c r="BC150" i="3"/>
  <c r="BD150" i="3"/>
  <c r="BE150" i="3"/>
  <c r="BF150" i="3"/>
  <c r="BG150" i="3"/>
  <c r="BH150" i="3"/>
  <c r="BI150" i="3"/>
  <c r="BJ150" i="3"/>
  <c r="BK150" i="3"/>
  <c r="BB151" i="3"/>
  <c r="BC151" i="3"/>
  <c r="BD151" i="3"/>
  <c r="BE151" i="3"/>
  <c r="BF151" i="3"/>
  <c r="BG151" i="3"/>
  <c r="BH151" i="3"/>
  <c r="BI151" i="3"/>
  <c r="BJ151" i="3"/>
  <c r="BK151" i="3"/>
  <c r="BB152" i="3"/>
  <c r="BC152" i="3"/>
  <c r="BD152" i="3"/>
  <c r="BE152" i="3"/>
  <c r="BF152" i="3"/>
  <c r="BG152" i="3"/>
  <c r="BH152" i="3"/>
  <c r="BI152" i="3"/>
  <c r="BJ152" i="3"/>
  <c r="BK152" i="3"/>
  <c r="BA152" i="3"/>
  <c r="BB153" i="3"/>
  <c r="BA153" i="3" s="1"/>
  <c r="BC153" i="3"/>
  <c r="BD153" i="3"/>
  <c r="BE153" i="3"/>
  <c r="BF153" i="3"/>
  <c r="BG153" i="3"/>
  <c r="BH153" i="3"/>
  <c r="BI153" i="3"/>
  <c r="BJ153" i="3"/>
  <c r="BK153" i="3"/>
  <c r="BB154" i="3"/>
  <c r="BC154" i="3"/>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A156" i="3" s="1"/>
  <c r="BI156" i="3"/>
  <c r="BJ156" i="3"/>
  <c r="BK156" i="3"/>
  <c r="BB157" i="3"/>
  <c r="BA157" i="3" s="1"/>
  <c r="BC157" i="3"/>
  <c r="BD157" i="3"/>
  <c r="BE157" i="3"/>
  <c r="BF157" i="3"/>
  <c r="BG157" i="3"/>
  <c r="BH157" i="3"/>
  <c r="BI157" i="3"/>
  <c r="BJ157" i="3"/>
  <c r="BK157" i="3"/>
  <c r="BB158" i="3"/>
  <c r="BC158" i="3"/>
  <c r="BD158" i="3"/>
  <c r="BE158" i="3"/>
  <c r="BF158" i="3"/>
  <c r="BG158" i="3"/>
  <c r="BH158" i="3"/>
  <c r="BI158" i="3"/>
  <c r="BJ158" i="3"/>
  <c r="BK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B163" i="3"/>
  <c r="BC163" i="3"/>
  <c r="BD163" i="3"/>
  <c r="BE163" i="3"/>
  <c r="BF163" i="3"/>
  <c r="BG163" i="3"/>
  <c r="BH163" i="3"/>
  <c r="BI163" i="3"/>
  <c r="BJ163" i="3"/>
  <c r="BK163" i="3"/>
  <c r="BB164" i="3"/>
  <c r="BC164" i="3"/>
  <c r="BD164" i="3"/>
  <c r="BE164" i="3"/>
  <c r="BF164" i="3"/>
  <c r="BG164" i="3"/>
  <c r="BH164" i="3"/>
  <c r="BA164" i="3" s="1"/>
  <c r="BI164" i="3"/>
  <c r="BJ164" i="3"/>
  <c r="BK164" i="3"/>
  <c r="BB165" i="3"/>
  <c r="BC165" i="3"/>
  <c r="BD165" i="3"/>
  <c r="BE165" i="3"/>
  <c r="BF165" i="3"/>
  <c r="BG165" i="3"/>
  <c r="BH165" i="3"/>
  <c r="BI165" i="3"/>
  <c r="BJ165" i="3"/>
  <c r="BK165" i="3"/>
  <c r="BB166" i="3"/>
  <c r="BC166" i="3"/>
  <c r="BD166" i="3"/>
  <c r="BE166" i="3"/>
  <c r="BF166" i="3"/>
  <c r="BG166" i="3"/>
  <c r="BH166" i="3"/>
  <c r="BI166" i="3"/>
  <c r="BJ166" i="3"/>
  <c r="BK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B171" i="3"/>
  <c r="BC171" i="3"/>
  <c r="BD171" i="3"/>
  <c r="BE171" i="3"/>
  <c r="BF171" i="3"/>
  <c r="BG171" i="3"/>
  <c r="BH171" i="3"/>
  <c r="BI171" i="3"/>
  <c r="BJ171" i="3"/>
  <c r="BK171" i="3"/>
  <c r="BB172" i="3"/>
  <c r="BC172" i="3"/>
  <c r="BD172" i="3"/>
  <c r="BE172" i="3"/>
  <c r="BF172" i="3"/>
  <c r="BG172" i="3"/>
  <c r="BH172" i="3"/>
  <c r="BA172" i="3" s="1"/>
  <c r="BI172" i="3"/>
  <c r="BJ172" i="3"/>
  <c r="BK172" i="3"/>
  <c r="BB173" i="3"/>
  <c r="BC173" i="3"/>
  <c r="BD173" i="3"/>
  <c r="BE173" i="3"/>
  <c r="BF173" i="3"/>
  <c r="BG173" i="3"/>
  <c r="BH173" i="3"/>
  <c r="BI173" i="3"/>
  <c r="BJ173" i="3"/>
  <c r="BK173" i="3"/>
  <c r="BB174" i="3"/>
  <c r="BC174" i="3"/>
  <c r="BD174" i="3"/>
  <c r="BE174" i="3"/>
  <c r="BF174" i="3"/>
  <c r="BG174" i="3"/>
  <c r="BH174" i="3"/>
  <c r="BI174" i="3"/>
  <c r="BJ174" i="3"/>
  <c r="BK174" i="3"/>
  <c r="BB175" i="3"/>
  <c r="BC175" i="3"/>
  <c r="BA175" i="3" s="1"/>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A178" i="3" s="1"/>
  <c r="BC178" i="3"/>
  <c r="BD178" i="3"/>
  <c r="BE178" i="3"/>
  <c r="BF178" i="3"/>
  <c r="BG178" i="3"/>
  <c r="BH178" i="3"/>
  <c r="BI178" i="3"/>
  <c r="BJ178" i="3"/>
  <c r="BK178" i="3"/>
  <c r="BB179" i="3"/>
  <c r="BC179" i="3"/>
  <c r="BD179" i="3"/>
  <c r="BE179" i="3"/>
  <c r="BF179" i="3"/>
  <c r="BG179" i="3"/>
  <c r="BH179" i="3"/>
  <c r="BI179" i="3"/>
  <c r="BJ179" i="3"/>
  <c r="BK179" i="3"/>
  <c r="BB180" i="3"/>
  <c r="BC180" i="3"/>
  <c r="BD180" i="3"/>
  <c r="BE180" i="3"/>
  <c r="BF180" i="3"/>
  <c r="BG180" i="3"/>
  <c r="BH180" i="3"/>
  <c r="BA180" i="3" s="1"/>
  <c r="BI180" i="3"/>
  <c r="BJ180" i="3"/>
  <c r="BK180" i="3"/>
  <c r="BB181" i="3"/>
  <c r="BC181" i="3"/>
  <c r="BD181" i="3"/>
  <c r="BE181" i="3"/>
  <c r="BF181" i="3"/>
  <c r="BG181" i="3"/>
  <c r="BH181" i="3"/>
  <c r="BI181" i="3"/>
  <c r="BJ181" i="3"/>
  <c r="BK181" i="3"/>
  <c r="BB182" i="3"/>
  <c r="BC182" i="3"/>
  <c r="BD182" i="3"/>
  <c r="BE182" i="3"/>
  <c r="BF182" i="3"/>
  <c r="BG182" i="3"/>
  <c r="BH182" i="3"/>
  <c r="BI182" i="3"/>
  <c r="BJ182" i="3"/>
  <c r="BK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A185" i="3" s="1"/>
  <c r="BC185" i="3"/>
  <c r="BD185" i="3"/>
  <c r="BE185" i="3"/>
  <c r="BF185" i="3"/>
  <c r="BG185" i="3"/>
  <c r="BH185" i="3"/>
  <c r="BI185" i="3"/>
  <c r="BJ185" i="3"/>
  <c r="BK185" i="3"/>
  <c r="BB186" i="3"/>
  <c r="BA186" i="3" s="1"/>
  <c r="BC186" i="3"/>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A188" i="3" s="1"/>
  <c r="BI188" i="3"/>
  <c r="BJ188" i="3"/>
  <c r="BK188" i="3"/>
  <c r="BB189" i="3"/>
  <c r="BA189" i="3" s="1"/>
  <c r="BC189" i="3"/>
  <c r="BD189" i="3"/>
  <c r="BE189" i="3"/>
  <c r="BF189" i="3"/>
  <c r="BG189" i="3"/>
  <c r="BH189" i="3"/>
  <c r="BI189" i="3"/>
  <c r="BJ189" i="3"/>
  <c r="BK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A194" i="3" s="1"/>
  <c r="BC194" i="3"/>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A196" i="3" s="1"/>
  <c r="BI196" i="3"/>
  <c r="BJ196" i="3"/>
  <c r="BK196" i="3"/>
  <c r="BB197" i="3"/>
  <c r="BC197" i="3"/>
  <c r="BD197" i="3"/>
  <c r="BE197" i="3"/>
  <c r="BA197" i="3" s="1"/>
  <c r="BF197" i="3"/>
  <c r="BG197" i="3"/>
  <c r="BH197" i="3"/>
  <c r="BI197" i="3"/>
  <c r="BJ197" i="3"/>
  <c r="BK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A202" i="3" s="1"/>
  <c r="BC202" i="3"/>
  <c r="BD202" i="3"/>
  <c r="BE202" i="3"/>
  <c r="BF202" i="3"/>
  <c r="BG202" i="3"/>
  <c r="BH202" i="3"/>
  <c r="BI202" i="3"/>
  <c r="BJ202" i="3"/>
  <c r="BK202" i="3"/>
  <c r="BB203" i="3"/>
  <c r="BC203" i="3"/>
  <c r="BD203" i="3"/>
  <c r="BE203" i="3"/>
  <c r="BF203" i="3"/>
  <c r="BG203" i="3"/>
  <c r="BH203" i="3"/>
  <c r="BI203" i="3"/>
  <c r="BJ203" i="3"/>
  <c r="BK203" i="3"/>
  <c r="BB204" i="3"/>
  <c r="BC204" i="3"/>
  <c r="BD204" i="3"/>
  <c r="BE204" i="3"/>
  <c r="BF204" i="3"/>
  <c r="BG204" i="3"/>
  <c r="BH204" i="3"/>
  <c r="BA204" i="3" s="1"/>
  <c r="BI204" i="3"/>
  <c r="BJ204" i="3"/>
  <c r="BK204" i="3"/>
  <c r="BB205" i="3"/>
  <c r="BC205" i="3"/>
  <c r="BD205" i="3"/>
  <c r="BE205" i="3"/>
  <c r="BA205" i="3" s="1"/>
  <c r="BF205" i="3"/>
  <c r="BG205" i="3"/>
  <c r="BH205" i="3"/>
  <c r="BI205" i="3"/>
  <c r="BJ205" i="3"/>
  <c r="BK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A208" i="3"/>
  <c r="BB209" i="3"/>
  <c r="BA209" i="3" s="1"/>
  <c r="BC209" i="3"/>
  <c r="BD209" i="3"/>
  <c r="BE209" i="3"/>
  <c r="BF209" i="3"/>
  <c r="BG209" i="3"/>
  <c r="BH209" i="3"/>
  <c r="BI209" i="3"/>
  <c r="BJ209" i="3"/>
  <c r="BK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A212" i="3" s="1"/>
  <c r="BI212" i="3"/>
  <c r="BJ212" i="3"/>
  <c r="BK212" i="3"/>
  <c r="BB213" i="3"/>
  <c r="BC213" i="3"/>
  <c r="BD213" i="3"/>
  <c r="BE213" i="3"/>
  <c r="BA213" i="3" s="1"/>
  <c r="BF213" i="3"/>
  <c r="BG213" i="3"/>
  <c r="BH213" i="3"/>
  <c r="BI213" i="3"/>
  <c r="BJ213" i="3"/>
  <c r="BK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A216" i="3"/>
  <c r="BB217" i="3"/>
  <c r="BA217" i="3" s="1"/>
  <c r="BC217" i="3"/>
  <c r="BD217" i="3"/>
  <c r="BE217" i="3"/>
  <c r="BF217" i="3"/>
  <c r="BG217" i="3"/>
  <c r="BH217" i="3"/>
  <c r="BI217" i="3"/>
  <c r="BJ217" i="3"/>
  <c r="BK217" i="3"/>
  <c r="BB218" i="3"/>
  <c r="BC218" i="3"/>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A220" i="3" s="1"/>
  <c r="BI220" i="3"/>
  <c r="BJ220" i="3"/>
  <c r="BK220" i="3"/>
  <c r="BB221" i="3"/>
  <c r="BC221" i="3"/>
  <c r="BD221" i="3"/>
  <c r="BE221" i="3"/>
  <c r="BA221" i="3" s="1"/>
  <c r="BF221" i="3"/>
  <c r="BG221" i="3"/>
  <c r="BH221" i="3"/>
  <c r="BI221" i="3"/>
  <c r="BJ221" i="3"/>
  <c r="BK221" i="3"/>
  <c r="BB222" i="3"/>
  <c r="BC222" i="3"/>
  <c r="BD222" i="3"/>
  <c r="BE222" i="3"/>
  <c r="BF222" i="3"/>
  <c r="BG222" i="3"/>
  <c r="BH222" i="3"/>
  <c r="BI222" i="3"/>
  <c r="BJ222" i="3"/>
  <c r="BK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B227" i="3"/>
  <c r="BC227" i="3"/>
  <c r="BD227" i="3"/>
  <c r="BE227" i="3"/>
  <c r="BF227" i="3"/>
  <c r="BG227" i="3"/>
  <c r="BH227" i="3"/>
  <c r="BI227" i="3"/>
  <c r="BJ227" i="3"/>
  <c r="BK227" i="3"/>
  <c r="BB228" i="3"/>
  <c r="BC228" i="3"/>
  <c r="BD228" i="3"/>
  <c r="BE228" i="3"/>
  <c r="BF228" i="3"/>
  <c r="BG228" i="3"/>
  <c r="BH228" i="3"/>
  <c r="BA228" i="3" s="1"/>
  <c r="BI228" i="3"/>
  <c r="BJ228" i="3"/>
  <c r="BK228" i="3"/>
  <c r="BB229" i="3"/>
  <c r="BC229" i="3"/>
  <c r="BD229" i="3"/>
  <c r="BE229" i="3"/>
  <c r="BA229" i="3" s="1"/>
  <c r="BF229" i="3"/>
  <c r="BG229" i="3"/>
  <c r="BH229" i="3"/>
  <c r="BI229" i="3"/>
  <c r="BJ229" i="3"/>
  <c r="BK229" i="3"/>
  <c r="BB230" i="3"/>
  <c r="BC230" i="3"/>
  <c r="BD230" i="3"/>
  <c r="BE230" i="3"/>
  <c r="BF230" i="3"/>
  <c r="BG230" i="3"/>
  <c r="BH230" i="3"/>
  <c r="BI230" i="3"/>
  <c r="BJ230" i="3"/>
  <c r="BK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B235" i="3"/>
  <c r="BC235" i="3"/>
  <c r="BD235" i="3"/>
  <c r="BE235" i="3"/>
  <c r="BF235" i="3"/>
  <c r="BG235" i="3"/>
  <c r="BH235" i="3"/>
  <c r="BI235" i="3"/>
  <c r="BJ235" i="3"/>
  <c r="BK235" i="3"/>
  <c r="BB236" i="3"/>
  <c r="BC236" i="3"/>
  <c r="BD236" i="3"/>
  <c r="BE236" i="3"/>
  <c r="BF236" i="3"/>
  <c r="BG236" i="3"/>
  <c r="BH236" i="3"/>
  <c r="BA236" i="3" s="1"/>
  <c r="BI236" i="3"/>
  <c r="BJ236" i="3"/>
  <c r="BK236" i="3"/>
  <c r="BB237" i="3"/>
  <c r="BC237" i="3"/>
  <c r="BD237" i="3"/>
  <c r="BE237" i="3"/>
  <c r="BA237" i="3" s="1"/>
  <c r="BF237" i="3"/>
  <c r="BG237" i="3"/>
  <c r="BH237" i="3"/>
  <c r="BI237" i="3"/>
  <c r="BJ237" i="3"/>
  <c r="BK237" i="3"/>
  <c r="BB238" i="3"/>
  <c r="BC238" i="3"/>
  <c r="BD238" i="3"/>
  <c r="BE238" i="3"/>
  <c r="BF238" i="3"/>
  <c r="BG238" i="3"/>
  <c r="BH238" i="3"/>
  <c r="BI238" i="3"/>
  <c r="BJ238" i="3"/>
  <c r="BK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A242" i="3" s="1"/>
  <c r="BC242" i="3"/>
  <c r="BD242" i="3"/>
  <c r="BE242" i="3"/>
  <c r="BF242" i="3"/>
  <c r="BG242" i="3"/>
  <c r="BH242" i="3"/>
  <c r="BI242" i="3"/>
  <c r="BJ242" i="3"/>
  <c r="BK242" i="3"/>
  <c r="BB243" i="3"/>
  <c r="BC243" i="3"/>
  <c r="BD243" i="3"/>
  <c r="BE243" i="3"/>
  <c r="BF243" i="3"/>
  <c r="BG243" i="3"/>
  <c r="BH243" i="3"/>
  <c r="BI243" i="3"/>
  <c r="BJ243" i="3"/>
  <c r="BK243" i="3"/>
  <c r="BB244" i="3"/>
  <c r="BC244" i="3"/>
  <c r="BD244" i="3"/>
  <c r="BE244" i="3"/>
  <c r="BF244" i="3"/>
  <c r="BG244" i="3"/>
  <c r="BH244" i="3"/>
  <c r="BA244" i="3" s="1"/>
  <c r="BI244" i="3"/>
  <c r="BJ244" i="3"/>
  <c r="BK244" i="3"/>
  <c r="BB245" i="3"/>
  <c r="BC245" i="3"/>
  <c r="BD245" i="3"/>
  <c r="BE245" i="3"/>
  <c r="BA245" i="3" s="1"/>
  <c r="BF245" i="3"/>
  <c r="BG245" i="3"/>
  <c r="BH245" i="3"/>
  <c r="BI245" i="3"/>
  <c r="BJ245" i="3"/>
  <c r="BK245" i="3"/>
  <c r="BB246" i="3"/>
  <c r="BC246" i="3"/>
  <c r="BD246" i="3"/>
  <c r="BE246" i="3"/>
  <c r="BF246" i="3"/>
  <c r="BG246" i="3"/>
  <c r="BH246" i="3"/>
  <c r="BI246" i="3"/>
  <c r="BJ246" i="3"/>
  <c r="BK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A249" i="3" s="1"/>
  <c r="BC249" i="3"/>
  <c r="BD249" i="3"/>
  <c r="BE249" i="3"/>
  <c r="BF249" i="3"/>
  <c r="BG249" i="3"/>
  <c r="BH249" i="3"/>
  <c r="BI249" i="3"/>
  <c r="BJ249" i="3"/>
  <c r="BK249" i="3"/>
  <c r="BB250" i="3"/>
  <c r="BA250" i="3" s="1"/>
  <c r="BC250" i="3"/>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A252" i="3" s="1"/>
  <c r="BI252" i="3"/>
  <c r="BJ252" i="3"/>
  <c r="BK252" i="3"/>
  <c r="BB253" i="3"/>
  <c r="BC253" i="3"/>
  <c r="BD253" i="3"/>
  <c r="BE253" i="3"/>
  <c r="BA253" i="3" s="1"/>
  <c r="BF253" i="3"/>
  <c r="BG253" i="3"/>
  <c r="BH253" i="3"/>
  <c r="BI253" i="3"/>
  <c r="BJ253" i="3"/>
  <c r="BK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A258" i="3" s="1"/>
  <c r="BC258" i="3"/>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A260" i="3" s="1"/>
  <c r="BI260" i="3"/>
  <c r="BJ260" i="3"/>
  <c r="BK260" i="3"/>
  <c r="BB261" i="3"/>
  <c r="BC261" i="3"/>
  <c r="BD261" i="3"/>
  <c r="BE261" i="3"/>
  <c r="BA261" i="3" s="1"/>
  <c r="BF261" i="3"/>
  <c r="BG261" i="3"/>
  <c r="BH261" i="3"/>
  <c r="BI261" i="3"/>
  <c r="BJ261" i="3"/>
  <c r="BK261" i="3"/>
  <c r="BB262" i="3"/>
  <c r="BC262" i="3"/>
  <c r="BD262" i="3"/>
  <c r="BE262" i="3"/>
  <c r="BF262" i="3"/>
  <c r="BG262" i="3"/>
  <c r="BH262" i="3"/>
  <c r="BI262" i="3"/>
  <c r="BJ262" i="3"/>
  <c r="BK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A266" i="3" s="1"/>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A268" i="3" s="1"/>
  <c r="BI268" i="3"/>
  <c r="BJ268" i="3"/>
  <c r="BK268" i="3"/>
  <c r="BB269" i="3"/>
  <c r="BC269" i="3"/>
  <c r="BD269" i="3"/>
  <c r="BE269" i="3"/>
  <c r="BA269" i="3" s="1"/>
  <c r="BF269" i="3"/>
  <c r="BG269" i="3"/>
  <c r="BH269" i="3"/>
  <c r="BI269" i="3"/>
  <c r="BJ269" i="3"/>
  <c r="BK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A272" i="3"/>
  <c r="BB273" i="3"/>
  <c r="BA273" i="3" s="1"/>
  <c r="BC273" i="3"/>
  <c r="BD273" i="3"/>
  <c r="BE273" i="3"/>
  <c r="BF273" i="3"/>
  <c r="BG273" i="3"/>
  <c r="BH273" i="3"/>
  <c r="BI273" i="3"/>
  <c r="BJ273" i="3"/>
  <c r="BK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A276" i="3" s="1"/>
  <c r="BI276" i="3"/>
  <c r="BJ276" i="3"/>
  <c r="BK276" i="3"/>
  <c r="BB277" i="3"/>
  <c r="BC277" i="3"/>
  <c r="BD277" i="3"/>
  <c r="BE277" i="3"/>
  <c r="BA277" i="3" s="1"/>
  <c r="BF277" i="3"/>
  <c r="BG277" i="3"/>
  <c r="BH277" i="3"/>
  <c r="BI277" i="3"/>
  <c r="BJ277" i="3"/>
  <c r="BK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A280" i="3"/>
  <c r="BB281" i="3"/>
  <c r="BA281" i="3" s="1"/>
  <c r="BC281" i="3"/>
  <c r="BD281" i="3"/>
  <c r="BE281" i="3"/>
  <c r="BF281" i="3"/>
  <c r="BG281" i="3"/>
  <c r="BH281" i="3"/>
  <c r="BI281" i="3"/>
  <c r="BJ281" i="3"/>
  <c r="BK281" i="3"/>
  <c r="BB282" i="3"/>
  <c r="BC282" i="3"/>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A284" i="3" s="1"/>
  <c r="BI284" i="3"/>
  <c r="BJ284" i="3"/>
  <c r="BK284" i="3"/>
  <c r="BB285" i="3"/>
  <c r="BC285" i="3"/>
  <c r="BD285" i="3"/>
  <c r="BE285" i="3"/>
  <c r="BA285" i="3" s="1"/>
  <c r="BF285" i="3"/>
  <c r="BG285" i="3"/>
  <c r="BH285" i="3"/>
  <c r="BI285" i="3"/>
  <c r="BJ285" i="3"/>
  <c r="BK285" i="3"/>
  <c r="BB286" i="3"/>
  <c r="BC286" i="3"/>
  <c r="BD286" i="3"/>
  <c r="BE286" i="3"/>
  <c r="BF286" i="3"/>
  <c r="BG286" i="3"/>
  <c r="BH286" i="3"/>
  <c r="BI286" i="3"/>
  <c r="BJ286" i="3"/>
  <c r="BK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B291" i="3"/>
  <c r="BC291" i="3"/>
  <c r="BD291" i="3"/>
  <c r="BE291" i="3"/>
  <c r="BF291" i="3"/>
  <c r="BG291" i="3"/>
  <c r="BH291" i="3"/>
  <c r="BI291" i="3"/>
  <c r="BJ291" i="3"/>
  <c r="BK291" i="3"/>
  <c r="BB292" i="3"/>
  <c r="BC292" i="3"/>
  <c r="BD292" i="3"/>
  <c r="BE292" i="3"/>
  <c r="BF292" i="3"/>
  <c r="BG292" i="3"/>
  <c r="BH292" i="3"/>
  <c r="BA292" i="3" s="1"/>
  <c r="BI292" i="3"/>
  <c r="BJ292" i="3"/>
  <c r="BK292" i="3"/>
  <c r="BB293" i="3"/>
  <c r="BC293" i="3"/>
  <c r="BD293" i="3"/>
  <c r="BE293" i="3"/>
  <c r="BA293" i="3" s="1"/>
  <c r="BF293" i="3"/>
  <c r="BG293" i="3"/>
  <c r="BH293" i="3"/>
  <c r="BI293" i="3"/>
  <c r="BJ293" i="3"/>
  <c r="BK293" i="3"/>
  <c r="BB294" i="3"/>
  <c r="BC294" i="3"/>
  <c r="BD294" i="3"/>
  <c r="BE294" i="3"/>
  <c r="BF294" i="3"/>
  <c r="BG294" i="3"/>
  <c r="BH294" i="3"/>
  <c r="BI294" i="3"/>
  <c r="BJ294" i="3"/>
  <c r="BK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B299" i="3"/>
  <c r="BC299" i="3"/>
  <c r="BD299" i="3"/>
  <c r="BE299" i="3"/>
  <c r="BF299" i="3"/>
  <c r="BG299" i="3"/>
  <c r="BH299" i="3"/>
  <c r="BI299" i="3"/>
  <c r="BJ299" i="3"/>
  <c r="BK299" i="3"/>
  <c r="BB300" i="3"/>
  <c r="BC300" i="3"/>
  <c r="BD300" i="3"/>
  <c r="BE300" i="3"/>
  <c r="BF300" i="3"/>
  <c r="BG300" i="3"/>
  <c r="BH300" i="3"/>
  <c r="BA300" i="3" s="1"/>
  <c r="BI300" i="3"/>
  <c r="BJ300" i="3"/>
  <c r="BK300" i="3"/>
  <c r="BB301" i="3"/>
  <c r="BC301" i="3"/>
  <c r="BD301" i="3"/>
  <c r="BE301" i="3"/>
  <c r="BA301" i="3" s="1"/>
  <c r="BF301" i="3"/>
  <c r="BG301" i="3"/>
  <c r="BH301" i="3"/>
  <c r="BI301" i="3"/>
  <c r="BJ301" i="3"/>
  <c r="BK301" i="3"/>
  <c r="BB302" i="3"/>
  <c r="BC302" i="3"/>
  <c r="BD302" i="3"/>
  <c r="BE302" i="3"/>
  <c r="BF302" i="3"/>
  <c r="BG302" i="3"/>
  <c r="BH302" i="3"/>
  <c r="BI302" i="3"/>
  <c r="BJ302" i="3"/>
  <c r="BK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A306" i="3" s="1"/>
  <c r="BC306" i="3"/>
  <c r="BD306" i="3"/>
  <c r="BE306" i="3"/>
  <c r="BF306" i="3"/>
  <c r="BG306" i="3"/>
  <c r="BH306" i="3"/>
  <c r="BI306" i="3"/>
  <c r="BJ306" i="3"/>
  <c r="BK306" i="3"/>
  <c r="BB307" i="3"/>
  <c r="BC307" i="3"/>
  <c r="BD307" i="3"/>
  <c r="BE307" i="3"/>
  <c r="BF307" i="3"/>
  <c r="BG307" i="3"/>
  <c r="BH307" i="3"/>
  <c r="BI307" i="3"/>
  <c r="BJ307" i="3"/>
  <c r="BK307" i="3"/>
  <c r="BB308" i="3"/>
  <c r="BC308" i="3"/>
  <c r="BD308" i="3"/>
  <c r="BE308" i="3"/>
  <c r="BF308" i="3"/>
  <c r="BG308" i="3"/>
  <c r="BH308" i="3"/>
  <c r="BA308" i="3" s="1"/>
  <c r="BI308" i="3"/>
  <c r="BJ308" i="3"/>
  <c r="BK308" i="3"/>
  <c r="BB309" i="3"/>
  <c r="BC309" i="3"/>
  <c r="BD309" i="3"/>
  <c r="BE309" i="3"/>
  <c r="BA309" i="3" s="1"/>
  <c r="BF309" i="3"/>
  <c r="BG309" i="3"/>
  <c r="BH309" i="3"/>
  <c r="BI309" i="3"/>
  <c r="BJ309" i="3"/>
  <c r="BK309" i="3"/>
  <c r="BB310" i="3"/>
  <c r="BC310" i="3"/>
  <c r="BD310" i="3"/>
  <c r="BE310" i="3"/>
  <c r="BF310" i="3"/>
  <c r="BG310" i="3"/>
  <c r="BH310" i="3"/>
  <c r="BI310" i="3"/>
  <c r="BJ310" i="3"/>
  <c r="BK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A313" i="3" s="1"/>
  <c r="BC313" i="3"/>
  <c r="BD313" i="3"/>
  <c r="BE313" i="3"/>
  <c r="BF313" i="3"/>
  <c r="BG313" i="3"/>
  <c r="BH313" i="3"/>
  <c r="BI313" i="3"/>
  <c r="BJ313" i="3"/>
  <c r="BK313" i="3"/>
  <c r="BB314" i="3"/>
  <c r="BA314" i="3" s="1"/>
  <c r="BC314" i="3"/>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A316" i="3" s="1"/>
  <c r="BI316" i="3"/>
  <c r="BJ316" i="3"/>
  <c r="BK316" i="3"/>
  <c r="BB317" i="3"/>
  <c r="BC317" i="3"/>
  <c r="BD317" i="3"/>
  <c r="BE317" i="3"/>
  <c r="BA317" i="3" s="1"/>
  <c r="BF317" i="3"/>
  <c r="BG317" i="3"/>
  <c r="BH317" i="3"/>
  <c r="BI317" i="3"/>
  <c r="BJ317" i="3"/>
  <c r="BK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A322" i="3" s="1"/>
  <c r="BC322" i="3"/>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A324" i="3" s="1"/>
  <c r="BI324" i="3"/>
  <c r="BJ324" i="3"/>
  <c r="BK324" i="3"/>
  <c r="BB325" i="3"/>
  <c r="BC325" i="3"/>
  <c r="BD325" i="3"/>
  <c r="BE325" i="3"/>
  <c r="BA325" i="3" s="1"/>
  <c r="BF325" i="3"/>
  <c r="BG325" i="3"/>
  <c r="BH325" i="3"/>
  <c r="BI325" i="3"/>
  <c r="BJ325" i="3"/>
  <c r="BK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A330" i="3" s="1"/>
  <c r="BC330" i="3"/>
  <c r="BD330" i="3"/>
  <c r="BE330" i="3"/>
  <c r="BF330" i="3"/>
  <c r="BG330" i="3"/>
  <c r="BH330" i="3"/>
  <c r="BI330" i="3"/>
  <c r="BJ330" i="3"/>
  <c r="BK330" i="3"/>
  <c r="BB331" i="3"/>
  <c r="BC331" i="3"/>
  <c r="BD331" i="3"/>
  <c r="BE331" i="3"/>
  <c r="BF331" i="3"/>
  <c r="BG331" i="3"/>
  <c r="BH331" i="3"/>
  <c r="BI331" i="3"/>
  <c r="BJ331" i="3"/>
  <c r="BK331" i="3"/>
  <c r="BB332" i="3"/>
  <c r="BC332" i="3"/>
  <c r="BD332" i="3"/>
  <c r="BE332" i="3"/>
  <c r="BF332" i="3"/>
  <c r="BG332" i="3"/>
  <c r="BH332" i="3"/>
  <c r="BA332" i="3" s="1"/>
  <c r="BI332" i="3"/>
  <c r="BJ332" i="3"/>
  <c r="BK332" i="3"/>
  <c r="BB333" i="3"/>
  <c r="BC333" i="3"/>
  <c r="BD333" i="3"/>
  <c r="BE333" i="3"/>
  <c r="BA333" i="3" s="1"/>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B336" i="3"/>
  <c r="BC336" i="3"/>
  <c r="BD336" i="3"/>
  <c r="BE336" i="3"/>
  <c r="BF336" i="3"/>
  <c r="BG336" i="3"/>
  <c r="BH336" i="3"/>
  <c r="BI336" i="3"/>
  <c r="BJ336" i="3"/>
  <c r="BK336" i="3"/>
  <c r="BA336" i="3"/>
  <c r="BB337" i="3"/>
  <c r="BA337" i="3" s="1"/>
  <c r="BC337" i="3"/>
  <c r="BD337" i="3"/>
  <c r="BE337" i="3"/>
  <c r="BF337" i="3"/>
  <c r="BG337" i="3"/>
  <c r="BH337" i="3"/>
  <c r="BI337" i="3"/>
  <c r="BJ337" i="3"/>
  <c r="BK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A340" i="3" s="1"/>
  <c r="BI340" i="3"/>
  <c r="BJ340" i="3"/>
  <c r="BK340" i="3"/>
  <c r="BB341" i="3"/>
  <c r="BC341" i="3"/>
  <c r="BD341" i="3"/>
  <c r="BE341" i="3"/>
  <c r="BA341" i="3" s="1"/>
  <c r="BF341" i="3"/>
  <c r="BG341" i="3"/>
  <c r="BH341" i="3"/>
  <c r="BI341" i="3"/>
  <c r="BJ341" i="3"/>
  <c r="BK341" i="3"/>
  <c r="BB342" i="3"/>
  <c r="BC342" i="3"/>
  <c r="BD342" i="3"/>
  <c r="BE342" i="3"/>
  <c r="BF342" i="3"/>
  <c r="BG342" i="3"/>
  <c r="BH342" i="3"/>
  <c r="BI342" i="3"/>
  <c r="BJ342" i="3"/>
  <c r="BK342" i="3"/>
  <c r="BB343" i="3"/>
  <c r="BC343" i="3"/>
  <c r="BD343" i="3"/>
  <c r="BE343" i="3"/>
  <c r="BF343" i="3"/>
  <c r="BG343" i="3"/>
  <c r="BH343" i="3"/>
  <c r="BI343" i="3"/>
  <c r="BJ343" i="3"/>
  <c r="BK343" i="3"/>
  <c r="BB344" i="3"/>
  <c r="BC344" i="3"/>
  <c r="BD344" i="3"/>
  <c r="BE344" i="3"/>
  <c r="BF344" i="3"/>
  <c r="BG344" i="3"/>
  <c r="BH344" i="3"/>
  <c r="BI344" i="3"/>
  <c r="BJ344" i="3"/>
  <c r="BK344" i="3"/>
  <c r="BA344" i="3"/>
  <c r="BB345" i="3"/>
  <c r="BA345" i="3" s="1"/>
  <c r="BC345" i="3"/>
  <c r="BD345" i="3"/>
  <c r="BE345" i="3"/>
  <c r="BF345" i="3"/>
  <c r="BG345" i="3"/>
  <c r="BH345" i="3"/>
  <c r="BI345" i="3"/>
  <c r="BJ345" i="3"/>
  <c r="BK345" i="3"/>
  <c r="BB346" i="3"/>
  <c r="BC346" i="3"/>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A348" i="3" s="1"/>
  <c r="BI348" i="3"/>
  <c r="BJ348" i="3"/>
  <c r="BK348" i="3"/>
  <c r="BB349" i="3"/>
  <c r="BC349" i="3"/>
  <c r="BD349" i="3"/>
  <c r="BE349" i="3"/>
  <c r="BA349" i="3" s="1"/>
  <c r="BF349" i="3"/>
  <c r="BG349" i="3"/>
  <c r="BH349" i="3"/>
  <c r="BI349" i="3"/>
  <c r="BJ349" i="3"/>
  <c r="BK349" i="3"/>
  <c r="BB350" i="3"/>
  <c r="BC350" i="3"/>
  <c r="BD350" i="3"/>
  <c r="BE350" i="3"/>
  <c r="BF350" i="3"/>
  <c r="BG350" i="3"/>
  <c r="BH350" i="3"/>
  <c r="BI350" i="3"/>
  <c r="BJ350" i="3"/>
  <c r="BK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B355" i="3"/>
  <c r="BC355" i="3"/>
  <c r="BD355" i="3"/>
  <c r="BE355" i="3"/>
  <c r="BF355" i="3"/>
  <c r="BG355" i="3"/>
  <c r="BH355" i="3"/>
  <c r="BI355" i="3"/>
  <c r="BJ355" i="3"/>
  <c r="BK355" i="3"/>
  <c r="BB356" i="3"/>
  <c r="BC356" i="3"/>
  <c r="BD356" i="3"/>
  <c r="BE356" i="3"/>
  <c r="BF356" i="3"/>
  <c r="BG356" i="3"/>
  <c r="BH356" i="3"/>
  <c r="BA356" i="3" s="1"/>
  <c r="BI356" i="3"/>
  <c r="BJ356" i="3"/>
  <c r="BK356" i="3"/>
  <c r="BB357" i="3"/>
  <c r="BC357" i="3"/>
  <c r="BD357" i="3"/>
  <c r="BE357" i="3"/>
  <c r="BA357" i="3" s="1"/>
  <c r="BF357" i="3"/>
  <c r="BG357" i="3"/>
  <c r="BH357" i="3"/>
  <c r="BI357" i="3"/>
  <c r="BJ357" i="3"/>
  <c r="BK357" i="3"/>
  <c r="BB358" i="3"/>
  <c r="BC358" i="3"/>
  <c r="BD358" i="3"/>
  <c r="BE358" i="3"/>
  <c r="BF358" i="3"/>
  <c r="BG358" i="3"/>
  <c r="BH358" i="3"/>
  <c r="BI358" i="3"/>
  <c r="BJ358" i="3"/>
  <c r="BK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B363" i="3"/>
  <c r="BC363" i="3"/>
  <c r="BD363" i="3"/>
  <c r="BE363" i="3"/>
  <c r="BF363" i="3"/>
  <c r="BG363" i="3"/>
  <c r="BH363" i="3"/>
  <c r="BI363" i="3"/>
  <c r="BJ363" i="3"/>
  <c r="BK363" i="3"/>
  <c r="BB364" i="3"/>
  <c r="BC364" i="3"/>
  <c r="BD364" i="3"/>
  <c r="BE364" i="3"/>
  <c r="BF364" i="3"/>
  <c r="BG364" i="3"/>
  <c r="BH364" i="3"/>
  <c r="BA364" i="3" s="1"/>
  <c r="BI364" i="3"/>
  <c r="BJ364" i="3"/>
  <c r="BK364" i="3"/>
  <c r="BB365" i="3"/>
  <c r="BC365" i="3"/>
  <c r="BD365" i="3"/>
  <c r="BE365" i="3"/>
  <c r="BA365" i="3" s="1"/>
  <c r="BF365" i="3"/>
  <c r="BG365" i="3"/>
  <c r="BH365" i="3"/>
  <c r="BI365" i="3"/>
  <c r="BJ365" i="3"/>
  <c r="BK365" i="3"/>
  <c r="BB366" i="3"/>
  <c r="BC366" i="3"/>
  <c r="BD366" i="3"/>
  <c r="BE366" i="3"/>
  <c r="BF366" i="3"/>
  <c r="BG366" i="3"/>
  <c r="BH366" i="3"/>
  <c r="BI366" i="3"/>
  <c r="BJ366" i="3"/>
  <c r="BK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A370" i="3" s="1"/>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A372" i="3" s="1"/>
  <c r="BI372" i="3"/>
  <c r="BJ372" i="3"/>
  <c r="BK372" i="3"/>
  <c r="BB373" i="3"/>
  <c r="BC373" i="3"/>
  <c r="BD373" i="3"/>
  <c r="BE373" i="3"/>
  <c r="BA373" i="3" s="1"/>
  <c r="BF373" i="3"/>
  <c r="BG373" i="3"/>
  <c r="BH373" i="3"/>
  <c r="BI373" i="3"/>
  <c r="BJ373" i="3"/>
  <c r="BK373" i="3"/>
  <c r="BB374" i="3"/>
  <c r="BC374" i="3"/>
  <c r="BD374" i="3"/>
  <c r="BE374" i="3"/>
  <c r="BF374" i="3"/>
  <c r="BG374" i="3"/>
  <c r="BH374" i="3"/>
  <c r="BI374" i="3"/>
  <c r="BJ374" i="3"/>
  <c r="BK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A377" i="3" s="1"/>
  <c r="BC377" i="3"/>
  <c r="BD377" i="3"/>
  <c r="BE377" i="3"/>
  <c r="BF377" i="3"/>
  <c r="BG377" i="3"/>
  <c r="BH377" i="3"/>
  <c r="BI377" i="3"/>
  <c r="BJ377" i="3"/>
  <c r="BK377" i="3"/>
  <c r="BB378" i="3"/>
  <c r="BA378" i="3" s="1"/>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A380" i="3" s="1"/>
  <c r="BI380" i="3"/>
  <c r="BJ380" i="3"/>
  <c r="BK380" i="3"/>
  <c r="BB381" i="3"/>
  <c r="BC381" i="3"/>
  <c r="BD381" i="3"/>
  <c r="BE381" i="3"/>
  <c r="BA381" i="3" s="1"/>
  <c r="BF381" i="3"/>
  <c r="BG381" i="3"/>
  <c r="BH381" i="3"/>
  <c r="BI381" i="3"/>
  <c r="BJ381" i="3"/>
  <c r="BK381" i="3"/>
  <c r="BB382" i="3"/>
  <c r="BC382" i="3"/>
  <c r="BD382" i="3"/>
  <c r="BE382" i="3"/>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A386" i="3" s="1"/>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A388" i="3" s="1"/>
  <c r="BI388" i="3"/>
  <c r="BJ388" i="3"/>
  <c r="BK388" i="3"/>
  <c r="BB389" i="3"/>
  <c r="BC389" i="3"/>
  <c r="BD389" i="3"/>
  <c r="BE389" i="3"/>
  <c r="BA389" i="3" s="1"/>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A394" i="3" s="1"/>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A396" i="3" s="1"/>
  <c r="BI396" i="3"/>
  <c r="BJ396" i="3"/>
  <c r="BK396" i="3"/>
  <c r="BB397" i="3"/>
  <c r="BC397" i="3"/>
  <c r="BD397" i="3"/>
  <c r="BE397" i="3"/>
  <c r="BA397" i="3" s="1"/>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B400" i="3"/>
  <c r="BC400" i="3"/>
  <c r="BD400" i="3"/>
  <c r="BE400" i="3"/>
  <c r="BF400" i="3"/>
  <c r="BG400" i="3"/>
  <c r="BH400" i="3"/>
  <c r="BI400" i="3"/>
  <c r="BJ400" i="3"/>
  <c r="BK400" i="3"/>
  <c r="BA400" i="3"/>
  <c r="BB401" i="3"/>
  <c r="BA401" i="3" s="1"/>
  <c r="BC401" i="3"/>
  <c r="BD401" i="3"/>
  <c r="BE401" i="3"/>
  <c r="BF401" i="3"/>
  <c r="BG401" i="3"/>
  <c r="BH401" i="3"/>
  <c r="BI401" i="3"/>
  <c r="BJ401" i="3"/>
  <c r="BK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A404" i="3" s="1"/>
  <c r="BI404" i="3"/>
  <c r="BJ404" i="3"/>
  <c r="BK404" i="3"/>
  <c r="BB405" i="3"/>
  <c r="BC405" i="3"/>
  <c r="BD405" i="3"/>
  <c r="BE405" i="3"/>
  <c r="BA405" i="3" s="1"/>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B408" i="3"/>
  <c r="BC408" i="3"/>
  <c r="BD408" i="3"/>
  <c r="BE408" i="3"/>
  <c r="BF408" i="3"/>
  <c r="BG408" i="3"/>
  <c r="BH408" i="3"/>
  <c r="BI408" i="3"/>
  <c r="BJ408" i="3"/>
  <c r="BK408" i="3"/>
  <c r="BA408" i="3"/>
  <c r="BB409" i="3"/>
  <c r="BA409" i="3" s="1"/>
  <c r="BC409" i="3"/>
  <c r="BD409" i="3"/>
  <c r="BE409" i="3"/>
  <c r="BF409" i="3"/>
  <c r="BG409" i="3"/>
  <c r="BH409" i="3"/>
  <c r="BI409" i="3"/>
  <c r="BJ409" i="3"/>
  <c r="BK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A412" i="3" s="1"/>
  <c r="BI412" i="3"/>
  <c r="BJ412" i="3"/>
  <c r="BK412" i="3"/>
  <c r="BB413" i="3"/>
  <c r="BC413" i="3"/>
  <c r="BD413" i="3"/>
  <c r="BE413" i="3"/>
  <c r="BA413" i="3" s="1"/>
  <c r="BF413" i="3"/>
  <c r="BG413" i="3"/>
  <c r="BH413" i="3"/>
  <c r="BI413" i="3"/>
  <c r="BJ413" i="3"/>
  <c r="BK413" i="3"/>
  <c r="BB414" i="3"/>
  <c r="BC414" i="3"/>
  <c r="BD414" i="3"/>
  <c r="BE414" i="3"/>
  <c r="BF414" i="3"/>
  <c r="BG414" i="3"/>
  <c r="BH414" i="3"/>
  <c r="BI414" i="3"/>
  <c r="BJ414" i="3"/>
  <c r="BK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A421" i="3" s="1"/>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A426" i="3" s="1"/>
  <c r="BC426" i="3"/>
  <c r="BD426" i="3"/>
  <c r="BE426" i="3"/>
  <c r="BF426" i="3"/>
  <c r="BG426" i="3"/>
  <c r="BH426" i="3"/>
  <c r="BI426" i="3"/>
  <c r="BJ426" i="3"/>
  <c r="BK426" i="3"/>
  <c r="BB427" i="3"/>
  <c r="BC427" i="3"/>
  <c r="BA427" i="3" s="1"/>
  <c r="BD427" i="3"/>
  <c r="BE427" i="3"/>
  <c r="BF427" i="3"/>
  <c r="BG427" i="3"/>
  <c r="BH427" i="3"/>
  <c r="BI427" i="3"/>
  <c r="BJ427" i="3"/>
  <c r="BK427" i="3"/>
  <c r="BB428" i="3"/>
  <c r="BC428" i="3"/>
  <c r="BD428" i="3"/>
  <c r="BE428" i="3"/>
  <c r="BF428" i="3"/>
  <c r="BG428" i="3"/>
  <c r="BH428" i="3"/>
  <c r="BA428" i="3" s="1"/>
  <c r="BI428" i="3"/>
  <c r="BJ428" i="3"/>
  <c r="BK428" i="3"/>
  <c r="BB429" i="3"/>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A436" i="3" s="1"/>
  <c r="BI436" i="3"/>
  <c r="BJ436" i="3"/>
  <c r="BK436" i="3"/>
  <c r="BB437" i="3"/>
  <c r="BC437" i="3"/>
  <c r="BD437" i="3"/>
  <c r="BE437" i="3"/>
  <c r="BA437" i="3" s="1"/>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B440" i="3"/>
  <c r="BC440" i="3"/>
  <c r="BD440" i="3"/>
  <c r="BE440" i="3"/>
  <c r="BA440" i="3" s="1"/>
  <c r="BF440" i="3"/>
  <c r="BG440" i="3"/>
  <c r="BH440" i="3"/>
  <c r="BI440" i="3"/>
  <c r="BJ440" i="3"/>
  <c r="BK440" i="3"/>
  <c r="BB441" i="3"/>
  <c r="BC441" i="3"/>
  <c r="BD441" i="3"/>
  <c r="BE441" i="3"/>
  <c r="BF441" i="3"/>
  <c r="BG441" i="3"/>
  <c r="BH441" i="3"/>
  <c r="BI441" i="3"/>
  <c r="BJ441" i="3"/>
  <c r="BK441" i="3"/>
  <c r="BB442" i="3"/>
  <c r="BC442" i="3"/>
  <c r="BD442" i="3"/>
  <c r="BE442" i="3"/>
  <c r="BF442" i="3"/>
  <c r="BG442" i="3"/>
  <c r="BH442" i="3"/>
  <c r="BI442" i="3"/>
  <c r="BJ442" i="3"/>
  <c r="BK442" i="3"/>
  <c r="BB443" i="3"/>
  <c r="BC443" i="3"/>
  <c r="BA443" i="3" s="1"/>
  <c r="BD443" i="3"/>
  <c r="BE443" i="3"/>
  <c r="BF443" i="3"/>
  <c r="BG443" i="3"/>
  <c r="BH443" i="3"/>
  <c r="BI443" i="3"/>
  <c r="BJ443" i="3"/>
  <c r="BK443" i="3"/>
  <c r="BB444" i="3"/>
  <c r="BC444" i="3"/>
  <c r="BD444" i="3"/>
  <c r="BE444" i="3"/>
  <c r="BF444" i="3"/>
  <c r="BG444" i="3"/>
  <c r="BH444" i="3"/>
  <c r="BA444" i="3" s="1"/>
  <c r="BI444" i="3"/>
  <c r="BJ444" i="3"/>
  <c r="BK444" i="3"/>
  <c r="BB445" i="3"/>
  <c r="BC445" i="3"/>
  <c r="BD445" i="3"/>
  <c r="BE445" i="3"/>
  <c r="BF445" i="3"/>
  <c r="BG445" i="3"/>
  <c r="BH445" i="3"/>
  <c r="BI445" i="3"/>
  <c r="BJ445" i="3"/>
  <c r="BK445" i="3"/>
  <c r="BB446" i="3"/>
  <c r="BC446" i="3"/>
  <c r="BD446" i="3"/>
  <c r="BE446" i="3"/>
  <c r="BF446" i="3"/>
  <c r="BG446" i="3"/>
  <c r="BH446" i="3"/>
  <c r="BI446" i="3"/>
  <c r="BJ446" i="3"/>
  <c r="BK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A453" i="3" s="1"/>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A456" i="3" s="1"/>
  <c r="BF456" i="3"/>
  <c r="BG456" i="3"/>
  <c r="BH456" i="3"/>
  <c r="BI456" i="3"/>
  <c r="BJ456" i="3"/>
  <c r="BK456" i="3"/>
  <c r="BB457" i="3"/>
  <c r="BC457" i="3"/>
  <c r="BD457" i="3"/>
  <c r="BE457" i="3"/>
  <c r="BF457" i="3"/>
  <c r="BG457" i="3"/>
  <c r="BH457" i="3"/>
  <c r="BI457" i="3"/>
  <c r="BJ457" i="3"/>
  <c r="BK457" i="3"/>
  <c r="BB458" i="3"/>
  <c r="BA458" i="3" s="1"/>
  <c r="BC458" i="3"/>
  <c r="BD458" i="3"/>
  <c r="BE458" i="3"/>
  <c r="BF458" i="3"/>
  <c r="BG458" i="3"/>
  <c r="BH458" i="3"/>
  <c r="BI458" i="3"/>
  <c r="BJ458" i="3"/>
  <c r="BK458" i="3"/>
  <c r="BB459" i="3"/>
  <c r="BC459" i="3"/>
  <c r="BA459" i="3" s="1"/>
  <c r="BD459" i="3"/>
  <c r="BE459" i="3"/>
  <c r="BF459" i="3"/>
  <c r="BG459" i="3"/>
  <c r="BH459" i="3"/>
  <c r="BI459" i="3"/>
  <c r="BJ459" i="3"/>
  <c r="BK459" i="3"/>
  <c r="BB460" i="3"/>
  <c r="BC460" i="3"/>
  <c r="BD460" i="3"/>
  <c r="BE460" i="3"/>
  <c r="BF460" i="3"/>
  <c r="BG460" i="3"/>
  <c r="BH460" i="3"/>
  <c r="BA460" i="3" s="1"/>
  <c r="BI460" i="3"/>
  <c r="BJ460" i="3"/>
  <c r="BK460" i="3"/>
  <c r="BB461" i="3"/>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A472" i="3" s="1"/>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B475" i="3"/>
  <c r="BC475" i="3"/>
  <c r="BA475" i="3" s="1"/>
  <c r="BD475" i="3"/>
  <c r="BE475" i="3"/>
  <c r="BF475" i="3"/>
  <c r="BG475" i="3"/>
  <c r="BH475" i="3"/>
  <c r="BI475" i="3"/>
  <c r="BJ475" i="3"/>
  <c r="BK475" i="3"/>
  <c r="BB476" i="3"/>
  <c r="BC476" i="3"/>
  <c r="BD476" i="3"/>
  <c r="BE476" i="3"/>
  <c r="BF476" i="3"/>
  <c r="BG476" i="3"/>
  <c r="BH476" i="3"/>
  <c r="BA476" i="3" s="1"/>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A485" i="3" s="1"/>
  <c r="BF485" i="3"/>
  <c r="BG485" i="3"/>
  <c r="BH485" i="3"/>
  <c r="BI485" i="3"/>
  <c r="BJ485" i="3"/>
  <c r="BK485" i="3"/>
  <c r="BB486" i="3"/>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A488" i="3" s="1"/>
  <c r="BF488" i="3"/>
  <c r="BG488" i="3"/>
  <c r="BH488" i="3"/>
  <c r="BI488" i="3"/>
  <c r="BJ488" i="3"/>
  <c r="BK488" i="3"/>
  <c r="BB489" i="3"/>
  <c r="BC489" i="3"/>
  <c r="BD489" i="3"/>
  <c r="BE489" i="3"/>
  <c r="BF489" i="3"/>
  <c r="BG489" i="3"/>
  <c r="BH489" i="3"/>
  <c r="BI489" i="3"/>
  <c r="BJ489" i="3"/>
  <c r="BK489" i="3"/>
  <c r="BB490" i="3"/>
  <c r="BA490" i="3" s="1"/>
  <c r="BC490" i="3"/>
  <c r="BD490" i="3"/>
  <c r="BE490" i="3"/>
  <c r="BF490" i="3"/>
  <c r="BG490" i="3"/>
  <c r="BH490" i="3"/>
  <c r="BI490" i="3"/>
  <c r="BJ490" i="3"/>
  <c r="BK490" i="3"/>
  <c r="BB491" i="3"/>
  <c r="BC491" i="3"/>
  <c r="BD491" i="3"/>
  <c r="BE491" i="3"/>
  <c r="BF491" i="3"/>
  <c r="BG491" i="3"/>
  <c r="BH491" i="3"/>
  <c r="BI491" i="3"/>
  <c r="BJ491" i="3"/>
  <c r="BK491" i="3"/>
  <c r="BB492" i="3"/>
  <c r="BC492" i="3"/>
  <c r="BD492" i="3"/>
  <c r="BE492" i="3"/>
  <c r="BF492" i="3"/>
  <c r="BG492" i="3"/>
  <c r="BH492" i="3"/>
  <c r="BA492" i="3" s="1"/>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A501" i="3" s="1"/>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A504" i="3" s="1"/>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B507" i="3"/>
  <c r="BC507" i="3"/>
  <c r="BA507" i="3" s="1"/>
  <c r="BD507" i="3"/>
  <c r="BE507" i="3"/>
  <c r="BF507" i="3"/>
  <c r="BG507" i="3"/>
  <c r="BH507" i="3"/>
  <c r="BI507" i="3"/>
  <c r="BJ507" i="3"/>
  <c r="BK507" i="3"/>
  <c r="BB508" i="3"/>
  <c r="BC508" i="3"/>
  <c r="BD508" i="3"/>
  <c r="BE508" i="3"/>
  <c r="BF508" i="3"/>
  <c r="BG508" i="3"/>
  <c r="BH508" i="3"/>
  <c r="BA508" i="3" s="1"/>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A517" i="3" s="1"/>
  <c r="BF517" i="3"/>
  <c r="BG517" i="3"/>
  <c r="BH517" i="3"/>
  <c r="BI517" i="3"/>
  <c r="BJ517" i="3"/>
  <c r="BK517" i="3"/>
  <c r="BB518" i="3"/>
  <c r="BC518" i="3"/>
  <c r="BD518" i="3"/>
  <c r="BE518" i="3"/>
  <c r="BF518" i="3"/>
  <c r="BG518" i="3"/>
  <c r="BH518" i="3"/>
  <c r="BI518" i="3"/>
  <c r="BJ518" i="3"/>
  <c r="BK518" i="3"/>
  <c r="BB519" i="3"/>
  <c r="BC519" i="3"/>
  <c r="BD519" i="3"/>
  <c r="BE519" i="3"/>
  <c r="BF519" i="3"/>
  <c r="BG519" i="3"/>
  <c r="BH519" i="3"/>
  <c r="BI519" i="3"/>
  <c r="BJ519" i="3"/>
  <c r="BK519" i="3"/>
  <c r="BB520" i="3"/>
  <c r="BC520" i="3"/>
  <c r="BD520" i="3"/>
  <c r="BE520" i="3"/>
  <c r="BA520" i="3" s="1"/>
  <c r="BF520" i="3"/>
  <c r="BG520" i="3"/>
  <c r="BH520" i="3"/>
  <c r="BI520" i="3"/>
  <c r="BJ520" i="3"/>
  <c r="BK520" i="3"/>
  <c r="BB521" i="3"/>
  <c r="BC521" i="3"/>
  <c r="BD521" i="3"/>
  <c r="BE521" i="3"/>
  <c r="BF521" i="3"/>
  <c r="BG521" i="3"/>
  <c r="BH521" i="3"/>
  <c r="BI521" i="3"/>
  <c r="BJ521" i="3"/>
  <c r="BK521" i="3"/>
  <c r="BB522" i="3"/>
  <c r="BA522" i="3" s="1"/>
  <c r="BC522" i="3"/>
  <c r="BD522" i="3"/>
  <c r="BE522" i="3"/>
  <c r="BF522" i="3"/>
  <c r="BG522" i="3"/>
  <c r="BH522" i="3"/>
  <c r="BI522" i="3"/>
  <c r="BJ522" i="3"/>
  <c r="BK522" i="3"/>
  <c r="BB523" i="3"/>
  <c r="BC523" i="3"/>
  <c r="BD523" i="3"/>
  <c r="BE523" i="3"/>
  <c r="BF523" i="3"/>
  <c r="BG523" i="3"/>
  <c r="BH523" i="3"/>
  <c r="BI523" i="3"/>
  <c r="BJ523" i="3"/>
  <c r="BK523" i="3"/>
  <c r="BB524" i="3"/>
  <c r="BC524" i="3"/>
  <c r="BD524" i="3"/>
  <c r="BE524" i="3"/>
  <c r="BF524" i="3"/>
  <c r="BG524" i="3"/>
  <c r="BH524" i="3"/>
  <c r="BA524" i="3" s="1"/>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B535" i="3"/>
  <c r="BC535" i="3"/>
  <c r="BD535" i="3"/>
  <c r="BE535" i="3"/>
  <c r="BF535" i="3"/>
  <c r="BG535" i="3"/>
  <c r="BH535" i="3"/>
  <c r="BI535" i="3"/>
  <c r="BJ535" i="3"/>
  <c r="BK535" i="3"/>
  <c r="BB536" i="3"/>
  <c r="BC536" i="3"/>
  <c r="BD536" i="3"/>
  <c r="BE536" i="3"/>
  <c r="BA536" i="3" s="1"/>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A540" i="3" s="1"/>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A549" i="3" s="1"/>
  <c r="BF549" i="3"/>
  <c r="BG549" i="3"/>
  <c r="BH549" i="3"/>
  <c r="BI549" i="3"/>
  <c r="BJ549" i="3"/>
  <c r="BK549" i="3"/>
  <c r="BB550" i="3"/>
  <c r="BC550" i="3"/>
  <c r="BD550" i="3"/>
  <c r="BE550" i="3"/>
  <c r="BF550" i="3"/>
  <c r="BG550" i="3"/>
  <c r="BH550" i="3"/>
  <c r="BI550" i="3"/>
  <c r="BJ550" i="3"/>
  <c r="BK550" i="3"/>
  <c r="BB551" i="3"/>
  <c r="BC551" i="3"/>
  <c r="BD551" i="3"/>
  <c r="BE551" i="3"/>
  <c r="BF551" i="3"/>
  <c r="BG551" i="3"/>
  <c r="BH551" i="3"/>
  <c r="BI551" i="3"/>
  <c r="BJ551" i="3"/>
  <c r="BK551" i="3"/>
  <c r="BB552" i="3"/>
  <c r="BC552" i="3"/>
  <c r="BD552" i="3"/>
  <c r="BE552" i="3"/>
  <c r="BA552" i="3" s="1"/>
  <c r="BF552" i="3"/>
  <c r="BG552" i="3"/>
  <c r="BH552" i="3"/>
  <c r="BI552" i="3"/>
  <c r="BJ552" i="3"/>
  <c r="BK552" i="3"/>
  <c r="BB553" i="3"/>
  <c r="BC553" i="3"/>
  <c r="BD553" i="3"/>
  <c r="BE553" i="3"/>
  <c r="BF553" i="3"/>
  <c r="BG553" i="3"/>
  <c r="BH553" i="3"/>
  <c r="BI553" i="3"/>
  <c r="BJ553" i="3"/>
  <c r="BK553" i="3"/>
  <c r="BB554" i="3"/>
  <c r="BA554" i="3" s="1"/>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A556" i="3" s="1"/>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B563" i="3"/>
  <c r="BC563" i="3"/>
  <c r="BD563" i="3"/>
  <c r="BE563" i="3"/>
  <c r="BF563" i="3"/>
  <c r="BG563" i="3"/>
  <c r="BH563" i="3"/>
  <c r="BI563" i="3"/>
  <c r="BJ563" i="3"/>
  <c r="BK563" i="3"/>
  <c r="BA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B567" i="3"/>
  <c r="BC567" i="3"/>
  <c r="BD567" i="3"/>
  <c r="BE567" i="3"/>
  <c r="BF567" i="3"/>
  <c r="BG567" i="3"/>
  <c r="BH567" i="3"/>
  <c r="BI567" i="3"/>
  <c r="BJ567" i="3"/>
  <c r="BK567" i="3"/>
  <c r="BB568" i="3"/>
  <c r="BC568" i="3"/>
  <c r="BD568" i="3"/>
  <c r="BE568" i="3"/>
  <c r="BA568" i="3" s="1"/>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A576" i="3" s="1"/>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A579" i="3"/>
  <c r="BB580" i="3"/>
  <c r="BC580" i="3"/>
  <c r="BD580" i="3"/>
  <c r="BE580" i="3"/>
  <c r="BF580" i="3"/>
  <c r="BG580" i="3"/>
  <c r="BH580" i="3"/>
  <c r="BI580" i="3"/>
  <c r="BJ580" i="3"/>
  <c r="BK580" i="3"/>
  <c r="BB581" i="3"/>
  <c r="BC581" i="3"/>
  <c r="BD581" i="3"/>
  <c r="BE581" i="3"/>
  <c r="BF581" i="3"/>
  <c r="BG581" i="3"/>
  <c r="BH581" i="3"/>
  <c r="BI581" i="3"/>
  <c r="BJ581" i="3"/>
  <c r="BK581" i="3"/>
  <c r="BB582" i="3"/>
  <c r="BC582" i="3"/>
  <c r="BD582" i="3"/>
  <c r="BE582" i="3"/>
  <c r="BF582" i="3"/>
  <c r="BG582" i="3"/>
  <c r="BH582" i="3"/>
  <c r="BI582" i="3"/>
  <c r="BJ582" i="3"/>
  <c r="BK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B587" i="3"/>
  <c r="BC587" i="3"/>
  <c r="BD587" i="3"/>
  <c r="BE587" i="3"/>
  <c r="BF587" i="3"/>
  <c r="BG587" i="3"/>
  <c r="BA587" i="3" s="1"/>
  <c r="BH587" i="3"/>
  <c r="BI587" i="3"/>
  <c r="BJ587" i="3"/>
  <c r="BK587" i="3"/>
  <c r="B31" i="1"/>
  <c r="E19" i="68" s="1"/>
  <c r="E46" i="39"/>
  <c r="R46" i="39"/>
  <c r="E7" i="39"/>
  <c r="I3" i="71"/>
  <c r="AD3" i="7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c r="AG8" i="71"/>
  <c r="AH8" i="71"/>
  <c r="AD9" i="71"/>
  <c r="AE9" i="71"/>
  <c r="AF9" i="71" s="1"/>
  <c r="AG9" i="71"/>
  <c r="AH9" i="71"/>
  <c r="AD10" i="71"/>
  <c r="AE10" i="71"/>
  <c r="AF10" i="7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D39" i="71"/>
  <c r="AE39" i="71"/>
  <c r="AF39" i="71" s="1"/>
  <c r="AG39" i="71"/>
  <c r="AH39" i="71"/>
  <c r="AD40" i="71"/>
  <c r="AE40" i="71"/>
  <c r="AF40" i="71"/>
  <c r="AG40" i="71"/>
  <c r="AH40" i="71"/>
  <c r="D70" i="39"/>
  <c r="E70" i="39"/>
  <c r="F70" i="39"/>
  <c r="G70" i="39" s="1"/>
  <c r="H70" i="39" s="1"/>
  <c r="I70" i="39" s="1"/>
  <c r="J70" i="39"/>
  <c r="K70" i="39" s="1"/>
  <c r="L70" i="39" s="1"/>
  <c r="M70" i="39" s="1"/>
  <c r="N70" i="39" s="1"/>
  <c r="O70" i="39" s="1"/>
  <c r="F8" i="39"/>
  <c r="AA8" i="39" s="1"/>
  <c r="F9" i="39"/>
  <c r="AA9" i="39" s="1"/>
  <c r="E11" i="39"/>
  <c r="D80" i="39"/>
  <c r="E80" i="39"/>
  <c r="F80" i="39" s="1"/>
  <c r="G80" i="39" s="1"/>
  <c r="H80" i="39" s="1"/>
  <c r="C11" i="39"/>
  <c r="F11" i="39" s="1"/>
  <c r="AA11" i="39" s="1"/>
  <c r="B81" i="39"/>
  <c r="F12" i="39"/>
  <c r="AA12" i="39" s="1"/>
  <c r="B83" i="39"/>
  <c r="F13" i="39" s="1"/>
  <c r="AA13" i="39"/>
  <c r="B85" i="39"/>
  <c r="F14" i="39"/>
  <c r="AA14" i="39" s="1"/>
  <c r="F15" i="39"/>
  <c r="AA15" i="39" s="1"/>
  <c r="D90" i="39"/>
  <c r="F17" i="39" s="1"/>
  <c r="AA17" i="39" s="1"/>
  <c r="F19" i="39"/>
  <c r="AA19" i="39" s="1"/>
  <c r="D94" i="39"/>
  <c r="F21" i="39"/>
  <c r="AA21" i="39" s="1"/>
  <c r="D96" i="39"/>
  <c r="F23" i="39" s="1"/>
  <c r="AA23" i="39" s="1"/>
  <c r="D98" i="39"/>
  <c r="F25" i="39" s="1"/>
  <c r="AA25" i="39" s="1"/>
  <c r="D100" i="39"/>
  <c r="E100" i="39" s="1"/>
  <c r="F27" i="39" s="1"/>
  <c r="AA27" i="39" s="1"/>
  <c r="D102" i="39"/>
  <c r="F29" i="39" s="1"/>
  <c r="AA29" i="39" s="1"/>
  <c r="B103" i="39"/>
  <c r="F31" i="39"/>
  <c r="AA31" i="39" s="1"/>
  <c r="D106" i="39"/>
  <c r="E106" i="39" s="1"/>
  <c r="F106" i="39"/>
  <c r="F32" i="39" s="1"/>
  <c r="AA32" i="39" s="1"/>
  <c r="F34" i="39"/>
  <c r="AA34" i="39"/>
  <c r="B109" i="39"/>
  <c r="F35" i="39"/>
  <c r="AA35" i="39" s="1"/>
  <c r="B111" i="39"/>
  <c r="F36" i="39" s="1"/>
  <c r="AA36" i="39" s="1"/>
  <c r="B113" i="39"/>
  <c r="F37" i="39" s="1"/>
  <c r="AA37" i="39" s="1"/>
  <c r="E38" i="39"/>
  <c r="F38" i="39" s="1"/>
  <c r="AA38" i="39" s="1"/>
  <c r="F39" i="39"/>
  <c r="AA39" i="39" s="1"/>
  <c r="F40" i="39"/>
  <c r="AA40" i="39"/>
  <c r="D123" i="39"/>
  <c r="E123" i="39"/>
  <c r="F41" i="39" s="1"/>
  <c r="AA41" i="39" s="1"/>
  <c r="D125" i="39"/>
  <c r="F42" i="39" s="1"/>
  <c r="AA42" i="39" s="1"/>
  <c r="B126" i="39"/>
  <c r="F43" i="39" s="1"/>
  <c r="AA43" i="39"/>
  <c r="B128" i="39"/>
  <c r="F44" i="39" s="1"/>
  <c r="AA44" i="39" s="1"/>
  <c r="B130" i="39"/>
  <c r="F45" i="39" s="1"/>
  <c r="AA45" i="39" s="1"/>
  <c r="F13" i="73"/>
  <c r="B22" i="1"/>
  <c r="E1" i="73" s="1"/>
  <c r="K1" i="73" s="1"/>
  <c r="F21" i="68"/>
  <c r="B23" i="1"/>
  <c r="B24" i="1"/>
  <c r="F35" i="68"/>
  <c r="E37" i="68"/>
  <c r="F38" i="68"/>
  <c r="F20" i="68"/>
  <c r="B43" i="1"/>
  <c r="B41" i="1" s="1"/>
  <c r="A7" i="1"/>
  <c r="K7" i="1"/>
  <c r="M7" i="1"/>
  <c r="A8" i="1"/>
  <c r="K8" i="1"/>
  <c r="M8" i="1" s="1"/>
  <c r="A9" i="1"/>
  <c r="K9" i="1" s="1"/>
  <c r="M9" i="1" s="1"/>
  <c r="A10" i="1"/>
  <c r="K10" i="1"/>
  <c r="M10" i="1" s="1"/>
  <c r="A11" i="1"/>
  <c r="K11" i="1"/>
  <c r="M11" i="1" s="1"/>
  <c r="A12" i="1"/>
  <c r="K12" i="1" s="1"/>
  <c r="M12" i="1" s="1"/>
  <c r="A13" i="1"/>
  <c r="K13" i="1"/>
  <c r="M13" i="1" s="1"/>
  <c r="N20" i="1"/>
  <c r="N22" i="1"/>
  <c r="N6" i="1" s="1"/>
  <c r="G1" i="15"/>
  <c r="F15" i="15"/>
  <c r="F17" i="15"/>
  <c r="F18" i="15"/>
  <c r="F20" i="15"/>
  <c r="F23" i="15"/>
  <c r="F21" i="15"/>
  <c r="F28" i="15"/>
  <c r="F33" i="15"/>
  <c r="BM13" i="3"/>
  <c r="BL13" i="3" s="1"/>
  <c r="AZ13" i="3" s="1"/>
  <c r="BN13" i="3"/>
  <c r="BO13" i="3"/>
  <c r="BP13" i="3"/>
  <c r="BM14" i="3"/>
  <c r="BN14" i="3"/>
  <c r="BO14" i="3"/>
  <c r="BP14" i="3"/>
  <c r="BM15" i="3"/>
  <c r="BN15" i="3"/>
  <c r="BO15" i="3"/>
  <c r="BL15" i="3" s="1"/>
  <c r="BP15" i="3"/>
  <c r="BM16" i="3"/>
  <c r="BN16" i="3"/>
  <c r="BO16" i="3"/>
  <c r="BP16" i="3"/>
  <c r="BL16" i="3"/>
  <c r="AZ16" i="3"/>
  <c r="BM17" i="3"/>
  <c r="BL17" i="3" s="1"/>
  <c r="AZ17" i="3" s="1"/>
  <c r="BN17" i="3"/>
  <c r="BO17" i="3"/>
  <c r="BP17" i="3"/>
  <c r="BM18" i="3"/>
  <c r="BN18" i="3"/>
  <c r="BO18" i="3"/>
  <c r="BP18" i="3"/>
  <c r="BM19" i="3"/>
  <c r="BN19" i="3"/>
  <c r="BO19" i="3"/>
  <c r="BP19" i="3"/>
  <c r="BL19" i="3"/>
  <c r="BM20" i="3"/>
  <c r="BN20" i="3"/>
  <c r="BL20" i="3" s="1"/>
  <c r="AZ20" i="3" s="1"/>
  <c r="BO20" i="3"/>
  <c r="BP20" i="3"/>
  <c r="BM21" i="3"/>
  <c r="BL21" i="3" s="1"/>
  <c r="AZ21" i="3" s="1"/>
  <c r="BN21" i="3"/>
  <c r="BO21" i="3"/>
  <c r="BP21" i="3"/>
  <c r="BM22" i="3"/>
  <c r="BN22" i="3"/>
  <c r="BO22" i="3"/>
  <c r="BP22" i="3"/>
  <c r="BM23" i="3"/>
  <c r="BN23" i="3"/>
  <c r="BO23" i="3"/>
  <c r="BP23" i="3"/>
  <c r="BL23" i="3"/>
  <c r="BM24" i="3"/>
  <c r="BN24" i="3"/>
  <c r="BL24" i="3" s="1"/>
  <c r="AZ24" i="3" s="1"/>
  <c r="BO24" i="3"/>
  <c r="BP24" i="3"/>
  <c r="BM25" i="3"/>
  <c r="BL25" i="3" s="1"/>
  <c r="AZ25" i="3" s="1"/>
  <c r="BN25" i="3"/>
  <c r="BO25" i="3"/>
  <c r="BP25" i="3"/>
  <c r="BM26" i="3"/>
  <c r="BN26" i="3"/>
  <c r="BO26" i="3"/>
  <c r="BP26" i="3"/>
  <c r="BM27" i="3"/>
  <c r="BL27" i="3" s="1"/>
  <c r="BN27" i="3"/>
  <c r="BO27" i="3"/>
  <c r="BP27" i="3"/>
  <c r="BM28" i="3"/>
  <c r="BN28" i="3"/>
  <c r="BO28" i="3"/>
  <c r="BL28" i="3" s="1"/>
  <c r="AZ28" i="3" s="1"/>
  <c r="BP28" i="3"/>
  <c r="BM29" i="3"/>
  <c r="BN29" i="3"/>
  <c r="BL29" i="3" s="1"/>
  <c r="AZ29" i="3" s="1"/>
  <c r="BO29" i="3"/>
  <c r="BP29" i="3"/>
  <c r="BM30" i="3"/>
  <c r="BN30" i="3"/>
  <c r="BO30" i="3"/>
  <c r="BP30" i="3"/>
  <c r="BM31" i="3"/>
  <c r="BL31" i="3" s="1"/>
  <c r="AZ31" i="3" s="1"/>
  <c r="BN31" i="3"/>
  <c r="BO31" i="3"/>
  <c r="BP31" i="3"/>
  <c r="BM32" i="3"/>
  <c r="BN32" i="3"/>
  <c r="BO32" i="3"/>
  <c r="BP32" i="3"/>
  <c r="BM33" i="3"/>
  <c r="BN33" i="3"/>
  <c r="BO33" i="3"/>
  <c r="BP33" i="3"/>
  <c r="BL33" i="3" s="1"/>
  <c r="BM34" i="3"/>
  <c r="BN34" i="3"/>
  <c r="BO34" i="3"/>
  <c r="BP34" i="3"/>
  <c r="BM35" i="3"/>
  <c r="BN35" i="3"/>
  <c r="BO35" i="3"/>
  <c r="BP35" i="3"/>
  <c r="BM36" i="3"/>
  <c r="BN36" i="3"/>
  <c r="BL36" i="3" s="1"/>
  <c r="AZ36" i="3" s="1"/>
  <c r="BO36" i="3"/>
  <c r="BP36" i="3"/>
  <c r="BM37" i="3"/>
  <c r="BN37" i="3"/>
  <c r="BO37" i="3"/>
  <c r="BP37" i="3"/>
  <c r="BL37" i="3"/>
  <c r="AZ37" i="3" s="1"/>
  <c r="BM38" i="3"/>
  <c r="BL38" i="3" s="1"/>
  <c r="BN38" i="3"/>
  <c r="BO38" i="3"/>
  <c r="BP38" i="3"/>
  <c r="BM39" i="3"/>
  <c r="BN39" i="3"/>
  <c r="BO39" i="3"/>
  <c r="BP39" i="3"/>
  <c r="BM40" i="3"/>
  <c r="BN40" i="3"/>
  <c r="BO40" i="3"/>
  <c r="BL40" i="3" s="1"/>
  <c r="BP40" i="3"/>
  <c r="AZ40" i="3"/>
  <c r="BM41" i="3"/>
  <c r="BN41" i="3"/>
  <c r="BO41" i="3"/>
  <c r="BP41" i="3"/>
  <c r="BL41" i="3"/>
  <c r="BM42" i="3"/>
  <c r="BN42" i="3"/>
  <c r="BO42" i="3"/>
  <c r="BP42" i="3"/>
  <c r="BM43" i="3"/>
  <c r="BN43" i="3"/>
  <c r="BL43" i="3" s="1"/>
  <c r="BO43" i="3"/>
  <c r="BP43" i="3"/>
  <c r="BM44" i="3"/>
  <c r="BN44" i="3"/>
  <c r="BO44" i="3"/>
  <c r="BP44" i="3"/>
  <c r="BL44" i="3" s="1"/>
  <c r="AZ44" i="3" s="1"/>
  <c r="BM45" i="3"/>
  <c r="BL45" i="3" s="1"/>
  <c r="BN45" i="3"/>
  <c r="BO45" i="3"/>
  <c r="BP45" i="3"/>
  <c r="AZ45" i="3"/>
  <c r="BM46" i="3"/>
  <c r="BN46" i="3"/>
  <c r="BO46" i="3"/>
  <c r="BP46" i="3"/>
  <c r="BM47" i="3"/>
  <c r="BN47" i="3"/>
  <c r="BO47" i="3"/>
  <c r="BP47" i="3"/>
  <c r="BM48" i="3"/>
  <c r="BN48" i="3"/>
  <c r="BO48" i="3"/>
  <c r="BP48" i="3"/>
  <c r="BL48" i="3"/>
  <c r="AZ48" i="3"/>
  <c r="BM49" i="3"/>
  <c r="BL49" i="3" s="1"/>
  <c r="BN49" i="3"/>
  <c r="BO49" i="3"/>
  <c r="BP49" i="3"/>
  <c r="BM50" i="3"/>
  <c r="BN50" i="3"/>
  <c r="BO50" i="3"/>
  <c r="BP50" i="3"/>
  <c r="BM51" i="3"/>
  <c r="BN51" i="3"/>
  <c r="BO51" i="3"/>
  <c r="BP51" i="3"/>
  <c r="BL51" i="3" s="1"/>
  <c r="BM52" i="3"/>
  <c r="BN52" i="3"/>
  <c r="BL52" i="3" s="1"/>
  <c r="BO52" i="3"/>
  <c r="BP52" i="3"/>
  <c r="AZ52" i="3"/>
  <c r="BM53" i="3"/>
  <c r="BL53" i="3" s="1"/>
  <c r="BN53" i="3"/>
  <c r="BO53" i="3"/>
  <c r="BP53" i="3"/>
  <c r="BM54" i="3"/>
  <c r="BN54" i="3"/>
  <c r="BO54" i="3"/>
  <c r="BP54" i="3"/>
  <c r="BM55" i="3"/>
  <c r="BN55" i="3"/>
  <c r="BO55" i="3"/>
  <c r="BP55" i="3"/>
  <c r="BL55" i="3"/>
  <c r="AZ55" i="3" s="1"/>
  <c r="BM56" i="3"/>
  <c r="BL56" i="3" s="1"/>
  <c r="AZ56" i="3" s="1"/>
  <c r="BN56" i="3"/>
  <c r="BO56" i="3"/>
  <c r="BP56" i="3"/>
  <c r="BM57" i="3"/>
  <c r="BN57" i="3"/>
  <c r="BO57" i="3"/>
  <c r="BP57" i="3"/>
  <c r="BM58" i="3"/>
  <c r="BN58" i="3"/>
  <c r="BO58" i="3"/>
  <c r="BL58" i="3" s="1"/>
  <c r="BP58" i="3"/>
  <c r="AZ58" i="3"/>
  <c r="BM59" i="3"/>
  <c r="BN59" i="3"/>
  <c r="BL59" i="3" s="1"/>
  <c r="BO59" i="3"/>
  <c r="BP59" i="3"/>
  <c r="BM60" i="3"/>
  <c r="BN60" i="3"/>
  <c r="BO60" i="3"/>
  <c r="BP60" i="3"/>
  <c r="BM61" i="3"/>
  <c r="BL61" i="3" s="1"/>
  <c r="AZ61" i="3" s="1"/>
  <c r="BN61" i="3"/>
  <c r="BO61" i="3"/>
  <c r="BP61" i="3"/>
  <c r="BM62" i="3"/>
  <c r="BN62" i="3"/>
  <c r="BO62" i="3"/>
  <c r="BP62" i="3"/>
  <c r="BM63" i="3"/>
  <c r="BN63" i="3"/>
  <c r="BO63" i="3"/>
  <c r="BP63" i="3"/>
  <c r="BL63" i="3"/>
  <c r="AZ63" i="3" s="1"/>
  <c r="BM64" i="3"/>
  <c r="BL64" i="3" s="1"/>
  <c r="AZ64" i="3" s="1"/>
  <c r="BN64" i="3"/>
  <c r="BO64" i="3"/>
  <c r="BP64" i="3"/>
  <c r="BM65" i="3"/>
  <c r="BN65" i="3"/>
  <c r="BO65" i="3"/>
  <c r="BP65" i="3"/>
  <c r="BM66" i="3"/>
  <c r="BN66" i="3"/>
  <c r="BO66" i="3"/>
  <c r="BL66" i="3" s="1"/>
  <c r="BP66" i="3"/>
  <c r="AZ66" i="3"/>
  <c r="BM67" i="3"/>
  <c r="BN67" i="3"/>
  <c r="BL67" i="3" s="1"/>
  <c r="BO67" i="3"/>
  <c r="BP67" i="3"/>
  <c r="BM68" i="3"/>
  <c r="BN68" i="3"/>
  <c r="BO68" i="3"/>
  <c r="BP68" i="3"/>
  <c r="BM69" i="3"/>
  <c r="BL69" i="3" s="1"/>
  <c r="AZ69" i="3" s="1"/>
  <c r="BN69" i="3"/>
  <c r="BO69" i="3"/>
  <c r="BP69" i="3"/>
  <c r="BM70" i="3"/>
  <c r="BN70" i="3"/>
  <c r="BO70" i="3"/>
  <c r="BP70" i="3"/>
  <c r="BM71" i="3"/>
  <c r="BN71" i="3"/>
  <c r="BO71" i="3"/>
  <c r="BP71" i="3"/>
  <c r="BL71" i="3"/>
  <c r="BM72" i="3"/>
  <c r="BL72" i="3" s="1"/>
  <c r="AZ72" i="3" s="1"/>
  <c r="BN72" i="3"/>
  <c r="BO72" i="3"/>
  <c r="BP72" i="3"/>
  <c r="BM73" i="3"/>
  <c r="BN73" i="3"/>
  <c r="BO73" i="3"/>
  <c r="BP73" i="3"/>
  <c r="BM74" i="3"/>
  <c r="BN74" i="3"/>
  <c r="BO74" i="3"/>
  <c r="BL74" i="3" s="1"/>
  <c r="BP74" i="3"/>
  <c r="AZ74" i="3"/>
  <c r="BM75" i="3"/>
  <c r="BN75" i="3"/>
  <c r="BL75" i="3" s="1"/>
  <c r="BO75" i="3"/>
  <c r="BP75" i="3"/>
  <c r="BM76" i="3"/>
  <c r="BN76" i="3"/>
  <c r="BO76" i="3"/>
  <c r="BP76" i="3"/>
  <c r="BM77" i="3"/>
  <c r="BL77" i="3" s="1"/>
  <c r="AZ77" i="3" s="1"/>
  <c r="BN77" i="3"/>
  <c r="BO77" i="3"/>
  <c r="BP77" i="3"/>
  <c r="BM78" i="3"/>
  <c r="BN78" i="3"/>
  <c r="BO78" i="3"/>
  <c r="BP78" i="3"/>
  <c r="BM79" i="3"/>
  <c r="BN79" i="3"/>
  <c r="BO79" i="3"/>
  <c r="BP79" i="3"/>
  <c r="BL79" i="3"/>
  <c r="BM80" i="3"/>
  <c r="BL80" i="3" s="1"/>
  <c r="AZ80" i="3" s="1"/>
  <c r="BN80" i="3"/>
  <c r="BO80" i="3"/>
  <c r="BP80" i="3"/>
  <c r="BM81" i="3"/>
  <c r="BN81" i="3"/>
  <c r="BO81" i="3"/>
  <c r="BP81" i="3"/>
  <c r="BM82" i="3"/>
  <c r="BN82" i="3"/>
  <c r="BO82" i="3"/>
  <c r="BL82" i="3" s="1"/>
  <c r="BP82" i="3"/>
  <c r="BM83" i="3"/>
  <c r="BN83" i="3"/>
  <c r="BL83" i="3" s="1"/>
  <c r="BO83" i="3"/>
  <c r="BP83" i="3"/>
  <c r="BM84" i="3"/>
  <c r="BN84" i="3"/>
  <c r="BO84" i="3"/>
  <c r="BP84" i="3"/>
  <c r="BM85" i="3"/>
  <c r="BL85" i="3" s="1"/>
  <c r="AZ85" i="3" s="1"/>
  <c r="BN85" i="3"/>
  <c r="BO85" i="3"/>
  <c r="BP85" i="3"/>
  <c r="BM86" i="3"/>
  <c r="BN86" i="3"/>
  <c r="BO86" i="3"/>
  <c r="BP86" i="3"/>
  <c r="BM87" i="3"/>
  <c r="BN87" i="3"/>
  <c r="BO87" i="3"/>
  <c r="BP87" i="3"/>
  <c r="BL87" i="3"/>
  <c r="BM88" i="3"/>
  <c r="BL88" i="3" s="1"/>
  <c r="AZ88" i="3" s="1"/>
  <c r="BN88" i="3"/>
  <c r="BO88" i="3"/>
  <c r="BP88" i="3"/>
  <c r="BM89" i="3"/>
  <c r="BN89" i="3"/>
  <c r="BO89" i="3"/>
  <c r="BP89" i="3"/>
  <c r="BM90" i="3"/>
  <c r="BN90" i="3"/>
  <c r="BO90" i="3"/>
  <c r="BL90" i="3" s="1"/>
  <c r="BP90" i="3"/>
  <c r="BM91" i="3"/>
  <c r="BN91" i="3"/>
  <c r="BL91" i="3" s="1"/>
  <c r="BO91" i="3"/>
  <c r="BP91" i="3"/>
  <c r="BM92" i="3"/>
  <c r="BN92" i="3"/>
  <c r="BO92" i="3"/>
  <c r="BP92" i="3"/>
  <c r="BM93" i="3"/>
  <c r="BN93" i="3"/>
  <c r="BO93" i="3"/>
  <c r="BP93" i="3"/>
  <c r="BM94" i="3"/>
  <c r="BN94" i="3"/>
  <c r="BO94" i="3"/>
  <c r="BP94" i="3"/>
  <c r="BM95" i="3"/>
  <c r="BN95" i="3"/>
  <c r="BL95" i="3" s="1"/>
  <c r="AZ95" i="3" s="1"/>
  <c r="BO95" i="3"/>
  <c r="BP95" i="3"/>
  <c r="BM96" i="3"/>
  <c r="BN96" i="3"/>
  <c r="BO96" i="3"/>
  <c r="BP96" i="3"/>
  <c r="BM97" i="3"/>
  <c r="BN97" i="3"/>
  <c r="BO97" i="3"/>
  <c r="BP97" i="3"/>
  <c r="BM98" i="3"/>
  <c r="BN98" i="3"/>
  <c r="BO98" i="3"/>
  <c r="BL98" i="3" s="1"/>
  <c r="BP98" i="3"/>
  <c r="BM99" i="3"/>
  <c r="BN99" i="3"/>
  <c r="BL99" i="3" s="1"/>
  <c r="BO99" i="3"/>
  <c r="BP99" i="3"/>
  <c r="BM100" i="3"/>
  <c r="BN100" i="3"/>
  <c r="BO100" i="3"/>
  <c r="BP100" i="3"/>
  <c r="BM101" i="3"/>
  <c r="BL101" i="3" s="1"/>
  <c r="AZ101" i="3" s="1"/>
  <c r="BN101" i="3"/>
  <c r="BO101" i="3"/>
  <c r="BP101" i="3"/>
  <c r="BM102" i="3"/>
  <c r="BN102" i="3"/>
  <c r="BO102" i="3"/>
  <c r="BP102" i="3"/>
  <c r="BM103" i="3"/>
  <c r="BN103" i="3"/>
  <c r="BO103" i="3"/>
  <c r="BP103" i="3"/>
  <c r="BL103" i="3"/>
  <c r="AZ103" i="3" s="1"/>
  <c r="BM104" i="3"/>
  <c r="BL104" i="3" s="1"/>
  <c r="AZ104" i="3" s="1"/>
  <c r="BN104" i="3"/>
  <c r="BO104" i="3"/>
  <c r="BP104" i="3"/>
  <c r="BM105" i="3"/>
  <c r="BN105" i="3"/>
  <c r="BO105" i="3"/>
  <c r="BP105" i="3"/>
  <c r="BM106" i="3"/>
  <c r="BN106" i="3"/>
  <c r="BO106" i="3"/>
  <c r="BL106" i="3" s="1"/>
  <c r="BP106" i="3"/>
  <c r="BM107" i="3"/>
  <c r="BN107" i="3"/>
  <c r="BL107" i="3" s="1"/>
  <c r="BO107" i="3"/>
  <c r="BP107" i="3"/>
  <c r="BM108" i="3"/>
  <c r="BN108" i="3"/>
  <c r="BO108" i="3"/>
  <c r="BP108" i="3"/>
  <c r="BM109" i="3"/>
  <c r="BN109" i="3"/>
  <c r="BO109" i="3"/>
  <c r="BP109" i="3"/>
  <c r="BM110" i="3"/>
  <c r="BN110" i="3"/>
  <c r="BO110" i="3"/>
  <c r="BP110" i="3"/>
  <c r="BM111" i="3"/>
  <c r="BN111" i="3"/>
  <c r="BL111" i="3" s="1"/>
  <c r="AZ111" i="3" s="1"/>
  <c r="BO111" i="3"/>
  <c r="BP111" i="3"/>
  <c r="BM112" i="3"/>
  <c r="BN112" i="3"/>
  <c r="BO112" i="3"/>
  <c r="BP112" i="3"/>
  <c r="BM113" i="3"/>
  <c r="BN113" i="3"/>
  <c r="BO113" i="3"/>
  <c r="BP113" i="3"/>
  <c r="BM114" i="3"/>
  <c r="BN114" i="3"/>
  <c r="BO114" i="3"/>
  <c r="BL114" i="3" s="1"/>
  <c r="AZ114" i="3" s="1"/>
  <c r="BP114" i="3"/>
  <c r="BM115" i="3"/>
  <c r="BN115" i="3"/>
  <c r="BL115" i="3" s="1"/>
  <c r="BO115" i="3"/>
  <c r="BP115" i="3"/>
  <c r="BM116" i="3"/>
  <c r="BN116" i="3"/>
  <c r="BO116" i="3"/>
  <c r="BP116" i="3"/>
  <c r="BM117" i="3"/>
  <c r="BN117" i="3"/>
  <c r="BO117" i="3"/>
  <c r="BP117" i="3"/>
  <c r="BM118" i="3"/>
  <c r="BN118" i="3"/>
  <c r="BO118" i="3"/>
  <c r="BP118" i="3"/>
  <c r="BM119" i="3"/>
  <c r="BN119" i="3"/>
  <c r="BO119" i="3"/>
  <c r="BP119" i="3"/>
  <c r="BL119" i="3"/>
  <c r="AZ119" i="3" s="1"/>
  <c r="BM120" i="3"/>
  <c r="BN120" i="3"/>
  <c r="BO120" i="3"/>
  <c r="BP120" i="3"/>
  <c r="BM121" i="3"/>
  <c r="BN121" i="3"/>
  <c r="BO121" i="3"/>
  <c r="BP121" i="3"/>
  <c r="BM122" i="3"/>
  <c r="BN122" i="3"/>
  <c r="BO122" i="3"/>
  <c r="BL122" i="3" s="1"/>
  <c r="AZ122" i="3" s="1"/>
  <c r="BP122" i="3"/>
  <c r="BM123" i="3"/>
  <c r="BN123" i="3"/>
  <c r="BL123" i="3" s="1"/>
  <c r="BO123" i="3"/>
  <c r="BP123" i="3"/>
  <c r="BM124" i="3"/>
  <c r="BN124" i="3"/>
  <c r="BO124" i="3"/>
  <c r="BP124" i="3"/>
  <c r="BM125" i="3"/>
  <c r="BL125" i="3" s="1"/>
  <c r="AZ125" i="3" s="1"/>
  <c r="BN125" i="3"/>
  <c r="BO125" i="3"/>
  <c r="BP125" i="3"/>
  <c r="BM126" i="3"/>
  <c r="BN126" i="3"/>
  <c r="BO126" i="3"/>
  <c r="BP126" i="3"/>
  <c r="BM127" i="3"/>
  <c r="BN127" i="3"/>
  <c r="BL127" i="3" s="1"/>
  <c r="BO127" i="3"/>
  <c r="BP127" i="3"/>
  <c r="BM128" i="3"/>
  <c r="BN128" i="3"/>
  <c r="BO128" i="3"/>
  <c r="BP128" i="3"/>
  <c r="BM129" i="3"/>
  <c r="BN129" i="3"/>
  <c r="BO129" i="3"/>
  <c r="BP129" i="3"/>
  <c r="BM130" i="3"/>
  <c r="BN130" i="3"/>
  <c r="BO130" i="3"/>
  <c r="BL130" i="3" s="1"/>
  <c r="AZ130" i="3" s="1"/>
  <c r="BP130" i="3"/>
  <c r="BM131" i="3"/>
  <c r="BN131" i="3"/>
  <c r="BL131" i="3" s="1"/>
  <c r="BO131" i="3"/>
  <c r="BP131" i="3"/>
  <c r="BM132" i="3"/>
  <c r="BN132" i="3"/>
  <c r="BO132" i="3"/>
  <c r="BP132" i="3"/>
  <c r="BM133" i="3"/>
  <c r="BN133" i="3"/>
  <c r="BO133" i="3"/>
  <c r="BP133" i="3"/>
  <c r="BM134" i="3"/>
  <c r="BN134" i="3"/>
  <c r="BO134" i="3"/>
  <c r="BP134" i="3"/>
  <c r="BM135" i="3"/>
  <c r="BN135" i="3"/>
  <c r="BL135" i="3" s="1"/>
  <c r="BO135" i="3"/>
  <c r="BP135" i="3"/>
  <c r="BM136" i="3"/>
  <c r="BN136" i="3"/>
  <c r="BO136" i="3"/>
  <c r="BP136" i="3"/>
  <c r="BM137" i="3"/>
  <c r="BN137" i="3"/>
  <c r="BO137" i="3"/>
  <c r="BP137" i="3"/>
  <c r="BM138" i="3"/>
  <c r="BN138" i="3"/>
  <c r="BO138" i="3"/>
  <c r="BL138" i="3" s="1"/>
  <c r="BP138" i="3"/>
  <c r="AZ138" i="3"/>
  <c r="BM139" i="3"/>
  <c r="BN139" i="3"/>
  <c r="BL139" i="3" s="1"/>
  <c r="BO139" i="3"/>
  <c r="BP139" i="3"/>
  <c r="BM140" i="3"/>
  <c r="BN140" i="3"/>
  <c r="BO140" i="3"/>
  <c r="BP140" i="3"/>
  <c r="BM141" i="3"/>
  <c r="BL141" i="3" s="1"/>
  <c r="BN141" i="3"/>
  <c r="BO141" i="3"/>
  <c r="BP141" i="3"/>
  <c r="BM142" i="3"/>
  <c r="BN142" i="3"/>
  <c r="BO142" i="3"/>
  <c r="BP142" i="3"/>
  <c r="BM143" i="3"/>
  <c r="BN143" i="3"/>
  <c r="BO143" i="3"/>
  <c r="BP143" i="3"/>
  <c r="BL143" i="3"/>
  <c r="BM144" i="3"/>
  <c r="BL144" i="3" s="1"/>
  <c r="AZ144" i="3" s="1"/>
  <c r="BN144" i="3"/>
  <c r="BO144" i="3"/>
  <c r="BP144" i="3"/>
  <c r="BM145" i="3"/>
  <c r="BN145" i="3"/>
  <c r="BO145" i="3"/>
  <c r="BP145" i="3"/>
  <c r="BM146" i="3"/>
  <c r="BN146" i="3"/>
  <c r="BO146" i="3"/>
  <c r="BL146" i="3" s="1"/>
  <c r="BP146" i="3"/>
  <c r="BM147" i="3"/>
  <c r="BN147" i="3"/>
  <c r="BL147" i="3" s="1"/>
  <c r="BO147" i="3"/>
  <c r="BP147" i="3"/>
  <c r="BM148" i="3"/>
  <c r="BN148" i="3"/>
  <c r="BO148" i="3"/>
  <c r="BP148" i="3"/>
  <c r="BM149" i="3"/>
  <c r="BL149" i="3" s="1"/>
  <c r="AZ149" i="3" s="1"/>
  <c r="BN149" i="3"/>
  <c r="BO149" i="3"/>
  <c r="BP149" i="3"/>
  <c r="BM150" i="3"/>
  <c r="BN150" i="3"/>
  <c r="BO150" i="3"/>
  <c r="BP150" i="3"/>
  <c r="BM151" i="3"/>
  <c r="BN151" i="3"/>
  <c r="BL151" i="3" s="1"/>
  <c r="BO151" i="3"/>
  <c r="BP151" i="3"/>
  <c r="BM152" i="3"/>
  <c r="BN152" i="3"/>
  <c r="BO152" i="3"/>
  <c r="BP152" i="3"/>
  <c r="BM153" i="3"/>
  <c r="BN153" i="3"/>
  <c r="BO153" i="3"/>
  <c r="BP153" i="3"/>
  <c r="BM154" i="3"/>
  <c r="BN154" i="3"/>
  <c r="BO154" i="3"/>
  <c r="BL154" i="3" s="1"/>
  <c r="BP154" i="3"/>
  <c r="BM155" i="3"/>
  <c r="BN155" i="3"/>
  <c r="BL155" i="3" s="1"/>
  <c r="BO155" i="3"/>
  <c r="BP155" i="3"/>
  <c r="BM156" i="3"/>
  <c r="BN156" i="3"/>
  <c r="BO156" i="3"/>
  <c r="BP156" i="3"/>
  <c r="BM157" i="3"/>
  <c r="BN157" i="3"/>
  <c r="BO157" i="3"/>
  <c r="BP157" i="3"/>
  <c r="BM158" i="3"/>
  <c r="BN158" i="3"/>
  <c r="BO158" i="3"/>
  <c r="BP158" i="3"/>
  <c r="BM159" i="3"/>
  <c r="BN159" i="3"/>
  <c r="BO159" i="3"/>
  <c r="BP159" i="3"/>
  <c r="BL159" i="3"/>
  <c r="AZ159" i="3" s="1"/>
  <c r="BM160" i="3"/>
  <c r="BL160" i="3" s="1"/>
  <c r="AZ160" i="3" s="1"/>
  <c r="BN160" i="3"/>
  <c r="BO160" i="3"/>
  <c r="BP160" i="3"/>
  <c r="BM161" i="3"/>
  <c r="BN161" i="3"/>
  <c r="BO161" i="3"/>
  <c r="BP161" i="3"/>
  <c r="BM162" i="3"/>
  <c r="BN162" i="3"/>
  <c r="BO162" i="3"/>
  <c r="BL162" i="3" s="1"/>
  <c r="BP162" i="3"/>
  <c r="BM163" i="3"/>
  <c r="BN163" i="3"/>
  <c r="BL163" i="3" s="1"/>
  <c r="BO163" i="3"/>
  <c r="BP163" i="3"/>
  <c r="BM164" i="3"/>
  <c r="BN164" i="3"/>
  <c r="BO164" i="3"/>
  <c r="BP164" i="3"/>
  <c r="BM165" i="3"/>
  <c r="BN165" i="3"/>
  <c r="BO165" i="3"/>
  <c r="BP165" i="3"/>
  <c r="BM166" i="3"/>
  <c r="BN166" i="3"/>
  <c r="BO166" i="3"/>
  <c r="BP166" i="3"/>
  <c r="BM167" i="3"/>
  <c r="BN167" i="3"/>
  <c r="BO167" i="3"/>
  <c r="BP167" i="3"/>
  <c r="BL167" i="3"/>
  <c r="AZ167" i="3" s="1"/>
  <c r="BM168" i="3"/>
  <c r="BL168" i="3" s="1"/>
  <c r="AZ168" i="3" s="1"/>
  <c r="BN168" i="3"/>
  <c r="BO168" i="3"/>
  <c r="BP168" i="3"/>
  <c r="BM169" i="3"/>
  <c r="BN169" i="3"/>
  <c r="BO169" i="3"/>
  <c r="BP169" i="3"/>
  <c r="BM170" i="3"/>
  <c r="BN170" i="3"/>
  <c r="BO170" i="3"/>
  <c r="BL170" i="3" s="1"/>
  <c r="BP170" i="3"/>
  <c r="BM171" i="3"/>
  <c r="BN171" i="3"/>
  <c r="BL171" i="3" s="1"/>
  <c r="BO171" i="3"/>
  <c r="BP171" i="3"/>
  <c r="BM172" i="3"/>
  <c r="BN172" i="3"/>
  <c r="BO172" i="3"/>
  <c r="BP172" i="3"/>
  <c r="BM173" i="3"/>
  <c r="BN173" i="3"/>
  <c r="BO173" i="3"/>
  <c r="BP173" i="3"/>
  <c r="BM174" i="3"/>
  <c r="BN174" i="3"/>
  <c r="BO174" i="3"/>
  <c r="BP174" i="3"/>
  <c r="BM175" i="3"/>
  <c r="BN175" i="3"/>
  <c r="BL175" i="3" s="1"/>
  <c r="AZ175" i="3" s="1"/>
  <c r="BO175" i="3"/>
  <c r="BP175" i="3"/>
  <c r="BM176" i="3"/>
  <c r="BN176" i="3"/>
  <c r="BO176" i="3"/>
  <c r="BP176" i="3"/>
  <c r="BM177" i="3"/>
  <c r="BN177" i="3"/>
  <c r="BO177" i="3"/>
  <c r="BP177" i="3"/>
  <c r="BM178" i="3"/>
  <c r="BN178" i="3"/>
  <c r="BO178" i="3"/>
  <c r="BL178" i="3" s="1"/>
  <c r="AZ178" i="3" s="1"/>
  <c r="BP178" i="3"/>
  <c r="BM179" i="3"/>
  <c r="BN179" i="3"/>
  <c r="BL179" i="3" s="1"/>
  <c r="BO179" i="3"/>
  <c r="BP179" i="3"/>
  <c r="BM180" i="3"/>
  <c r="BN180" i="3"/>
  <c r="BO180" i="3"/>
  <c r="BP180" i="3"/>
  <c r="BM181" i="3"/>
  <c r="BN181" i="3"/>
  <c r="BO181" i="3"/>
  <c r="BP181" i="3"/>
  <c r="BM182" i="3"/>
  <c r="BN182" i="3"/>
  <c r="BO182" i="3"/>
  <c r="BP182" i="3"/>
  <c r="BM183" i="3"/>
  <c r="BN183" i="3"/>
  <c r="BO183" i="3"/>
  <c r="BP183" i="3"/>
  <c r="BL183" i="3"/>
  <c r="AZ183" i="3" s="1"/>
  <c r="BM184" i="3"/>
  <c r="BN184" i="3"/>
  <c r="BO184" i="3"/>
  <c r="BP184" i="3"/>
  <c r="BM185" i="3"/>
  <c r="BN185" i="3"/>
  <c r="BO185" i="3"/>
  <c r="BP185" i="3"/>
  <c r="BM186" i="3"/>
  <c r="BN186" i="3"/>
  <c r="BO186" i="3"/>
  <c r="BL186" i="3" s="1"/>
  <c r="AZ186" i="3" s="1"/>
  <c r="BP186" i="3"/>
  <c r="BM187" i="3"/>
  <c r="BN187" i="3"/>
  <c r="BL187" i="3" s="1"/>
  <c r="BO187" i="3"/>
  <c r="BP187" i="3"/>
  <c r="BM188" i="3"/>
  <c r="BN188" i="3"/>
  <c r="BO188" i="3"/>
  <c r="BP188" i="3"/>
  <c r="BM189" i="3"/>
  <c r="BL189" i="3" s="1"/>
  <c r="AZ189" i="3" s="1"/>
  <c r="BN189" i="3"/>
  <c r="BO189" i="3"/>
  <c r="BP189" i="3"/>
  <c r="BM190" i="3"/>
  <c r="BN190" i="3"/>
  <c r="BO190" i="3"/>
  <c r="BL190" i="3" s="1"/>
  <c r="BP190" i="3"/>
  <c r="BM191" i="3"/>
  <c r="BL191" i="3" s="1"/>
  <c r="BN191" i="3"/>
  <c r="BO191" i="3"/>
  <c r="BP191" i="3"/>
  <c r="BM192" i="3"/>
  <c r="BN192" i="3"/>
  <c r="BO192" i="3"/>
  <c r="BP192" i="3"/>
  <c r="BM193" i="3"/>
  <c r="BL193" i="3" s="1"/>
  <c r="BN193" i="3"/>
  <c r="BO193" i="3"/>
  <c r="BP193" i="3"/>
  <c r="BM194" i="3"/>
  <c r="BN194" i="3"/>
  <c r="BO194" i="3"/>
  <c r="BP194" i="3"/>
  <c r="BM195" i="3"/>
  <c r="BN195" i="3"/>
  <c r="BO195" i="3"/>
  <c r="BP195" i="3"/>
  <c r="BM196" i="3"/>
  <c r="BN196" i="3"/>
  <c r="BO196" i="3"/>
  <c r="BP196" i="3"/>
  <c r="BM197" i="3"/>
  <c r="BN197" i="3"/>
  <c r="BO197" i="3"/>
  <c r="BP197" i="3"/>
  <c r="BL197" i="3" s="1"/>
  <c r="AZ197" i="3" s="1"/>
  <c r="BM198" i="3"/>
  <c r="BN198" i="3"/>
  <c r="BO198" i="3"/>
  <c r="BP198" i="3"/>
  <c r="BM199" i="3"/>
  <c r="BN199" i="3"/>
  <c r="BO199" i="3"/>
  <c r="BP199" i="3"/>
  <c r="BL199" i="3"/>
  <c r="BM200" i="3"/>
  <c r="BL200" i="3" s="1"/>
  <c r="AZ200" i="3" s="1"/>
  <c r="BN200" i="3"/>
  <c r="BO200" i="3"/>
  <c r="BP200" i="3"/>
  <c r="BM201" i="3"/>
  <c r="BN201" i="3"/>
  <c r="BL201" i="3" s="1"/>
  <c r="BO201" i="3"/>
  <c r="BP201" i="3"/>
  <c r="BM202" i="3"/>
  <c r="BN202" i="3"/>
  <c r="BO202" i="3"/>
  <c r="BP202" i="3"/>
  <c r="BM203" i="3"/>
  <c r="BN203" i="3"/>
  <c r="BL203" i="3" s="1"/>
  <c r="BO203" i="3"/>
  <c r="BP203" i="3"/>
  <c r="BM204" i="3"/>
  <c r="BN204" i="3"/>
  <c r="BO204" i="3"/>
  <c r="BP204" i="3"/>
  <c r="BM205" i="3"/>
  <c r="BN205" i="3"/>
  <c r="BL205" i="3" s="1"/>
  <c r="AZ205" i="3" s="1"/>
  <c r="BO205" i="3"/>
  <c r="BP205" i="3"/>
  <c r="BM206" i="3"/>
  <c r="BN206" i="3"/>
  <c r="BO206" i="3"/>
  <c r="BP206" i="3"/>
  <c r="BM207" i="3"/>
  <c r="BN207" i="3"/>
  <c r="BO207" i="3"/>
  <c r="BP207" i="3"/>
  <c r="BL207" i="3"/>
  <c r="BM208" i="3"/>
  <c r="BN208" i="3"/>
  <c r="BO208" i="3"/>
  <c r="BP208" i="3"/>
  <c r="BM209" i="3"/>
  <c r="BN209" i="3"/>
  <c r="BO209" i="3"/>
  <c r="BP209" i="3"/>
  <c r="BL209" i="3"/>
  <c r="AZ209" i="3"/>
  <c r="BM210" i="3"/>
  <c r="BN210" i="3"/>
  <c r="BO210" i="3"/>
  <c r="BL210" i="3" s="1"/>
  <c r="BP210" i="3"/>
  <c r="BM211" i="3"/>
  <c r="BN211" i="3"/>
  <c r="BL211" i="3" s="1"/>
  <c r="BO211" i="3"/>
  <c r="BP211" i="3"/>
  <c r="BM212" i="3"/>
  <c r="BN212" i="3"/>
  <c r="BO212" i="3"/>
  <c r="BP212" i="3"/>
  <c r="BM213" i="3"/>
  <c r="BL213" i="3" s="1"/>
  <c r="AZ213" i="3" s="1"/>
  <c r="BN213" i="3"/>
  <c r="BO213" i="3"/>
  <c r="BP213" i="3"/>
  <c r="BM214" i="3"/>
  <c r="BN214" i="3"/>
  <c r="BO214" i="3"/>
  <c r="BL214" i="3" s="1"/>
  <c r="BP214" i="3"/>
  <c r="BM215" i="3"/>
  <c r="BN215" i="3"/>
  <c r="BO215" i="3"/>
  <c r="BP215" i="3"/>
  <c r="BL215" i="3"/>
  <c r="BM216" i="3"/>
  <c r="BN216" i="3"/>
  <c r="BO216" i="3"/>
  <c r="BP216" i="3"/>
  <c r="BM217" i="3"/>
  <c r="BN217" i="3"/>
  <c r="BO217" i="3"/>
  <c r="BP217" i="3"/>
  <c r="BM218" i="3"/>
  <c r="BN218" i="3"/>
  <c r="BO218" i="3"/>
  <c r="BL218" i="3" s="1"/>
  <c r="BP218" i="3"/>
  <c r="BM219" i="3"/>
  <c r="BL219" i="3" s="1"/>
  <c r="BN219" i="3"/>
  <c r="BO219" i="3"/>
  <c r="BP219" i="3"/>
  <c r="BM220" i="3"/>
  <c r="BN220" i="3"/>
  <c r="BO220" i="3"/>
  <c r="BP220" i="3"/>
  <c r="BM221" i="3"/>
  <c r="BN221" i="3"/>
  <c r="BO221" i="3"/>
  <c r="BP221" i="3"/>
  <c r="BM222" i="3"/>
  <c r="BN222" i="3"/>
  <c r="BO222" i="3"/>
  <c r="BP222" i="3"/>
  <c r="BM223" i="3"/>
  <c r="BL223" i="3" s="1"/>
  <c r="AZ223" i="3" s="1"/>
  <c r="BN223" i="3"/>
  <c r="BO223" i="3"/>
  <c r="BP223" i="3"/>
  <c r="BM224" i="3"/>
  <c r="BL224" i="3" s="1"/>
  <c r="AZ224" i="3" s="1"/>
  <c r="BN224" i="3"/>
  <c r="BO224" i="3"/>
  <c r="BP224" i="3"/>
  <c r="BM225" i="3"/>
  <c r="BN225" i="3"/>
  <c r="BO225" i="3"/>
  <c r="BP225" i="3"/>
  <c r="BL225" i="3"/>
  <c r="BM226" i="3"/>
  <c r="BN226" i="3"/>
  <c r="BO226" i="3"/>
  <c r="BL226" i="3" s="1"/>
  <c r="BP226" i="3"/>
  <c r="BM227" i="3"/>
  <c r="BN227" i="3"/>
  <c r="BO227" i="3"/>
  <c r="BP227" i="3"/>
  <c r="BM228" i="3"/>
  <c r="BL228" i="3" s="1"/>
  <c r="AZ228" i="3" s="1"/>
  <c r="BN228" i="3"/>
  <c r="BO228" i="3"/>
  <c r="BP228" i="3"/>
  <c r="BM229" i="3"/>
  <c r="BN229" i="3"/>
  <c r="BO229" i="3"/>
  <c r="BP229" i="3"/>
  <c r="BL229" i="3"/>
  <c r="AZ229" i="3" s="1"/>
  <c r="BM230" i="3"/>
  <c r="BN230" i="3"/>
  <c r="BO230" i="3"/>
  <c r="BP230" i="3"/>
  <c r="BM231" i="3"/>
  <c r="BN231" i="3"/>
  <c r="BL231" i="3" s="1"/>
  <c r="AZ231" i="3" s="1"/>
  <c r="BO231" i="3"/>
  <c r="BP231" i="3"/>
  <c r="BM232" i="3"/>
  <c r="BN232" i="3"/>
  <c r="BO232" i="3"/>
  <c r="BP232" i="3"/>
  <c r="BM233" i="3"/>
  <c r="BN233" i="3"/>
  <c r="BL233" i="3" s="1"/>
  <c r="BO233" i="3"/>
  <c r="BP233" i="3"/>
  <c r="BM234" i="3"/>
  <c r="BN234" i="3"/>
  <c r="BO234" i="3"/>
  <c r="BP234" i="3"/>
  <c r="BM235" i="3"/>
  <c r="BN235" i="3"/>
  <c r="BL235" i="3" s="1"/>
  <c r="BO235" i="3"/>
  <c r="BP235" i="3"/>
  <c r="BM236" i="3"/>
  <c r="BN236" i="3"/>
  <c r="BO236" i="3"/>
  <c r="BP236" i="3"/>
  <c r="BM237" i="3"/>
  <c r="BN237" i="3"/>
  <c r="BO237" i="3"/>
  <c r="BP237" i="3"/>
  <c r="BL237" i="3"/>
  <c r="AZ237" i="3"/>
  <c r="BM238" i="3"/>
  <c r="BN238" i="3"/>
  <c r="BO238" i="3"/>
  <c r="BP238" i="3"/>
  <c r="BM239" i="3"/>
  <c r="BN239" i="3"/>
  <c r="BO239" i="3"/>
  <c r="BP239" i="3"/>
  <c r="BL239" i="3"/>
  <c r="AZ239" i="3" s="1"/>
  <c r="BM240" i="3"/>
  <c r="BL240" i="3" s="1"/>
  <c r="AZ240" i="3" s="1"/>
  <c r="BN240" i="3"/>
  <c r="BO240" i="3"/>
  <c r="BP240" i="3"/>
  <c r="BM241" i="3"/>
  <c r="BN241" i="3"/>
  <c r="BO241" i="3"/>
  <c r="BP241" i="3"/>
  <c r="BL241" i="3"/>
  <c r="BM242" i="3"/>
  <c r="BN242" i="3"/>
  <c r="BO242" i="3"/>
  <c r="BL242" i="3" s="1"/>
  <c r="BP242" i="3"/>
  <c r="AZ242" i="3"/>
  <c r="BM243" i="3"/>
  <c r="BN243" i="3"/>
  <c r="BL243" i="3" s="1"/>
  <c r="BO243" i="3"/>
  <c r="BP243" i="3"/>
  <c r="BM244" i="3"/>
  <c r="BN244" i="3"/>
  <c r="BO244" i="3"/>
  <c r="BP244" i="3"/>
  <c r="BM245" i="3"/>
  <c r="BN245" i="3"/>
  <c r="BO245" i="3"/>
  <c r="BP245" i="3"/>
  <c r="BM246" i="3"/>
  <c r="BN246" i="3"/>
  <c r="BO246" i="3"/>
  <c r="BL246" i="3" s="1"/>
  <c r="BP246" i="3"/>
  <c r="BM247" i="3"/>
  <c r="BN247" i="3"/>
  <c r="BO247" i="3"/>
  <c r="BP247" i="3"/>
  <c r="BL247" i="3"/>
  <c r="AZ247" i="3"/>
  <c r="BM248" i="3"/>
  <c r="BN248" i="3"/>
  <c r="BO248" i="3"/>
  <c r="BP248" i="3"/>
  <c r="BM249" i="3"/>
  <c r="BL249" i="3" s="1"/>
  <c r="AZ249" i="3" s="1"/>
  <c r="BN249" i="3"/>
  <c r="BO249" i="3"/>
  <c r="BP249" i="3"/>
  <c r="BM250" i="3"/>
  <c r="BN250" i="3"/>
  <c r="BO250" i="3"/>
  <c r="BL250" i="3" s="1"/>
  <c r="BP250" i="3"/>
  <c r="AZ250" i="3"/>
  <c r="BM251" i="3"/>
  <c r="BL251" i="3" s="1"/>
  <c r="BN251" i="3"/>
  <c r="BO251" i="3"/>
  <c r="BP251" i="3"/>
  <c r="BM252" i="3"/>
  <c r="BN252" i="3"/>
  <c r="BO252" i="3"/>
  <c r="BP252" i="3"/>
  <c r="BM253" i="3"/>
  <c r="BL253" i="3" s="1"/>
  <c r="AZ253" i="3" s="1"/>
  <c r="BN253" i="3"/>
  <c r="BO253" i="3"/>
  <c r="BP253" i="3"/>
  <c r="BM254" i="3"/>
  <c r="BN254" i="3"/>
  <c r="BO254" i="3"/>
  <c r="BP254" i="3"/>
  <c r="BM255" i="3"/>
  <c r="BL255" i="3" s="1"/>
  <c r="BN255" i="3"/>
  <c r="BO255" i="3"/>
  <c r="BP255" i="3"/>
  <c r="BM256" i="3"/>
  <c r="BN256" i="3"/>
  <c r="BO256" i="3"/>
  <c r="BP256" i="3"/>
  <c r="BM257" i="3"/>
  <c r="BN257" i="3"/>
  <c r="BO257" i="3"/>
  <c r="BP257" i="3"/>
  <c r="BL257" i="3" s="1"/>
  <c r="BM258" i="3"/>
  <c r="BN258" i="3"/>
  <c r="BO258" i="3"/>
  <c r="BP258" i="3"/>
  <c r="BM259" i="3"/>
  <c r="BL259" i="3" s="1"/>
  <c r="BN259" i="3"/>
  <c r="BO259" i="3"/>
  <c r="BP259" i="3"/>
  <c r="BM260" i="3"/>
  <c r="BL260" i="3" s="1"/>
  <c r="AZ260" i="3" s="1"/>
  <c r="BN260" i="3"/>
  <c r="BO260" i="3"/>
  <c r="BP260" i="3"/>
  <c r="BM261" i="3"/>
  <c r="BN261" i="3"/>
  <c r="BL261" i="3" s="1"/>
  <c r="AZ261" i="3" s="1"/>
  <c r="BO261" i="3"/>
  <c r="BP261" i="3"/>
  <c r="BM262" i="3"/>
  <c r="BN262" i="3"/>
  <c r="BO262" i="3"/>
  <c r="BP262" i="3"/>
  <c r="BM263" i="3"/>
  <c r="BL263" i="3" s="1"/>
  <c r="BN263" i="3"/>
  <c r="BO263" i="3"/>
  <c r="BP263" i="3"/>
  <c r="BM264" i="3"/>
  <c r="BN264" i="3"/>
  <c r="BO264" i="3"/>
  <c r="BP264" i="3"/>
  <c r="BM265" i="3"/>
  <c r="BN265" i="3"/>
  <c r="BL265" i="3" s="1"/>
  <c r="BO265" i="3"/>
  <c r="BP265" i="3"/>
  <c r="BM266" i="3"/>
  <c r="BN266" i="3"/>
  <c r="BO266" i="3"/>
  <c r="BP266" i="3"/>
  <c r="BM267" i="3"/>
  <c r="BN267" i="3"/>
  <c r="BO267" i="3"/>
  <c r="BP267" i="3"/>
  <c r="BL267" i="3"/>
  <c r="BM268" i="3"/>
  <c r="BN268" i="3"/>
  <c r="BO268" i="3"/>
  <c r="BP268" i="3"/>
  <c r="BM269" i="3"/>
  <c r="BN269" i="3"/>
  <c r="BO269" i="3"/>
  <c r="BP269" i="3"/>
  <c r="BL269" i="3" s="1"/>
  <c r="AZ269" i="3" s="1"/>
  <c r="BM270" i="3"/>
  <c r="BN270" i="3"/>
  <c r="BO270" i="3"/>
  <c r="BP270" i="3"/>
  <c r="BM271" i="3"/>
  <c r="BL271" i="3" s="1"/>
  <c r="BN271" i="3"/>
  <c r="BO271" i="3"/>
  <c r="BP271" i="3"/>
  <c r="BM272" i="3"/>
  <c r="BN272" i="3"/>
  <c r="BO272" i="3"/>
  <c r="BP272" i="3"/>
  <c r="BM273" i="3"/>
  <c r="BL273" i="3" s="1"/>
  <c r="AZ273" i="3" s="1"/>
  <c r="BN273" i="3"/>
  <c r="BO273" i="3"/>
  <c r="BP273" i="3"/>
  <c r="BM274" i="3"/>
  <c r="BN274" i="3"/>
  <c r="BO274" i="3"/>
  <c r="BL274" i="3" s="1"/>
  <c r="BP274" i="3"/>
  <c r="BM275" i="3"/>
  <c r="BN275" i="3"/>
  <c r="BO275" i="3"/>
  <c r="BP275" i="3"/>
  <c r="BL275" i="3"/>
  <c r="BM276" i="3"/>
  <c r="BN276" i="3"/>
  <c r="BO276" i="3"/>
  <c r="BP276" i="3"/>
  <c r="BM277" i="3"/>
  <c r="BN277" i="3"/>
  <c r="BO277" i="3"/>
  <c r="BP277" i="3"/>
  <c r="BM278" i="3"/>
  <c r="BN278" i="3"/>
  <c r="BO278" i="3"/>
  <c r="BP278" i="3"/>
  <c r="BM279" i="3"/>
  <c r="BL279" i="3" s="1"/>
  <c r="BN279" i="3"/>
  <c r="BO279" i="3"/>
  <c r="BP279" i="3"/>
  <c r="BM280" i="3"/>
  <c r="BN280" i="3"/>
  <c r="BO280" i="3"/>
  <c r="BP280" i="3"/>
  <c r="BM281" i="3"/>
  <c r="BL281" i="3" s="1"/>
  <c r="AZ281" i="3" s="1"/>
  <c r="BN281" i="3"/>
  <c r="BO281" i="3"/>
  <c r="BP281" i="3"/>
  <c r="BM282" i="3"/>
  <c r="BN282" i="3"/>
  <c r="BO282" i="3"/>
  <c r="BL282" i="3" s="1"/>
  <c r="BP282" i="3"/>
  <c r="BM283" i="3"/>
  <c r="BN283" i="3"/>
  <c r="BO283" i="3"/>
  <c r="BP283" i="3"/>
  <c r="BM284" i="3"/>
  <c r="BN284" i="3"/>
  <c r="BO284" i="3"/>
  <c r="BP284" i="3"/>
  <c r="BM285" i="3"/>
  <c r="BN285" i="3"/>
  <c r="BO285" i="3"/>
  <c r="BP285" i="3"/>
  <c r="BM286" i="3"/>
  <c r="BN286" i="3"/>
  <c r="BO286" i="3"/>
  <c r="BP286" i="3"/>
  <c r="BM287" i="3"/>
  <c r="BN287" i="3"/>
  <c r="BO287" i="3"/>
  <c r="BP287" i="3"/>
  <c r="BL287" i="3"/>
  <c r="AZ287" i="3" s="1"/>
  <c r="BM288" i="3"/>
  <c r="BL288" i="3" s="1"/>
  <c r="AZ288" i="3" s="1"/>
  <c r="BN288" i="3"/>
  <c r="BO288" i="3"/>
  <c r="BP288" i="3"/>
  <c r="BM289" i="3"/>
  <c r="BL289" i="3" s="1"/>
  <c r="BN289" i="3"/>
  <c r="BO289" i="3"/>
  <c r="BP289" i="3"/>
  <c r="BM290" i="3"/>
  <c r="BN290" i="3"/>
  <c r="BO290" i="3"/>
  <c r="BL290" i="3" s="1"/>
  <c r="BP290" i="3"/>
  <c r="BM291" i="3"/>
  <c r="BL291" i="3" s="1"/>
  <c r="BN291" i="3"/>
  <c r="BO291" i="3"/>
  <c r="BP291" i="3"/>
  <c r="BM292" i="3"/>
  <c r="BL292" i="3" s="1"/>
  <c r="AZ292" i="3" s="1"/>
  <c r="BN292" i="3"/>
  <c r="BO292" i="3"/>
  <c r="BP292" i="3"/>
  <c r="BM293" i="3"/>
  <c r="BN293" i="3"/>
  <c r="BO293" i="3"/>
  <c r="BP293" i="3"/>
  <c r="BL293" i="3"/>
  <c r="AZ293" i="3" s="1"/>
  <c r="BM294" i="3"/>
  <c r="BN294" i="3"/>
  <c r="BO294" i="3"/>
  <c r="BP294" i="3"/>
  <c r="BM295" i="3"/>
  <c r="BN295" i="3"/>
  <c r="BO295" i="3"/>
  <c r="BP295" i="3"/>
  <c r="BL295" i="3"/>
  <c r="AZ295" i="3" s="1"/>
  <c r="BM296" i="3"/>
  <c r="BL296" i="3" s="1"/>
  <c r="AZ296" i="3" s="1"/>
  <c r="BN296" i="3"/>
  <c r="BO296" i="3"/>
  <c r="BP296" i="3"/>
  <c r="BM297" i="3"/>
  <c r="BN297" i="3"/>
  <c r="BL297" i="3" s="1"/>
  <c r="BO297" i="3"/>
  <c r="BP297" i="3"/>
  <c r="BM298" i="3"/>
  <c r="BN298" i="3"/>
  <c r="BO298" i="3"/>
  <c r="BL298" i="3" s="1"/>
  <c r="BP298" i="3"/>
  <c r="BM299" i="3"/>
  <c r="BN299" i="3"/>
  <c r="BL299" i="3" s="1"/>
  <c r="BO299" i="3"/>
  <c r="BP299" i="3"/>
  <c r="BM300" i="3"/>
  <c r="BN300" i="3"/>
  <c r="BO300" i="3"/>
  <c r="BP300" i="3"/>
  <c r="BM301" i="3"/>
  <c r="BN301" i="3"/>
  <c r="BO301" i="3"/>
  <c r="BP301" i="3"/>
  <c r="BL301" i="3" s="1"/>
  <c r="AZ301" i="3"/>
  <c r="BM302" i="3"/>
  <c r="BN302" i="3"/>
  <c r="BO302" i="3"/>
  <c r="BP302" i="3"/>
  <c r="BM303" i="3"/>
  <c r="BN303" i="3"/>
  <c r="BO303" i="3"/>
  <c r="BP303" i="3"/>
  <c r="BL303" i="3"/>
  <c r="AZ303" i="3" s="1"/>
  <c r="BM304" i="3"/>
  <c r="BL304" i="3" s="1"/>
  <c r="AZ304" i="3" s="1"/>
  <c r="BN304" i="3"/>
  <c r="BO304" i="3"/>
  <c r="BP304" i="3"/>
  <c r="BM305" i="3"/>
  <c r="BN305" i="3"/>
  <c r="BO305" i="3"/>
  <c r="BP305" i="3"/>
  <c r="BL305" i="3"/>
  <c r="BM306" i="3"/>
  <c r="BN306" i="3"/>
  <c r="BO306" i="3"/>
  <c r="BL306" i="3" s="1"/>
  <c r="BP306" i="3"/>
  <c r="AZ306" i="3"/>
  <c r="BM307" i="3"/>
  <c r="BN307" i="3"/>
  <c r="BL307" i="3" s="1"/>
  <c r="BO307" i="3"/>
  <c r="BP307" i="3"/>
  <c r="BM308" i="3"/>
  <c r="BN308" i="3"/>
  <c r="BO308" i="3"/>
  <c r="BP308" i="3"/>
  <c r="BM309" i="3"/>
  <c r="BN309" i="3"/>
  <c r="BO309" i="3"/>
  <c r="BP309" i="3"/>
  <c r="BM310" i="3"/>
  <c r="BN310" i="3"/>
  <c r="BO310" i="3"/>
  <c r="BL310" i="3" s="1"/>
  <c r="BP310" i="3"/>
  <c r="BM311" i="3"/>
  <c r="BN311" i="3"/>
  <c r="BO311" i="3"/>
  <c r="BP311" i="3"/>
  <c r="BL311" i="3"/>
  <c r="AZ311" i="3"/>
  <c r="BM312" i="3"/>
  <c r="BN312" i="3"/>
  <c r="BO312" i="3"/>
  <c r="BP312" i="3"/>
  <c r="BM313" i="3"/>
  <c r="BL313" i="3" s="1"/>
  <c r="AZ313" i="3" s="1"/>
  <c r="BN313" i="3"/>
  <c r="BO313" i="3"/>
  <c r="BP313" i="3"/>
  <c r="BM314" i="3"/>
  <c r="BN314" i="3"/>
  <c r="BO314" i="3"/>
  <c r="BL314" i="3" s="1"/>
  <c r="AZ314" i="3" s="1"/>
  <c r="BP314" i="3"/>
  <c r="BM315" i="3"/>
  <c r="BL315" i="3" s="1"/>
  <c r="BN315" i="3"/>
  <c r="BO315" i="3"/>
  <c r="BP315" i="3"/>
  <c r="BM316" i="3"/>
  <c r="BN316" i="3"/>
  <c r="BO316" i="3"/>
  <c r="BP316" i="3"/>
  <c r="BM317" i="3"/>
  <c r="BN317" i="3"/>
  <c r="BO317" i="3"/>
  <c r="BP317" i="3"/>
  <c r="BM318" i="3"/>
  <c r="BN318" i="3"/>
  <c r="BO318" i="3"/>
  <c r="BL318" i="3" s="1"/>
  <c r="BP318" i="3"/>
  <c r="BM319" i="3"/>
  <c r="BN319" i="3"/>
  <c r="BO319" i="3"/>
  <c r="BP319" i="3"/>
  <c r="BL319" i="3"/>
  <c r="BM320" i="3"/>
  <c r="BL320" i="3" s="1"/>
  <c r="AZ320" i="3" s="1"/>
  <c r="BN320" i="3"/>
  <c r="BO320" i="3"/>
  <c r="BP320" i="3"/>
  <c r="BM321" i="3"/>
  <c r="BN321" i="3"/>
  <c r="BL321" i="3" s="1"/>
  <c r="BO321" i="3"/>
  <c r="BP321" i="3"/>
  <c r="BM322" i="3"/>
  <c r="BN322" i="3"/>
  <c r="BO322" i="3"/>
  <c r="BL322" i="3" s="1"/>
  <c r="BP322" i="3"/>
  <c r="AZ322" i="3"/>
  <c r="BM323" i="3"/>
  <c r="BN323" i="3"/>
  <c r="BO323" i="3"/>
  <c r="BP323" i="3"/>
  <c r="BM324" i="3"/>
  <c r="BN324" i="3"/>
  <c r="BO324" i="3"/>
  <c r="BP324" i="3"/>
  <c r="BM325" i="3"/>
  <c r="BN325" i="3"/>
  <c r="BL325" i="3" s="1"/>
  <c r="AZ325" i="3" s="1"/>
  <c r="BO325" i="3"/>
  <c r="BP325" i="3"/>
  <c r="BM326" i="3"/>
  <c r="BN326" i="3"/>
  <c r="BO326" i="3"/>
  <c r="BP326" i="3"/>
  <c r="BM327" i="3"/>
  <c r="BN327" i="3"/>
  <c r="BO327" i="3"/>
  <c r="BP327" i="3"/>
  <c r="BL327" i="3"/>
  <c r="BM328" i="3"/>
  <c r="BN328" i="3"/>
  <c r="BO328" i="3"/>
  <c r="BP328" i="3"/>
  <c r="BM329" i="3"/>
  <c r="BN329" i="3"/>
  <c r="BO329" i="3"/>
  <c r="BP329" i="3"/>
  <c r="BL329" i="3"/>
  <c r="BM330" i="3"/>
  <c r="BN330" i="3"/>
  <c r="BO330" i="3"/>
  <c r="BP330" i="3"/>
  <c r="BL330" i="3" s="1"/>
  <c r="AZ330" i="3" s="1"/>
  <c r="BM331" i="3"/>
  <c r="BN331" i="3"/>
  <c r="BO331" i="3"/>
  <c r="BP331" i="3"/>
  <c r="BL331" i="3"/>
  <c r="BM332" i="3"/>
  <c r="BL332" i="3" s="1"/>
  <c r="AZ332" i="3" s="1"/>
  <c r="BN332" i="3"/>
  <c r="BO332" i="3"/>
  <c r="BP332" i="3"/>
  <c r="BM333" i="3"/>
  <c r="BL333" i="3" s="1"/>
  <c r="AZ333" i="3" s="1"/>
  <c r="BN333" i="3"/>
  <c r="BO333" i="3"/>
  <c r="BP333" i="3"/>
  <c r="BM334" i="3"/>
  <c r="BN334" i="3"/>
  <c r="BO334" i="3"/>
  <c r="BL334" i="3" s="1"/>
  <c r="BP334" i="3"/>
  <c r="BM335" i="3"/>
  <c r="BN335" i="3"/>
  <c r="BO335" i="3"/>
  <c r="BP335" i="3"/>
  <c r="BL335" i="3"/>
  <c r="BM336" i="3"/>
  <c r="BN336" i="3"/>
  <c r="BO336" i="3"/>
  <c r="BP336" i="3"/>
  <c r="BM337" i="3"/>
  <c r="BN337" i="3"/>
  <c r="BO337" i="3"/>
  <c r="BL337" i="3" s="1"/>
  <c r="AZ337" i="3" s="1"/>
  <c r="BP337" i="3"/>
  <c r="BM338" i="3"/>
  <c r="BN338" i="3"/>
  <c r="BO338" i="3"/>
  <c r="BP338" i="3"/>
  <c r="BL338" i="3"/>
  <c r="BM339" i="3"/>
  <c r="BN339" i="3"/>
  <c r="BO339" i="3"/>
  <c r="BP339" i="3"/>
  <c r="BM340" i="3"/>
  <c r="BN340" i="3"/>
  <c r="BO340" i="3"/>
  <c r="BP340" i="3"/>
  <c r="BM341" i="3"/>
  <c r="BL341" i="3" s="1"/>
  <c r="AZ341" i="3" s="1"/>
  <c r="BN341" i="3"/>
  <c r="BO341" i="3"/>
  <c r="BP341" i="3"/>
  <c r="BM342" i="3"/>
  <c r="BN342" i="3"/>
  <c r="BO342" i="3"/>
  <c r="BL342" i="3" s="1"/>
  <c r="BP342" i="3"/>
  <c r="BM343" i="3"/>
  <c r="BN343" i="3"/>
  <c r="BL343" i="3" s="1"/>
  <c r="BO343" i="3"/>
  <c r="BP343" i="3"/>
  <c r="BM344" i="3"/>
  <c r="BN344" i="3"/>
  <c r="BO344" i="3"/>
  <c r="BP344" i="3"/>
  <c r="BM345" i="3"/>
  <c r="BL345" i="3" s="1"/>
  <c r="AZ345" i="3" s="1"/>
  <c r="BN345" i="3"/>
  <c r="BO345" i="3"/>
  <c r="BP345" i="3"/>
  <c r="BM346" i="3"/>
  <c r="BN346" i="3"/>
  <c r="BO346" i="3"/>
  <c r="BL346" i="3" s="1"/>
  <c r="BP346" i="3"/>
  <c r="BM347" i="3"/>
  <c r="BL347" i="3" s="1"/>
  <c r="BN347" i="3"/>
  <c r="BO347" i="3"/>
  <c r="BP347" i="3"/>
  <c r="BM348" i="3"/>
  <c r="BN348" i="3"/>
  <c r="BO348" i="3"/>
  <c r="BP348" i="3"/>
  <c r="BM349" i="3"/>
  <c r="BN349" i="3"/>
  <c r="BO349" i="3"/>
  <c r="BP349" i="3"/>
  <c r="BL349" i="3" s="1"/>
  <c r="AZ349" i="3" s="1"/>
  <c r="BM350" i="3"/>
  <c r="BN350" i="3"/>
  <c r="BO350" i="3"/>
  <c r="BP350" i="3"/>
  <c r="BL350" i="3" s="1"/>
  <c r="BM351" i="3"/>
  <c r="BL351" i="3" s="1"/>
  <c r="AZ351" i="3" s="1"/>
  <c r="BN351" i="3"/>
  <c r="BO351" i="3"/>
  <c r="BP351" i="3"/>
  <c r="BM352" i="3"/>
  <c r="BN352" i="3"/>
  <c r="BO352" i="3"/>
  <c r="BP352" i="3"/>
  <c r="BM353" i="3"/>
  <c r="BL353" i="3" s="1"/>
  <c r="BN353" i="3"/>
  <c r="BO353" i="3"/>
  <c r="BP353" i="3"/>
  <c r="BM354" i="3"/>
  <c r="BN354" i="3"/>
  <c r="BO354" i="3"/>
  <c r="BL354" i="3" s="1"/>
  <c r="BP354" i="3"/>
  <c r="BM355" i="3"/>
  <c r="BN355" i="3"/>
  <c r="BO355" i="3"/>
  <c r="BP355" i="3"/>
  <c r="BL355" i="3"/>
  <c r="BM356" i="3"/>
  <c r="BN356" i="3"/>
  <c r="BO356" i="3"/>
  <c r="BP356" i="3"/>
  <c r="BM357" i="3"/>
  <c r="BN357" i="3"/>
  <c r="BO357" i="3"/>
  <c r="BP357" i="3"/>
  <c r="BM358" i="3"/>
  <c r="BN358" i="3"/>
  <c r="BO358" i="3"/>
  <c r="BL358" i="3" s="1"/>
  <c r="BP358" i="3"/>
  <c r="BM359" i="3"/>
  <c r="BN359" i="3"/>
  <c r="BO359" i="3"/>
  <c r="BP359" i="3"/>
  <c r="BL359" i="3"/>
  <c r="AZ359" i="3" s="1"/>
  <c r="BM360" i="3"/>
  <c r="BN360" i="3"/>
  <c r="BO360" i="3"/>
  <c r="BP360" i="3"/>
  <c r="BM361" i="3"/>
  <c r="BN361" i="3"/>
  <c r="BO361" i="3"/>
  <c r="BP361" i="3"/>
  <c r="BL361" i="3"/>
  <c r="BM362" i="3"/>
  <c r="BN362" i="3"/>
  <c r="BO362" i="3"/>
  <c r="BL362" i="3" s="1"/>
  <c r="BP362" i="3"/>
  <c r="BM363" i="3"/>
  <c r="BL363" i="3" s="1"/>
  <c r="BN363" i="3"/>
  <c r="BO363" i="3"/>
  <c r="BP363" i="3"/>
  <c r="BM364" i="3"/>
  <c r="BN364" i="3"/>
  <c r="BO364" i="3"/>
  <c r="BP364" i="3"/>
  <c r="BM365" i="3"/>
  <c r="BL365" i="3" s="1"/>
  <c r="AZ365" i="3" s="1"/>
  <c r="BN365" i="3"/>
  <c r="BO365" i="3"/>
  <c r="BP365" i="3"/>
  <c r="BM366" i="3"/>
  <c r="BN366" i="3"/>
  <c r="BO366" i="3"/>
  <c r="BP366" i="3"/>
  <c r="BL366" i="3"/>
  <c r="BM367" i="3"/>
  <c r="BN367" i="3"/>
  <c r="BO367" i="3"/>
  <c r="BP367" i="3"/>
  <c r="BL367" i="3"/>
  <c r="AZ367" i="3" s="1"/>
  <c r="BM368" i="3"/>
  <c r="BL368" i="3" s="1"/>
  <c r="AZ368" i="3" s="1"/>
  <c r="BN368" i="3"/>
  <c r="BO368" i="3"/>
  <c r="BP368" i="3"/>
  <c r="BM369" i="3"/>
  <c r="BN369" i="3"/>
  <c r="BO369" i="3"/>
  <c r="BP369" i="3"/>
  <c r="BL369" i="3"/>
  <c r="BM370" i="3"/>
  <c r="BN370" i="3"/>
  <c r="BO370" i="3"/>
  <c r="BP370" i="3"/>
  <c r="BL370" i="3" s="1"/>
  <c r="AZ370" i="3" s="1"/>
  <c r="BM371" i="3"/>
  <c r="BL371" i="3" s="1"/>
  <c r="BN371" i="3"/>
  <c r="BO371" i="3"/>
  <c r="BP371" i="3"/>
  <c r="BM372" i="3"/>
  <c r="BN372" i="3"/>
  <c r="BO372" i="3"/>
  <c r="BP372" i="3"/>
  <c r="BM373" i="3"/>
  <c r="BN373" i="3"/>
  <c r="BO373" i="3"/>
  <c r="BP373" i="3"/>
  <c r="BL373" i="3" s="1"/>
  <c r="AZ373" i="3" s="1"/>
  <c r="BM374" i="3"/>
  <c r="BN374" i="3"/>
  <c r="BO374" i="3"/>
  <c r="BL374" i="3" s="1"/>
  <c r="BP374" i="3"/>
  <c r="BM375" i="3"/>
  <c r="BL375" i="3" s="1"/>
  <c r="AZ375" i="3" s="1"/>
  <c r="BN375" i="3"/>
  <c r="BO375" i="3"/>
  <c r="BP375" i="3"/>
  <c r="BM376" i="3"/>
  <c r="BN376" i="3"/>
  <c r="BO376" i="3"/>
  <c r="BP376" i="3"/>
  <c r="BM377" i="3"/>
  <c r="BN377" i="3"/>
  <c r="BO377" i="3"/>
  <c r="BP377" i="3"/>
  <c r="BM378" i="3"/>
  <c r="BN378" i="3"/>
  <c r="BO378" i="3"/>
  <c r="BL378" i="3" s="1"/>
  <c r="AZ378" i="3" s="1"/>
  <c r="BP378" i="3"/>
  <c r="BM379" i="3"/>
  <c r="BN379" i="3"/>
  <c r="BO379" i="3"/>
  <c r="BP379" i="3"/>
  <c r="BL379" i="3"/>
  <c r="BM380" i="3"/>
  <c r="BL380" i="3" s="1"/>
  <c r="AZ380" i="3" s="1"/>
  <c r="BN380" i="3"/>
  <c r="BO380" i="3"/>
  <c r="BP380" i="3"/>
  <c r="BM381" i="3"/>
  <c r="BN381" i="3"/>
  <c r="BL381" i="3" s="1"/>
  <c r="AZ381" i="3" s="1"/>
  <c r="BO381" i="3"/>
  <c r="BP381" i="3"/>
  <c r="BM382" i="3"/>
  <c r="BN382" i="3"/>
  <c r="BO382" i="3"/>
  <c r="BP382" i="3"/>
  <c r="BL382" i="3"/>
  <c r="BM383" i="3"/>
  <c r="BL383" i="3" s="1"/>
  <c r="BN383" i="3"/>
  <c r="BO383" i="3"/>
  <c r="BP383" i="3"/>
  <c r="BM384" i="3"/>
  <c r="BL384" i="3" s="1"/>
  <c r="AZ384" i="3" s="1"/>
  <c r="BN384" i="3"/>
  <c r="BO384" i="3"/>
  <c r="BP384" i="3"/>
  <c r="BM385" i="3"/>
  <c r="BN385" i="3"/>
  <c r="BO385" i="3"/>
  <c r="BP385" i="3"/>
  <c r="BL385" i="3"/>
  <c r="BM386" i="3"/>
  <c r="BN386" i="3"/>
  <c r="BO386" i="3"/>
  <c r="BP386" i="3"/>
  <c r="BL386" i="3"/>
  <c r="AZ386" i="3" s="1"/>
  <c r="BM387" i="3"/>
  <c r="BL387" i="3" s="1"/>
  <c r="BN387" i="3"/>
  <c r="BO387" i="3"/>
  <c r="BP387" i="3"/>
  <c r="BM388" i="3"/>
  <c r="BN388" i="3"/>
  <c r="BO388" i="3"/>
  <c r="BP388" i="3"/>
  <c r="BM389" i="3"/>
  <c r="BL389" i="3" s="1"/>
  <c r="AZ389" i="3" s="1"/>
  <c r="BN389" i="3"/>
  <c r="BO389" i="3"/>
  <c r="BP389" i="3"/>
  <c r="BM390" i="3"/>
  <c r="BN390" i="3"/>
  <c r="BO390" i="3"/>
  <c r="BL390" i="3" s="1"/>
  <c r="BP390" i="3"/>
  <c r="BM391" i="3"/>
  <c r="BN391" i="3"/>
  <c r="BO391" i="3"/>
  <c r="BP391" i="3"/>
  <c r="BL391" i="3"/>
  <c r="BM392" i="3"/>
  <c r="BL392" i="3" s="1"/>
  <c r="AZ392" i="3" s="1"/>
  <c r="BN392" i="3"/>
  <c r="BO392" i="3"/>
  <c r="BP392" i="3"/>
  <c r="BM393" i="3"/>
  <c r="BN393" i="3"/>
  <c r="BO393" i="3"/>
  <c r="BP393" i="3"/>
  <c r="BL393" i="3"/>
  <c r="BM394" i="3"/>
  <c r="BN394" i="3"/>
  <c r="BO394" i="3"/>
  <c r="BP394" i="3"/>
  <c r="BL394" i="3" s="1"/>
  <c r="AZ394" i="3" s="1"/>
  <c r="BM395" i="3"/>
  <c r="BL395" i="3" s="1"/>
  <c r="BN395" i="3"/>
  <c r="BO395" i="3"/>
  <c r="BP395" i="3"/>
  <c r="BM396" i="3"/>
  <c r="BL396" i="3" s="1"/>
  <c r="AZ396" i="3" s="1"/>
  <c r="BN396" i="3"/>
  <c r="BO396" i="3"/>
  <c r="BP396" i="3"/>
  <c r="BM397" i="3"/>
  <c r="BN397" i="3"/>
  <c r="BO397" i="3"/>
  <c r="BP397" i="3"/>
  <c r="BL397" i="3"/>
  <c r="AZ397" i="3" s="1"/>
  <c r="BM398" i="3"/>
  <c r="BN398" i="3"/>
  <c r="BO398" i="3"/>
  <c r="BL398" i="3" s="1"/>
  <c r="BP398" i="3"/>
  <c r="BM399" i="3"/>
  <c r="BN399" i="3"/>
  <c r="BO399" i="3"/>
  <c r="BP399" i="3"/>
  <c r="BL399" i="3"/>
  <c r="BM400" i="3"/>
  <c r="BN400" i="3"/>
  <c r="BO400" i="3"/>
  <c r="BP400" i="3"/>
  <c r="BM401" i="3"/>
  <c r="BL401" i="3" s="1"/>
  <c r="AZ401" i="3" s="1"/>
  <c r="BN401" i="3"/>
  <c r="BO401" i="3"/>
  <c r="BP401" i="3"/>
  <c r="BM402" i="3"/>
  <c r="BN402" i="3"/>
  <c r="BO402" i="3"/>
  <c r="BP402" i="3"/>
  <c r="BL402" i="3"/>
  <c r="BM403" i="3"/>
  <c r="BN403" i="3"/>
  <c r="BO403" i="3"/>
  <c r="BP403" i="3"/>
  <c r="BL403" i="3"/>
  <c r="BM404" i="3"/>
  <c r="BL404" i="3" s="1"/>
  <c r="AZ404" i="3" s="1"/>
  <c r="BN404" i="3"/>
  <c r="BO404" i="3"/>
  <c r="BP404" i="3"/>
  <c r="BM405" i="3"/>
  <c r="BN405" i="3"/>
  <c r="BO405" i="3"/>
  <c r="BP405" i="3"/>
  <c r="BL405" i="3"/>
  <c r="AZ405" i="3" s="1"/>
  <c r="BM406" i="3"/>
  <c r="BN406" i="3"/>
  <c r="BO406" i="3"/>
  <c r="BP406" i="3"/>
  <c r="BL406" i="3"/>
  <c r="BM407" i="3"/>
  <c r="BL407" i="3" s="1"/>
  <c r="BN407" i="3"/>
  <c r="BO407" i="3"/>
  <c r="BP407" i="3"/>
  <c r="BM408" i="3"/>
  <c r="BL408" i="3" s="1"/>
  <c r="AZ408" i="3" s="1"/>
  <c r="BN408" i="3"/>
  <c r="BO408" i="3"/>
  <c r="BP408" i="3"/>
  <c r="BM409" i="3"/>
  <c r="BN409" i="3"/>
  <c r="BO409" i="3"/>
  <c r="BP409" i="3"/>
  <c r="BL409" i="3"/>
  <c r="AZ409" i="3" s="1"/>
  <c r="BM410" i="3"/>
  <c r="BN410" i="3"/>
  <c r="BO410" i="3"/>
  <c r="BP410" i="3"/>
  <c r="BL410" i="3"/>
  <c r="BM411" i="3"/>
  <c r="BN411" i="3"/>
  <c r="BO411" i="3"/>
  <c r="BP411" i="3"/>
  <c r="BL411" i="3"/>
  <c r="BM412" i="3"/>
  <c r="BN412" i="3"/>
  <c r="BO412" i="3"/>
  <c r="BP412" i="3"/>
  <c r="BM413" i="3"/>
  <c r="BN413" i="3"/>
  <c r="BO413" i="3"/>
  <c r="BP413" i="3"/>
  <c r="BM414" i="3"/>
  <c r="BN414" i="3"/>
  <c r="BO414" i="3"/>
  <c r="BL414" i="3" s="1"/>
  <c r="BP414" i="3"/>
  <c r="BM415" i="3"/>
  <c r="BN415" i="3"/>
  <c r="BO415" i="3"/>
  <c r="BP415" i="3"/>
  <c r="BL415" i="3"/>
  <c r="AZ415" i="3" s="1"/>
  <c r="BM416" i="3"/>
  <c r="BN416" i="3"/>
  <c r="BO416" i="3"/>
  <c r="BP416" i="3"/>
  <c r="BM417" i="3"/>
  <c r="BN417" i="3"/>
  <c r="BO417" i="3"/>
  <c r="BL417" i="3" s="1"/>
  <c r="BP417" i="3"/>
  <c r="BM418" i="3"/>
  <c r="BN418" i="3"/>
  <c r="BO418" i="3"/>
  <c r="BP418" i="3"/>
  <c r="BL418" i="3"/>
  <c r="BM419" i="3"/>
  <c r="BL419" i="3" s="1"/>
  <c r="AZ419" i="3" s="1"/>
  <c r="BN419" i="3"/>
  <c r="BO419" i="3"/>
  <c r="BP419" i="3"/>
  <c r="BM420" i="3"/>
  <c r="BN420" i="3"/>
  <c r="BO420" i="3"/>
  <c r="BP420" i="3"/>
  <c r="BM421" i="3"/>
  <c r="BN421" i="3"/>
  <c r="BO421" i="3"/>
  <c r="BP421" i="3"/>
  <c r="BL421" i="3"/>
  <c r="AZ421" i="3" s="1"/>
  <c r="BM422" i="3"/>
  <c r="BN422" i="3"/>
  <c r="BO422" i="3"/>
  <c r="BP422" i="3"/>
  <c r="BL422" i="3"/>
  <c r="BM423" i="3"/>
  <c r="BL423" i="3" s="1"/>
  <c r="BN423" i="3"/>
  <c r="BO423" i="3"/>
  <c r="BP423" i="3"/>
  <c r="BM424" i="3"/>
  <c r="BN424" i="3"/>
  <c r="BO424" i="3"/>
  <c r="BP424" i="3"/>
  <c r="BM425" i="3"/>
  <c r="BL425" i="3" s="1"/>
  <c r="BN425" i="3"/>
  <c r="BO425" i="3"/>
  <c r="BP425" i="3"/>
  <c r="BM426" i="3"/>
  <c r="BN426" i="3"/>
  <c r="BO426" i="3"/>
  <c r="BP426" i="3"/>
  <c r="BL426" i="3"/>
  <c r="AZ426" i="3" s="1"/>
  <c r="BM427" i="3"/>
  <c r="BN427" i="3"/>
  <c r="BO427" i="3"/>
  <c r="BP427" i="3"/>
  <c r="BL427" i="3"/>
  <c r="AZ427" i="3" s="1"/>
  <c r="BM428" i="3"/>
  <c r="BL428" i="3" s="1"/>
  <c r="AZ428" i="3" s="1"/>
  <c r="BN428" i="3"/>
  <c r="BO428" i="3"/>
  <c r="BP428" i="3"/>
  <c r="BM429" i="3"/>
  <c r="BN429" i="3"/>
  <c r="BO429" i="3"/>
  <c r="BL429" i="3" s="1"/>
  <c r="BP429" i="3"/>
  <c r="BM430" i="3"/>
  <c r="BN430" i="3"/>
  <c r="BO430" i="3"/>
  <c r="BL430" i="3" s="1"/>
  <c r="BP430" i="3"/>
  <c r="BM431" i="3"/>
  <c r="BL431" i="3" s="1"/>
  <c r="BN431" i="3"/>
  <c r="BO431" i="3"/>
  <c r="BP431" i="3"/>
  <c r="BM432" i="3"/>
  <c r="BN432" i="3"/>
  <c r="BO432" i="3"/>
  <c r="BP432" i="3"/>
  <c r="BM433" i="3"/>
  <c r="BL433" i="3" s="1"/>
  <c r="BN433" i="3"/>
  <c r="BO433" i="3"/>
  <c r="BP433" i="3"/>
  <c r="BM434" i="3"/>
  <c r="BN434" i="3"/>
  <c r="BO434" i="3"/>
  <c r="BL434" i="3" s="1"/>
  <c r="BP434" i="3"/>
  <c r="BM435" i="3"/>
  <c r="BN435" i="3"/>
  <c r="BL435" i="3" s="1"/>
  <c r="AZ435" i="3" s="1"/>
  <c r="BO435" i="3"/>
  <c r="BP435" i="3"/>
  <c r="BM436" i="3"/>
  <c r="BN436" i="3"/>
  <c r="BO436" i="3"/>
  <c r="BP436" i="3"/>
  <c r="BM437" i="3"/>
  <c r="BL437" i="3" s="1"/>
  <c r="AZ437" i="3" s="1"/>
  <c r="BN437" i="3"/>
  <c r="BO437" i="3"/>
  <c r="BP437" i="3"/>
  <c r="BM438" i="3"/>
  <c r="BN438" i="3"/>
  <c r="BO438" i="3"/>
  <c r="BP438" i="3"/>
  <c r="BL438" i="3"/>
  <c r="BM439" i="3"/>
  <c r="BN439" i="3"/>
  <c r="BO439" i="3"/>
  <c r="BP439" i="3"/>
  <c r="BL439" i="3"/>
  <c r="BM440" i="3"/>
  <c r="BN440" i="3"/>
  <c r="BO440" i="3"/>
  <c r="BP440" i="3"/>
  <c r="BM441" i="3"/>
  <c r="BN441" i="3"/>
  <c r="BO441" i="3"/>
  <c r="BL441" i="3" s="1"/>
  <c r="BP441" i="3"/>
  <c r="BM442" i="3"/>
  <c r="BN442" i="3"/>
  <c r="BO442" i="3"/>
  <c r="BP442" i="3"/>
  <c r="BL442" i="3"/>
  <c r="BM443" i="3"/>
  <c r="BN443" i="3"/>
  <c r="BO443" i="3"/>
  <c r="BP443" i="3"/>
  <c r="BM444" i="3"/>
  <c r="BN444" i="3"/>
  <c r="BO444" i="3"/>
  <c r="BP444" i="3"/>
  <c r="BL444" i="3"/>
  <c r="AZ444" i="3" s="1"/>
  <c r="BM445" i="3"/>
  <c r="BN445" i="3"/>
  <c r="BO445" i="3"/>
  <c r="BP445" i="3"/>
  <c r="BM446" i="3"/>
  <c r="BL446" i="3" s="1"/>
  <c r="BN446" i="3"/>
  <c r="BO446" i="3"/>
  <c r="BP446" i="3"/>
  <c r="BM447" i="3"/>
  <c r="BN447" i="3"/>
  <c r="BL447" i="3" s="1"/>
  <c r="AZ447" i="3" s="1"/>
  <c r="BO447" i="3"/>
  <c r="BP447" i="3"/>
  <c r="BM448" i="3"/>
  <c r="BN448" i="3"/>
  <c r="BO448" i="3"/>
  <c r="BP448" i="3"/>
  <c r="BL448" i="3" s="1"/>
  <c r="AZ448" i="3" s="1"/>
  <c r="BM449" i="3"/>
  <c r="BN449" i="3"/>
  <c r="BO449" i="3"/>
  <c r="BP449" i="3"/>
  <c r="BM450" i="3"/>
  <c r="BN450" i="3"/>
  <c r="BO450" i="3"/>
  <c r="BP450" i="3"/>
  <c r="BM451" i="3"/>
  <c r="BN451" i="3"/>
  <c r="BO451" i="3"/>
  <c r="BL451" i="3" s="1"/>
  <c r="AZ451" i="3" s="1"/>
  <c r="BP451" i="3"/>
  <c r="BM452" i="3"/>
  <c r="BN452" i="3"/>
  <c r="BO452" i="3"/>
  <c r="BP452" i="3"/>
  <c r="BL452" i="3"/>
  <c r="BM453" i="3"/>
  <c r="BL453" i="3" s="1"/>
  <c r="AZ453" i="3" s="1"/>
  <c r="BN453" i="3"/>
  <c r="BO453" i="3"/>
  <c r="BP453" i="3"/>
  <c r="BM454" i="3"/>
  <c r="BN454" i="3"/>
  <c r="BO454" i="3"/>
  <c r="BP454" i="3"/>
  <c r="BL454" i="3"/>
  <c r="BM455" i="3"/>
  <c r="BN455" i="3"/>
  <c r="BO455" i="3"/>
  <c r="BP455" i="3"/>
  <c r="BL455" i="3"/>
  <c r="BM456" i="3"/>
  <c r="BL456" i="3" s="1"/>
  <c r="AZ456" i="3" s="1"/>
  <c r="BN456" i="3"/>
  <c r="BO456" i="3"/>
  <c r="BP456" i="3"/>
  <c r="BM457" i="3"/>
  <c r="BN457" i="3"/>
  <c r="BO457" i="3"/>
  <c r="BP457" i="3"/>
  <c r="BM458" i="3"/>
  <c r="BN458" i="3"/>
  <c r="BO458" i="3"/>
  <c r="BL458" i="3" s="1"/>
  <c r="AZ458" i="3" s="1"/>
  <c r="BP458" i="3"/>
  <c r="BM459" i="3"/>
  <c r="BN459" i="3"/>
  <c r="BO459" i="3"/>
  <c r="BP459" i="3"/>
  <c r="BL459" i="3"/>
  <c r="AZ459" i="3" s="1"/>
  <c r="BM460" i="3"/>
  <c r="BL460" i="3" s="1"/>
  <c r="AZ460" i="3" s="1"/>
  <c r="BN460" i="3"/>
  <c r="BO460" i="3"/>
  <c r="BP460" i="3"/>
  <c r="BM461" i="3"/>
  <c r="BN461" i="3"/>
  <c r="BL461" i="3" s="1"/>
  <c r="BO461" i="3"/>
  <c r="BP461" i="3"/>
  <c r="BM462" i="3"/>
  <c r="BN462" i="3"/>
  <c r="BO462" i="3"/>
  <c r="BP462" i="3"/>
  <c r="BL462" i="3" s="1"/>
  <c r="BM463" i="3"/>
  <c r="BL463" i="3" s="1"/>
  <c r="BN463" i="3"/>
  <c r="BO463" i="3"/>
  <c r="BP463" i="3"/>
  <c r="BM464" i="3"/>
  <c r="BL464" i="3" s="1"/>
  <c r="AZ464" i="3" s="1"/>
  <c r="BN464" i="3"/>
  <c r="BO464" i="3"/>
  <c r="BP464" i="3"/>
  <c r="BM465" i="3"/>
  <c r="BN465" i="3"/>
  <c r="BO465" i="3"/>
  <c r="BL465" i="3" s="1"/>
  <c r="BP465" i="3"/>
  <c r="BM466" i="3"/>
  <c r="BN466" i="3"/>
  <c r="BO466" i="3"/>
  <c r="BP466" i="3"/>
  <c r="BL466" i="3"/>
  <c r="BM467" i="3"/>
  <c r="BL467" i="3" s="1"/>
  <c r="AZ467" i="3" s="1"/>
  <c r="BN467" i="3"/>
  <c r="BO467" i="3"/>
  <c r="BP467" i="3"/>
  <c r="BM468" i="3"/>
  <c r="BN468" i="3"/>
  <c r="BO468" i="3"/>
  <c r="BP468" i="3"/>
  <c r="BM469" i="3"/>
  <c r="BN469" i="3"/>
  <c r="BO469" i="3"/>
  <c r="BP469" i="3"/>
  <c r="BL469" i="3" s="1"/>
  <c r="AZ469" i="3" s="1"/>
  <c r="BM470" i="3"/>
  <c r="BL470" i="3" s="1"/>
  <c r="BN470" i="3"/>
  <c r="BO470" i="3"/>
  <c r="BP470" i="3"/>
  <c r="BM471" i="3"/>
  <c r="BL471" i="3" s="1"/>
  <c r="BN471" i="3"/>
  <c r="BO471" i="3"/>
  <c r="BP471" i="3"/>
  <c r="BM472" i="3"/>
  <c r="BN472" i="3"/>
  <c r="BL472" i="3" s="1"/>
  <c r="AZ472" i="3" s="1"/>
  <c r="BO472" i="3"/>
  <c r="BP472" i="3"/>
  <c r="BM473" i="3"/>
  <c r="BN473" i="3"/>
  <c r="BO473" i="3"/>
  <c r="BP473" i="3"/>
  <c r="BL473" i="3" s="1"/>
  <c r="BM474" i="3"/>
  <c r="BL474" i="3" s="1"/>
  <c r="BN474" i="3"/>
  <c r="BO474" i="3"/>
  <c r="BP474" i="3"/>
  <c r="BM475" i="3"/>
  <c r="BN475" i="3"/>
  <c r="BO475" i="3"/>
  <c r="BP475" i="3"/>
  <c r="BM476" i="3"/>
  <c r="BN476" i="3"/>
  <c r="BL476" i="3" s="1"/>
  <c r="AZ476" i="3" s="1"/>
  <c r="BO476" i="3"/>
  <c r="BP476" i="3"/>
  <c r="BM477" i="3"/>
  <c r="BN477" i="3"/>
  <c r="BO477" i="3"/>
  <c r="BP477" i="3"/>
  <c r="BL477" i="3" s="1"/>
  <c r="BM478" i="3"/>
  <c r="BL478" i="3" s="1"/>
  <c r="BN478" i="3"/>
  <c r="BO478" i="3"/>
  <c r="BP478" i="3"/>
  <c r="BM479" i="3"/>
  <c r="BL479" i="3" s="1"/>
  <c r="AZ479" i="3" s="1"/>
  <c r="BN479" i="3"/>
  <c r="BO479" i="3"/>
  <c r="BP479" i="3"/>
  <c r="BM480" i="3"/>
  <c r="BN480" i="3"/>
  <c r="BO480" i="3"/>
  <c r="BP480" i="3"/>
  <c r="BL480" i="3"/>
  <c r="AZ480" i="3" s="1"/>
  <c r="BM481" i="3"/>
  <c r="BN481" i="3"/>
  <c r="BO481" i="3"/>
  <c r="BP481" i="3"/>
  <c r="BL481" i="3" s="1"/>
  <c r="BM482" i="3"/>
  <c r="BL482" i="3" s="1"/>
  <c r="BN482" i="3"/>
  <c r="BO482" i="3"/>
  <c r="BP482" i="3"/>
  <c r="BM483" i="3"/>
  <c r="BL483" i="3" s="1"/>
  <c r="AZ483" i="3" s="1"/>
  <c r="BN483" i="3"/>
  <c r="BO483" i="3"/>
  <c r="BP483" i="3"/>
  <c r="BM484" i="3"/>
  <c r="BN484" i="3"/>
  <c r="BO484" i="3"/>
  <c r="BP484" i="3"/>
  <c r="BL484" i="3"/>
  <c r="BM485" i="3"/>
  <c r="BN485" i="3"/>
  <c r="BO485" i="3"/>
  <c r="BP485" i="3"/>
  <c r="BL485" i="3" s="1"/>
  <c r="AZ485" i="3" s="1"/>
  <c r="BM486" i="3"/>
  <c r="BL486" i="3" s="1"/>
  <c r="BN486" i="3"/>
  <c r="BO486" i="3"/>
  <c r="BP486" i="3"/>
  <c r="BM487" i="3"/>
  <c r="BL487" i="3" s="1"/>
  <c r="BN487" i="3"/>
  <c r="BO487" i="3"/>
  <c r="BP487" i="3"/>
  <c r="BM488" i="3"/>
  <c r="BN488" i="3"/>
  <c r="BL488" i="3" s="1"/>
  <c r="AZ488" i="3" s="1"/>
  <c r="BO488" i="3"/>
  <c r="BP488" i="3"/>
  <c r="BM489" i="3"/>
  <c r="BN489" i="3"/>
  <c r="BO489" i="3"/>
  <c r="BP489" i="3"/>
  <c r="BL489" i="3" s="1"/>
  <c r="BM490" i="3"/>
  <c r="BL490" i="3" s="1"/>
  <c r="AZ490" i="3" s="1"/>
  <c r="BN490" i="3"/>
  <c r="BO490" i="3"/>
  <c r="BP490" i="3"/>
  <c r="BM491" i="3"/>
  <c r="BN491" i="3"/>
  <c r="BO491" i="3"/>
  <c r="BP491" i="3"/>
  <c r="BM492" i="3"/>
  <c r="BN492" i="3"/>
  <c r="BL492" i="3" s="1"/>
  <c r="AZ492" i="3" s="1"/>
  <c r="BO492" i="3"/>
  <c r="BP492" i="3"/>
  <c r="BM493" i="3"/>
  <c r="BN493" i="3"/>
  <c r="BO493" i="3"/>
  <c r="BP493" i="3"/>
  <c r="BL493" i="3" s="1"/>
  <c r="BM494" i="3"/>
  <c r="BL494" i="3" s="1"/>
  <c r="BN494" i="3"/>
  <c r="BO494" i="3"/>
  <c r="BP494" i="3"/>
  <c r="BM495" i="3"/>
  <c r="BL495" i="3" s="1"/>
  <c r="BN495" i="3"/>
  <c r="BO495" i="3"/>
  <c r="BP495" i="3"/>
  <c r="BM496" i="3"/>
  <c r="BN496" i="3"/>
  <c r="BO496" i="3"/>
  <c r="BP496" i="3"/>
  <c r="BL496" i="3"/>
  <c r="AZ496" i="3" s="1"/>
  <c r="BM497" i="3"/>
  <c r="BN497" i="3"/>
  <c r="BO497" i="3"/>
  <c r="BP497" i="3"/>
  <c r="BL497" i="3"/>
  <c r="BM498" i="3"/>
  <c r="BL498" i="3" s="1"/>
  <c r="BN498" i="3"/>
  <c r="BO498" i="3"/>
  <c r="BP498" i="3"/>
  <c r="BM499" i="3"/>
  <c r="BL499" i="3" s="1"/>
  <c r="AZ499" i="3" s="1"/>
  <c r="BN499" i="3"/>
  <c r="BO499" i="3"/>
  <c r="BP499" i="3"/>
  <c r="BM500" i="3"/>
  <c r="BN500" i="3"/>
  <c r="BL500" i="3" s="1"/>
  <c r="BO500" i="3"/>
  <c r="BP500" i="3"/>
  <c r="BM501" i="3"/>
  <c r="BN501" i="3"/>
  <c r="BO501" i="3"/>
  <c r="BP501" i="3"/>
  <c r="BL501" i="3"/>
  <c r="AZ501" i="3" s="1"/>
  <c r="BM502" i="3"/>
  <c r="BL502" i="3" s="1"/>
  <c r="BN502" i="3"/>
  <c r="BO502" i="3"/>
  <c r="BP502" i="3"/>
  <c r="BM503" i="3"/>
  <c r="BN503" i="3"/>
  <c r="BO503" i="3"/>
  <c r="BP503" i="3"/>
  <c r="BM504" i="3"/>
  <c r="BN504" i="3"/>
  <c r="BL504" i="3" s="1"/>
  <c r="AZ504" i="3" s="1"/>
  <c r="BO504" i="3"/>
  <c r="BP504" i="3"/>
  <c r="BM505" i="3"/>
  <c r="BN505" i="3"/>
  <c r="BO505" i="3"/>
  <c r="BP505" i="3"/>
  <c r="BL505" i="3" s="1"/>
  <c r="BM506" i="3"/>
  <c r="BL506" i="3" s="1"/>
  <c r="BN506" i="3"/>
  <c r="BO506" i="3"/>
  <c r="BP506" i="3"/>
  <c r="BM507" i="3"/>
  <c r="BL507" i="3" s="1"/>
  <c r="AZ507" i="3" s="1"/>
  <c r="BN507" i="3"/>
  <c r="BO507" i="3"/>
  <c r="BP507" i="3"/>
  <c r="BM508" i="3"/>
  <c r="BN508" i="3"/>
  <c r="BL508" i="3" s="1"/>
  <c r="AZ508" i="3" s="1"/>
  <c r="BO508" i="3"/>
  <c r="BP508" i="3"/>
  <c r="BM509" i="3"/>
  <c r="BN509" i="3"/>
  <c r="BO509" i="3"/>
  <c r="BP509" i="3"/>
  <c r="BL509" i="3"/>
  <c r="BM510" i="3"/>
  <c r="BL510" i="3" s="1"/>
  <c r="BN510" i="3"/>
  <c r="BO510" i="3"/>
  <c r="BP510" i="3"/>
  <c r="BM511" i="3"/>
  <c r="BN511" i="3"/>
  <c r="BO511" i="3"/>
  <c r="BP511" i="3"/>
  <c r="BM512" i="3"/>
  <c r="BN512" i="3"/>
  <c r="BL512" i="3" s="1"/>
  <c r="AZ512" i="3" s="1"/>
  <c r="BO512" i="3"/>
  <c r="BP512" i="3"/>
  <c r="BM513" i="3"/>
  <c r="BN513" i="3"/>
  <c r="BO513" i="3"/>
  <c r="BP513" i="3"/>
  <c r="BL513" i="3" s="1"/>
  <c r="BM514" i="3"/>
  <c r="BL514" i="3" s="1"/>
  <c r="BN514" i="3"/>
  <c r="BO514" i="3"/>
  <c r="BP514" i="3"/>
  <c r="BM515" i="3"/>
  <c r="BL515" i="3" s="1"/>
  <c r="AZ515" i="3" s="1"/>
  <c r="BN515" i="3"/>
  <c r="BO515" i="3"/>
  <c r="BP515" i="3"/>
  <c r="BM516" i="3"/>
  <c r="BN516" i="3"/>
  <c r="BL516" i="3" s="1"/>
  <c r="BO516" i="3"/>
  <c r="BP516" i="3"/>
  <c r="BM517" i="3"/>
  <c r="BN517" i="3"/>
  <c r="BO517" i="3"/>
  <c r="BP517" i="3"/>
  <c r="BL517" i="3"/>
  <c r="AZ517" i="3" s="1"/>
  <c r="BM518" i="3"/>
  <c r="BL518" i="3" s="1"/>
  <c r="BN518" i="3"/>
  <c r="BO518" i="3"/>
  <c r="BP518" i="3"/>
  <c r="BM519" i="3"/>
  <c r="BN519" i="3"/>
  <c r="BO519" i="3"/>
  <c r="BP519" i="3"/>
  <c r="BM520" i="3"/>
  <c r="BN520" i="3"/>
  <c r="BL520" i="3" s="1"/>
  <c r="AZ520" i="3" s="1"/>
  <c r="BO520" i="3"/>
  <c r="BP520" i="3"/>
  <c r="BM521" i="3"/>
  <c r="BN521" i="3"/>
  <c r="BO521" i="3"/>
  <c r="BP521" i="3"/>
  <c r="BL521" i="3" s="1"/>
  <c r="BM522" i="3"/>
  <c r="BL522" i="3" s="1"/>
  <c r="BN522" i="3"/>
  <c r="BO522" i="3"/>
  <c r="BP522" i="3"/>
  <c r="AZ522" i="3"/>
  <c r="BM523" i="3"/>
  <c r="BL523" i="3" s="1"/>
  <c r="BN523" i="3"/>
  <c r="BO523" i="3"/>
  <c r="BP523" i="3"/>
  <c r="BM524" i="3"/>
  <c r="BN524" i="3"/>
  <c r="BL524" i="3" s="1"/>
  <c r="AZ524" i="3" s="1"/>
  <c r="BO524" i="3"/>
  <c r="BP524" i="3"/>
  <c r="BM525" i="3"/>
  <c r="BN525" i="3"/>
  <c r="BO525" i="3"/>
  <c r="BP525" i="3"/>
  <c r="BL525" i="3"/>
  <c r="BM526" i="3"/>
  <c r="BL526" i="3" s="1"/>
  <c r="BN526" i="3"/>
  <c r="BO526" i="3"/>
  <c r="BP526" i="3"/>
  <c r="BM527" i="3"/>
  <c r="BN527" i="3"/>
  <c r="BO527" i="3"/>
  <c r="BP527" i="3"/>
  <c r="BM528" i="3"/>
  <c r="BN528" i="3"/>
  <c r="BL528" i="3" s="1"/>
  <c r="AZ528" i="3" s="1"/>
  <c r="BO528" i="3"/>
  <c r="BP528" i="3"/>
  <c r="BM529" i="3"/>
  <c r="BN529" i="3"/>
  <c r="BO529" i="3"/>
  <c r="BP529" i="3"/>
  <c r="BL529" i="3" s="1"/>
  <c r="BM530" i="3"/>
  <c r="BL530" i="3" s="1"/>
  <c r="BN530" i="3"/>
  <c r="BO530" i="3"/>
  <c r="BP530" i="3"/>
  <c r="BM531" i="3"/>
  <c r="BL531" i="3" s="1"/>
  <c r="AZ531" i="3" s="1"/>
  <c r="BN531" i="3"/>
  <c r="BO531" i="3"/>
  <c r="BP531" i="3"/>
  <c r="BM532" i="3"/>
  <c r="BN532" i="3"/>
  <c r="BL532" i="3" s="1"/>
  <c r="BO532" i="3"/>
  <c r="BP532" i="3"/>
  <c r="BM533" i="3"/>
  <c r="BN533" i="3"/>
  <c r="BO533" i="3"/>
  <c r="BP533" i="3"/>
  <c r="BL533" i="3"/>
  <c r="BM534" i="3"/>
  <c r="BL534" i="3" s="1"/>
  <c r="BN534" i="3"/>
  <c r="BO534" i="3"/>
  <c r="BP534" i="3"/>
  <c r="BM535" i="3"/>
  <c r="BN535" i="3"/>
  <c r="BO535" i="3"/>
  <c r="BP535" i="3"/>
  <c r="BM536" i="3"/>
  <c r="BN536" i="3"/>
  <c r="BL536" i="3" s="1"/>
  <c r="AZ536" i="3" s="1"/>
  <c r="BO536" i="3"/>
  <c r="BP536" i="3"/>
  <c r="BM537" i="3"/>
  <c r="BN537" i="3"/>
  <c r="BO537" i="3"/>
  <c r="BP537" i="3"/>
  <c r="BL537" i="3" s="1"/>
  <c r="BM538" i="3"/>
  <c r="BL538" i="3" s="1"/>
  <c r="BN538" i="3"/>
  <c r="BO538" i="3"/>
  <c r="BP538" i="3"/>
  <c r="BM539" i="3"/>
  <c r="BL539" i="3" s="1"/>
  <c r="BN539" i="3"/>
  <c r="BO539" i="3"/>
  <c r="BP539" i="3"/>
  <c r="BM540" i="3"/>
  <c r="BN540" i="3"/>
  <c r="BL540" i="3" s="1"/>
  <c r="AZ540" i="3" s="1"/>
  <c r="BO540" i="3"/>
  <c r="BP540" i="3"/>
  <c r="BM541" i="3"/>
  <c r="BN541" i="3"/>
  <c r="BO541" i="3"/>
  <c r="BP541" i="3"/>
  <c r="BL541" i="3"/>
  <c r="BM542" i="3"/>
  <c r="BL542" i="3" s="1"/>
  <c r="BN542" i="3"/>
  <c r="BO542" i="3"/>
  <c r="BP542" i="3"/>
  <c r="BM543" i="3"/>
  <c r="BN543" i="3"/>
  <c r="BO543" i="3"/>
  <c r="BP543" i="3"/>
  <c r="BM544" i="3"/>
  <c r="BN544" i="3"/>
  <c r="BL544" i="3" s="1"/>
  <c r="AZ544" i="3" s="1"/>
  <c r="BO544" i="3"/>
  <c r="BP544" i="3"/>
  <c r="BM545" i="3"/>
  <c r="BN545" i="3"/>
  <c r="BO545" i="3"/>
  <c r="BP545" i="3"/>
  <c r="BL545" i="3" s="1"/>
  <c r="BM546" i="3"/>
  <c r="BL546" i="3" s="1"/>
  <c r="BN546" i="3"/>
  <c r="BO546" i="3"/>
  <c r="BP546" i="3"/>
  <c r="BM547" i="3"/>
  <c r="BL547" i="3" s="1"/>
  <c r="AZ547" i="3" s="1"/>
  <c r="BN547" i="3"/>
  <c r="BO547" i="3"/>
  <c r="BP547" i="3"/>
  <c r="BM548" i="3"/>
  <c r="BN548" i="3"/>
  <c r="BL548" i="3" s="1"/>
  <c r="BO548" i="3"/>
  <c r="BP548" i="3"/>
  <c r="BM549" i="3"/>
  <c r="BN549" i="3"/>
  <c r="BO549" i="3"/>
  <c r="BP549" i="3"/>
  <c r="BL549" i="3"/>
  <c r="AZ549" i="3" s="1"/>
  <c r="BM550" i="3"/>
  <c r="BL550" i="3" s="1"/>
  <c r="BN550" i="3"/>
  <c r="BO550" i="3"/>
  <c r="BP550" i="3"/>
  <c r="BM551" i="3"/>
  <c r="BN551" i="3"/>
  <c r="BO551" i="3"/>
  <c r="BP551" i="3"/>
  <c r="BM552" i="3"/>
  <c r="BN552" i="3"/>
  <c r="BL552" i="3" s="1"/>
  <c r="AZ552" i="3" s="1"/>
  <c r="BO552" i="3"/>
  <c r="BP552" i="3"/>
  <c r="BM553" i="3"/>
  <c r="BN553" i="3"/>
  <c r="BO553" i="3"/>
  <c r="BP553" i="3"/>
  <c r="BL553" i="3" s="1"/>
  <c r="BM554" i="3"/>
  <c r="BL554" i="3" s="1"/>
  <c r="BN554" i="3"/>
  <c r="BO554" i="3"/>
  <c r="BP554" i="3"/>
  <c r="AZ554" i="3"/>
  <c r="BM555" i="3"/>
  <c r="BL555" i="3" s="1"/>
  <c r="BN555" i="3"/>
  <c r="BO555" i="3"/>
  <c r="BP555" i="3"/>
  <c r="BM556" i="3"/>
  <c r="BN556" i="3"/>
  <c r="BL556" i="3" s="1"/>
  <c r="AZ556" i="3" s="1"/>
  <c r="BO556" i="3"/>
  <c r="BP556" i="3"/>
  <c r="BM557" i="3"/>
  <c r="BN557" i="3"/>
  <c r="BO557" i="3"/>
  <c r="BP557" i="3"/>
  <c r="BL557" i="3"/>
  <c r="BM558" i="3"/>
  <c r="BL558" i="3" s="1"/>
  <c r="BN558" i="3"/>
  <c r="BO558" i="3"/>
  <c r="BP558" i="3"/>
  <c r="BM559" i="3"/>
  <c r="BN559" i="3"/>
  <c r="BO559" i="3"/>
  <c r="BP559" i="3"/>
  <c r="BM560" i="3"/>
  <c r="BN560" i="3"/>
  <c r="BL560" i="3" s="1"/>
  <c r="AZ560" i="3" s="1"/>
  <c r="BO560" i="3"/>
  <c r="BP560" i="3"/>
  <c r="BM561" i="3"/>
  <c r="BN561" i="3"/>
  <c r="BO561" i="3"/>
  <c r="BP561" i="3"/>
  <c r="BL561" i="3" s="1"/>
  <c r="BM562" i="3"/>
  <c r="BL562" i="3" s="1"/>
  <c r="BN562" i="3"/>
  <c r="BO562" i="3"/>
  <c r="BP562" i="3"/>
  <c r="BM563" i="3"/>
  <c r="BL563" i="3" s="1"/>
  <c r="AZ563" i="3" s="1"/>
  <c r="BN563" i="3"/>
  <c r="BO563" i="3"/>
  <c r="BP563" i="3"/>
  <c r="BM564" i="3"/>
  <c r="BN564" i="3"/>
  <c r="BL564" i="3" s="1"/>
  <c r="BO564" i="3"/>
  <c r="BP564" i="3"/>
  <c r="BM565" i="3"/>
  <c r="BN565" i="3"/>
  <c r="BO565" i="3"/>
  <c r="BP565" i="3"/>
  <c r="BL565" i="3"/>
  <c r="BM566" i="3"/>
  <c r="BL566" i="3" s="1"/>
  <c r="BN566" i="3"/>
  <c r="BO566" i="3"/>
  <c r="BP566" i="3"/>
  <c r="BM567" i="3"/>
  <c r="BN567" i="3"/>
  <c r="BO567" i="3"/>
  <c r="BP567" i="3"/>
  <c r="BM568" i="3"/>
  <c r="BN568" i="3"/>
  <c r="BL568" i="3" s="1"/>
  <c r="AZ568" i="3" s="1"/>
  <c r="BO568" i="3"/>
  <c r="BP568" i="3"/>
  <c r="BM569" i="3"/>
  <c r="BN569" i="3"/>
  <c r="BO569" i="3"/>
  <c r="BP569" i="3"/>
  <c r="BL569" i="3" s="1"/>
  <c r="BM570" i="3"/>
  <c r="BL570" i="3" s="1"/>
  <c r="BN570" i="3"/>
  <c r="BO570" i="3"/>
  <c r="BP570" i="3"/>
  <c r="BM571" i="3"/>
  <c r="BL571" i="3" s="1"/>
  <c r="BN571" i="3"/>
  <c r="BO571" i="3"/>
  <c r="BP571" i="3"/>
  <c r="BM572" i="3"/>
  <c r="BN572" i="3"/>
  <c r="BL572" i="3" s="1"/>
  <c r="AZ572" i="3" s="1"/>
  <c r="BO572" i="3"/>
  <c r="BP572" i="3"/>
  <c r="BM573" i="3"/>
  <c r="BN573" i="3"/>
  <c r="BO573" i="3"/>
  <c r="BP573" i="3"/>
  <c r="BL573" i="3"/>
  <c r="BM574" i="3"/>
  <c r="BL574" i="3" s="1"/>
  <c r="BN574" i="3"/>
  <c r="BO574" i="3"/>
  <c r="BP574" i="3"/>
  <c r="BM575" i="3"/>
  <c r="BN575" i="3"/>
  <c r="BL575" i="3" s="1"/>
  <c r="BO575" i="3"/>
  <c r="BP575" i="3"/>
  <c r="BM576" i="3"/>
  <c r="BN576" i="3"/>
  <c r="BO576" i="3"/>
  <c r="BP576" i="3"/>
  <c r="BL576" i="3"/>
  <c r="AZ576" i="3" s="1"/>
  <c r="BM577" i="3"/>
  <c r="BL577" i="3" s="1"/>
  <c r="BN577" i="3"/>
  <c r="BO577" i="3"/>
  <c r="BP577" i="3"/>
  <c r="BM578" i="3"/>
  <c r="BN578" i="3"/>
  <c r="BO578" i="3"/>
  <c r="BP578" i="3"/>
  <c r="BL578" i="3"/>
  <c r="BM579" i="3"/>
  <c r="BN579" i="3"/>
  <c r="BO579" i="3"/>
  <c r="BP579" i="3"/>
  <c r="BL579" i="3"/>
  <c r="AZ579" i="3"/>
  <c r="BM580" i="3"/>
  <c r="BL580" i="3" s="1"/>
  <c r="BN580" i="3"/>
  <c r="BO580" i="3"/>
  <c r="BP580" i="3"/>
  <c r="BM581" i="3"/>
  <c r="BL581" i="3" s="1"/>
  <c r="BN581" i="3"/>
  <c r="BO581" i="3"/>
  <c r="BP581" i="3"/>
  <c r="BM582" i="3"/>
  <c r="BN582" i="3"/>
  <c r="BO582" i="3"/>
  <c r="BL582" i="3" s="1"/>
  <c r="BP582" i="3"/>
  <c r="BM583" i="3"/>
  <c r="BN583" i="3"/>
  <c r="BO583" i="3"/>
  <c r="BP583" i="3"/>
  <c r="BL583" i="3"/>
  <c r="BM584" i="3"/>
  <c r="BL584" i="3" s="1"/>
  <c r="AZ584" i="3" s="1"/>
  <c r="BN584" i="3"/>
  <c r="BO584" i="3"/>
  <c r="BP584" i="3"/>
  <c r="BM585" i="3"/>
  <c r="BN585" i="3"/>
  <c r="BL585" i="3" s="1"/>
  <c r="BO585" i="3"/>
  <c r="BP585" i="3"/>
  <c r="BM586" i="3"/>
  <c r="BN586" i="3"/>
  <c r="BO586" i="3"/>
  <c r="BP586" i="3"/>
  <c r="BL586" i="3" s="1"/>
  <c r="BM587" i="3"/>
  <c r="BL587" i="3" s="1"/>
  <c r="AZ587" i="3" s="1"/>
  <c r="BN587" i="3"/>
  <c r="BO587" i="3"/>
  <c r="BP587" i="3"/>
  <c r="H13" i="3"/>
  <c r="G13" i="3" s="1"/>
  <c r="AC13" i="3"/>
  <c r="H14" i="3"/>
  <c r="G14" i="3" s="1"/>
  <c r="AC14" i="3"/>
  <c r="H15" i="3"/>
  <c r="G15" i="3" s="1"/>
  <c r="AC15" i="3"/>
  <c r="H16" i="3"/>
  <c r="G16" i="3" s="1"/>
  <c r="AC16" i="3"/>
  <c r="H17" i="3"/>
  <c r="AC17" i="3"/>
  <c r="G17" i="3"/>
  <c r="H18" i="3"/>
  <c r="AC18" i="3"/>
  <c r="G18" i="3" s="1"/>
  <c r="H19" i="3"/>
  <c r="AC19" i="3"/>
  <c r="G19" i="3"/>
  <c r="H20" i="3"/>
  <c r="AC20" i="3"/>
  <c r="G20" i="3" s="1"/>
  <c r="H21" i="3"/>
  <c r="G21" i="3" s="1"/>
  <c r="AC21" i="3"/>
  <c r="H22" i="3"/>
  <c r="G22" i="3" s="1"/>
  <c r="AC22" i="3"/>
  <c r="H23" i="3"/>
  <c r="G23" i="3" s="1"/>
  <c r="AC23" i="3"/>
  <c r="H24" i="3"/>
  <c r="G24" i="3" s="1"/>
  <c r="AC24" i="3"/>
  <c r="H25" i="3"/>
  <c r="AC25" i="3"/>
  <c r="G25" i="3"/>
  <c r="H26" i="3"/>
  <c r="AC26" i="3"/>
  <c r="G26" i="3" s="1"/>
  <c r="H27" i="3"/>
  <c r="AC27" i="3"/>
  <c r="G27" i="3"/>
  <c r="H28" i="3"/>
  <c r="AC28" i="3"/>
  <c r="G28" i="3" s="1"/>
  <c r="H29" i="3"/>
  <c r="G29" i="3" s="1"/>
  <c r="AC29" i="3"/>
  <c r="H30" i="3"/>
  <c r="G30" i="3" s="1"/>
  <c r="AC30" i="3"/>
  <c r="H31" i="3"/>
  <c r="G31" i="3" s="1"/>
  <c r="AC31" i="3"/>
  <c r="H32" i="3"/>
  <c r="G32" i="3" s="1"/>
  <c r="AC32" i="3"/>
  <c r="H33" i="3"/>
  <c r="AC33" i="3"/>
  <c r="G33" i="3"/>
  <c r="H34" i="3"/>
  <c r="AC34" i="3"/>
  <c r="G34" i="3" s="1"/>
  <c r="H35" i="3"/>
  <c r="AC35" i="3"/>
  <c r="G35" i="3"/>
  <c r="H36" i="3"/>
  <c r="AC36" i="3"/>
  <c r="G36" i="3" s="1"/>
  <c r="H37" i="3"/>
  <c r="G37" i="3" s="1"/>
  <c r="AC37" i="3"/>
  <c r="H38" i="3"/>
  <c r="G38" i="3" s="1"/>
  <c r="AC38" i="3"/>
  <c r="H39" i="3"/>
  <c r="G39" i="3" s="1"/>
  <c r="AC39" i="3"/>
  <c r="H40" i="3"/>
  <c r="G40" i="3" s="1"/>
  <c r="AC40" i="3"/>
  <c r="H41" i="3"/>
  <c r="AC41" i="3"/>
  <c r="G41" i="3"/>
  <c r="H42" i="3"/>
  <c r="AC42" i="3"/>
  <c r="G42" i="3"/>
  <c r="H43" i="3"/>
  <c r="AC43" i="3"/>
  <c r="G43" i="3"/>
  <c r="H44" i="3"/>
  <c r="AC44" i="3"/>
  <c r="G44" i="3" s="1"/>
  <c r="H45" i="3"/>
  <c r="G45" i="3" s="1"/>
  <c r="AC45" i="3"/>
  <c r="H46" i="3"/>
  <c r="G46" i="3" s="1"/>
  <c r="AC46" i="3"/>
  <c r="H47" i="3"/>
  <c r="G47" i="3" s="1"/>
  <c r="AC47" i="3"/>
  <c r="H48" i="3"/>
  <c r="G48" i="3" s="1"/>
  <c r="AC48" i="3"/>
  <c r="H49" i="3"/>
  <c r="AC49" i="3"/>
  <c r="G49" i="3"/>
  <c r="H50" i="3"/>
  <c r="AC50" i="3"/>
  <c r="G50" i="3"/>
  <c r="H51" i="3"/>
  <c r="G51" i="3" s="1"/>
  <c r="AC51" i="3"/>
  <c r="H52" i="3"/>
  <c r="AC52" i="3"/>
  <c r="G52" i="3" s="1"/>
  <c r="H53" i="3"/>
  <c r="G53" i="3" s="1"/>
  <c r="AC53" i="3"/>
  <c r="H54" i="3"/>
  <c r="G54" i="3" s="1"/>
  <c r="AC54" i="3"/>
  <c r="H55" i="3"/>
  <c r="G55" i="3" s="1"/>
  <c r="AC55" i="3"/>
  <c r="H56" i="3"/>
  <c r="G56" i="3" s="1"/>
  <c r="AC56" i="3"/>
  <c r="H57" i="3"/>
  <c r="AC57" i="3"/>
  <c r="G57" i="3"/>
  <c r="H58" i="3"/>
  <c r="AC58" i="3"/>
  <c r="G58" i="3"/>
  <c r="H59" i="3"/>
  <c r="G59" i="3" s="1"/>
  <c r="AC59" i="3"/>
  <c r="H60" i="3"/>
  <c r="AC60" i="3"/>
  <c r="G60" i="3" s="1"/>
  <c r="H61" i="3"/>
  <c r="G61" i="3" s="1"/>
  <c r="AC61" i="3"/>
  <c r="H62" i="3"/>
  <c r="G62" i="3" s="1"/>
  <c r="AC62" i="3"/>
  <c r="H63" i="3"/>
  <c r="G63" i="3" s="1"/>
  <c r="AC63" i="3"/>
  <c r="H64" i="3"/>
  <c r="G64" i="3" s="1"/>
  <c r="AC64" i="3"/>
  <c r="H65" i="3"/>
  <c r="AC65" i="3"/>
  <c r="G65" i="3"/>
  <c r="H66" i="3"/>
  <c r="AC66" i="3"/>
  <c r="G66" i="3"/>
  <c r="H67" i="3"/>
  <c r="G67" i="3" s="1"/>
  <c r="AC67" i="3"/>
  <c r="H68" i="3"/>
  <c r="AC68" i="3"/>
  <c r="G68" i="3" s="1"/>
  <c r="H69" i="3"/>
  <c r="G69" i="3" s="1"/>
  <c r="AC69" i="3"/>
  <c r="H70" i="3"/>
  <c r="G70" i="3" s="1"/>
  <c r="AC70" i="3"/>
  <c r="H71" i="3"/>
  <c r="G71" i="3" s="1"/>
  <c r="AC71" i="3"/>
  <c r="H72" i="3"/>
  <c r="G72" i="3" s="1"/>
  <c r="AC72" i="3"/>
  <c r="H73" i="3"/>
  <c r="AC73" i="3"/>
  <c r="G73" i="3"/>
  <c r="H74" i="3"/>
  <c r="AC74" i="3"/>
  <c r="G74" i="3"/>
  <c r="H75" i="3"/>
  <c r="G75" i="3" s="1"/>
  <c r="AC75" i="3"/>
  <c r="H76" i="3"/>
  <c r="AC76" i="3"/>
  <c r="G76" i="3" s="1"/>
  <c r="H77" i="3"/>
  <c r="G77" i="3" s="1"/>
  <c r="AC77" i="3"/>
  <c r="H78" i="3"/>
  <c r="G78" i="3" s="1"/>
  <c r="AC78" i="3"/>
  <c r="H79" i="3"/>
  <c r="G79" i="3" s="1"/>
  <c r="AC79" i="3"/>
  <c r="H80" i="3"/>
  <c r="G80" i="3" s="1"/>
  <c r="AC80" i="3"/>
  <c r="H81" i="3"/>
  <c r="AC81" i="3"/>
  <c r="G81" i="3"/>
  <c r="H82" i="3"/>
  <c r="AC82" i="3"/>
  <c r="G82" i="3"/>
  <c r="H83" i="3"/>
  <c r="G83" i="3" s="1"/>
  <c r="AC83" i="3"/>
  <c r="H84" i="3"/>
  <c r="AC84" i="3"/>
  <c r="G84" i="3" s="1"/>
  <c r="H85" i="3"/>
  <c r="G85" i="3" s="1"/>
  <c r="AC85" i="3"/>
  <c r="H86" i="3"/>
  <c r="G86" i="3" s="1"/>
  <c r="AC86" i="3"/>
  <c r="H87" i="3"/>
  <c r="G87" i="3" s="1"/>
  <c r="AC87" i="3"/>
  <c r="H88" i="3"/>
  <c r="G88" i="3" s="1"/>
  <c r="AC88" i="3"/>
  <c r="H89" i="3"/>
  <c r="AC89" i="3"/>
  <c r="G89" i="3"/>
  <c r="H90" i="3"/>
  <c r="AC90" i="3"/>
  <c r="G90" i="3"/>
  <c r="H91" i="3"/>
  <c r="G91" i="3" s="1"/>
  <c r="AC91" i="3"/>
  <c r="H92" i="3"/>
  <c r="AC92" i="3"/>
  <c r="G92" i="3" s="1"/>
  <c r="H93" i="3"/>
  <c r="G93" i="3" s="1"/>
  <c r="AC93" i="3"/>
  <c r="H94" i="3"/>
  <c r="G94" i="3" s="1"/>
  <c r="AC94" i="3"/>
  <c r="H95" i="3"/>
  <c r="G95" i="3" s="1"/>
  <c r="AC95" i="3"/>
  <c r="H96" i="3"/>
  <c r="G96" i="3" s="1"/>
  <c r="AC96" i="3"/>
  <c r="H97" i="3"/>
  <c r="AC97" i="3"/>
  <c r="G97" i="3"/>
  <c r="H98" i="3"/>
  <c r="AC98" i="3"/>
  <c r="G98" i="3"/>
  <c r="H99" i="3"/>
  <c r="G99" i="3" s="1"/>
  <c r="AC99" i="3"/>
  <c r="H100" i="3"/>
  <c r="AC100" i="3"/>
  <c r="G100" i="3" s="1"/>
  <c r="H101" i="3"/>
  <c r="G101" i="3" s="1"/>
  <c r="AC101" i="3"/>
  <c r="H102" i="3"/>
  <c r="G102" i="3" s="1"/>
  <c r="AC102" i="3"/>
  <c r="H103" i="3"/>
  <c r="G103" i="3" s="1"/>
  <c r="AC103" i="3"/>
  <c r="H104" i="3"/>
  <c r="G104" i="3" s="1"/>
  <c r="AC104" i="3"/>
  <c r="H105" i="3"/>
  <c r="AC105" i="3"/>
  <c r="G105" i="3"/>
  <c r="H106" i="3"/>
  <c r="AC106" i="3"/>
  <c r="G106" i="3"/>
  <c r="H107" i="3"/>
  <c r="G107" i="3" s="1"/>
  <c r="AC107" i="3"/>
  <c r="H108" i="3"/>
  <c r="AC108" i="3"/>
  <c r="G108" i="3" s="1"/>
  <c r="H109" i="3"/>
  <c r="G109" i="3" s="1"/>
  <c r="AC109" i="3"/>
  <c r="H110" i="3"/>
  <c r="G110" i="3" s="1"/>
  <c r="AC110" i="3"/>
  <c r="H111" i="3"/>
  <c r="G111" i="3" s="1"/>
  <c r="AC111" i="3"/>
  <c r="H112" i="3"/>
  <c r="G112" i="3" s="1"/>
  <c r="AC112" i="3"/>
  <c r="H113" i="3"/>
  <c r="AC113" i="3"/>
  <c r="G113" i="3"/>
  <c r="H114" i="3"/>
  <c r="AC114" i="3"/>
  <c r="G114" i="3"/>
  <c r="H115" i="3"/>
  <c r="G115" i="3" s="1"/>
  <c r="AC115" i="3"/>
  <c r="H116" i="3"/>
  <c r="AC116" i="3"/>
  <c r="G116" i="3" s="1"/>
  <c r="H117" i="3"/>
  <c r="G117" i="3" s="1"/>
  <c r="AC117" i="3"/>
  <c r="H118" i="3"/>
  <c r="G118" i="3" s="1"/>
  <c r="AC118" i="3"/>
  <c r="H119" i="3"/>
  <c r="G119" i="3" s="1"/>
  <c r="AC119" i="3"/>
  <c r="H120" i="3"/>
  <c r="G120" i="3" s="1"/>
  <c r="AC120" i="3"/>
  <c r="H121" i="3"/>
  <c r="AC121" i="3"/>
  <c r="G121" i="3"/>
  <c r="H122" i="3"/>
  <c r="AC122" i="3"/>
  <c r="G122" i="3"/>
  <c r="H123" i="3"/>
  <c r="G123" i="3" s="1"/>
  <c r="AC123" i="3"/>
  <c r="H124" i="3"/>
  <c r="AC124" i="3"/>
  <c r="G124" i="3" s="1"/>
  <c r="H125" i="3"/>
  <c r="G125" i="3" s="1"/>
  <c r="AC125" i="3"/>
  <c r="H126" i="3"/>
  <c r="G126" i="3" s="1"/>
  <c r="AC126" i="3"/>
  <c r="H127" i="3"/>
  <c r="G127" i="3" s="1"/>
  <c r="AC127" i="3"/>
  <c r="H128" i="3"/>
  <c r="G128" i="3" s="1"/>
  <c r="AC128" i="3"/>
  <c r="H129" i="3"/>
  <c r="AC129" i="3"/>
  <c r="G129" i="3"/>
  <c r="H130" i="3"/>
  <c r="AC130" i="3"/>
  <c r="G130" i="3"/>
  <c r="H131" i="3"/>
  <c r="G131" i="3" s="1"/>
  <c r="AC131" i="3"/>
  <c r="H132" i="3"/>
  <c r="AC132" i="3"/>
  <c r="G132" i="3" s="1"/>
  <c r="H133" i="3"/>
  <c r="G133" i="3" s="1"/>
  <c r="AC133" i="3"/>
  <c r="H134" i="3"/>
  <c r="G134" i="3" s="1"/>
  <c r="AC134" i="3"/>
  <c r="H135" i="3"/>
  <c r="G135" i="3" s="1"/>
  <c r="AC135" i="3"/>
  <c r="H136" i="3"/>
  <c r="G136" i="3" s="1"/>
  <c r="AC136" i="3"/>
  <c r="H137" i="3"/>
  <c r="AC137" i="3"/>
  <c r="G137" i="3"/>
  <c r="H138" i="3"/>
  <c r="AC138" i="3"/>
  <c r="G138" i="3"/>
  <c r="H139" i="3"/>
  <c r="G139" i="3" s="1"/>
  <c r="AC139" i="3"/>
  <c r="H140" i="3"/>
  <c r="AC140" i="3"/>
  <c r="G140" i="3" s="1"/>
  <c r="H141" i="3"/>
  <c r="G141" i="3" s="1"/>
  <c r="AC141" i="3"/>
  <c r="H142" i="3"/>
  <c r="G142" i="3" s="1"/>
  <c r="AC142" i="3"/>
  <c r="H143" i="3"/>
  <c r="G143" i="3" s="1"/>
  <c r="AC143" i="3"/>
  <c r="H144" i="3"/>
  <c r="G144" i="3" s="1"/>
  <c r="AC144" i="3"/>
  <c r="H145" i="3"/>
  <c r="AC145" i="3"/>
  <c r="G145" i="3"/>
  <c r="H146" i="3"/>
  <c r="AC146" i="3"/>
  <c r="G146" i="3"/>
  <c r="H147" i="3"/>
  <c r="G147" i="3" s="1"/>
  <c r="AC147" i="3"/>
  <c r="H148" i="3"/>
  <c r="AC148" i="3"/>
  <c r="G148" i="3" s="1"/>
  <c r="H149" i="3"/>
  <c r="G149" i="3" s="1"/>
  <c r="AC149" i="3"/>
  <c r="H150" i="3"/>
  <c r="G150" i="3" s="1"/>
  <c r="AC150" i="3"/>
  <c r="H151" i="3"/>
  <c r="G151" i="3" s="1"/>
  <c r="AC151" i="3"/>
  <c r="H152" i="3"/>
  <c r="G152" i="3" s="1"/>
  <c r="AC152" i="3"/>
  <c r="H153" i="3"/>
  <c r="AC153" i="3"/>
  <c r="G153" i="3"/>
  <c r="H154" i="3"/>
  <c r="AC154" i="3"/>
  <c r="G154" i="3"/>
  <c r="H155" i="3"/>
  <c r="G155" i="3" s="1"/>
  <c r="AC155" i="3"/>
  <c r="H156" i="3"/>
  <c r="AC156" i="3"/>
  <c r="G156" i="3" s="1"/>
  <c r="H157" i="3"/>
  <c r="G157" i="3" s="1"/>
  <c r="AC157" i="3"/>
  <c r="H158" i="3"/>
  <c r="G158" i="3" s="1"/>
  <c r="AC158" i="3"/>
  <c r="H159" i="3"/>
  <c r="G159" i="3" s="1"/>
  <c r="AC159" i="3"/>
  <c r="H160" i="3"/>
  <c r="G160" i="3" s="1"/>
  <c r="AC160" i="3"/>
  <c r="H161" i="3"/>
  <c r="AC161" i="3"/>
  <c r="G161" i="3"/>
  <c r="H162" i="3"/>
  <c r="AC162" i="3"/>
  <c r="G162" i="3"/>
  <c r="H163" i="3"/>
  <c r="G163" i="3" s="1"/>
  <c r="AC163" i="3"/>
  <c r="H164" i="3"/>
  <c r="AC164" i="3"/>
  <c r="G164" i="3" s="1"/>
  <c r="H165" i="3"/>
  <c r="G165" i="3" s="1"/>
  <c r="AC165" i="3"/>
  <c r="H166" i="3"/>
  <c r="G166" i="3" s="1"/>
  <c r="AC166" i="3"/>
  <c r="H167" i="3"/>
  <c r="G167" i="3" s="1"/>
  <c r="AC167" i="3"/>
  <c r="H168" i="3"/>
  <c r="G168" i="3" s="1"/>
  <c r="AC168" i="3"/>
  <c r="H169" i="3"/>
  <c r="AC169" i="3"/>
  <c r="G169" i="3"/>
  <c r="H170" i="3"/>
  <c r="AC170" i="3"/>
  <c r="G170" i="3"/>
  <c r="H171" i="3"/>
  <c r="G171" i="3" s="1"/>
  <c r="AC171" i="3"/>
  <c r="H172" i="3"/>
  <c r="AC172" i="3"/>
  <c r="G172" i="3" s="1"/>
  <c r="H173" i="3"/>
  <c r="G173" i="3" s="1"/>
  <c r="AC173" i="3"/>
  <c r="H174" i="3"/>
  <c r="G174" i="3" s="1"/>
  <c r="AC174" i="3"/>
  <c r="H175" i="3"/>
  <c r="G175" i="3" s="1"/>
  <c r="AC175" i="3"/>
  <c r="H176" i="3"/>
  <c r="G176" i="3" s="1"/>
  <c r="AC176" i="3"/>
  <c r="H177" i="3"/>
  <c r="AC177" i="3"/>
  <c r="G177" i="3"/>
  <c r="H178" i="3"/>
  <c r="AC178" i="3"/>
  <c r="G178" i="3"/>
  <c r="H179" i="3"/>
  <c r="G179" i="3" s="1"/>
  <c r="AC179" i="3"/>
  <c r="H180" i="3"/>
  <c r="AC180" i="3"/>
  <c r="G180" i="3" s="1"/>
  <c r="H181" i="3"/>
  <c r="G181" i="3" s="1"/>
  <c r="AC181" i="3"/>
  <c r="H182" i="3"/>
  <c r="G182" i="3" s="1"/>
  <c r="AC182" i="3"/>
  <c r="H183" i="3"/>
  <c r="G183" i="3" s="1"/>
  <c r="AC183" i="3"/>
  <c r="H184" i="3"/>
  <c r="G184" i="3" s="1"/>
  <c r="AC184" i="3"/>
  <c r="H185" i="3"/>
  <c r="AC185" i="3"/>
  <c r="G185" i="3"/>
  <c r="H186" i="3"/>
  <c r="AC186" i="3"/>
  <c r="G186" i="3"/>
  <c r="H187" i="3"/>
  <c r="G187" i="3" s="1"/>
  <c r="AC187" i="3"/>
  <c r="H188" i="3"/>
  <c r="AC188" i="3"/>
  <c r="G188" i="3" s="1"/>
  <c r="H189" i="3"/>
  <c r="G189" i="3" s="1"/>
  <c r="AC189" i="3"/>
  <c r="H190" i="3"/>
  <c r="G190" i="3" s="1"/>
  <c r="AC190" i="3"/>
  <c r="H191" i="3"/>
  <c r="G191" i="3" s="1"/>
  <c r="AC191" i="3"/>
  <c r="H192" i="3"/>
  <c r="G192" i="3" s="1"/>
  <c r="AC192" i="3"/>
  <c r="H193" i="3"/>
  <c r="AC193" i="3"/>
  <c r="G193" i="3"/>
  <c r="H194" i="3"/>
  <c r="AC194" i="3"/>
  <c r="G194" i="3"/>
  <c r="H195" i="3"/>
  <c r="G195" i="3" s="1"/>
  <c r="AC195" i="3"/>
  <c r="H196" i="3"/>
  <c r="AC196" i="3"/>
  <c r="G196" i="3" s="1"/>
  <c r="H197" i="3"/>
  <c r="G197" i="3" s="1"/>
  <c r="AC197" i="3"/>
  <c r="H198" i="3"/>
  <c r="G198" i="3" s="1"/>
  <c r="AC198" i="3"/>
  <c r="H199" i="3"/>
  <c r="G199" i="3" s="1"/>
  <c r="AC199" i="3"/>
  <c r="H200" i="3"/>
  <c r="G200" i="3" s="1"/>
  <c r="AC200" i="3"/>
  <c r="H201" i="3"/>
  <c r="AC201" i="3"/>
  <c r="G201" i="3"/>
  <c r="H202" i="3"/>
  <c r="AC202" i="3"/>
  <c r="G202" i="3"/>
  <c r="H203" i="3"/>
  <c r="G203" i="3" s="1"/>
  <c r="AC203" i="3"/>
  <c r="H204" i="3"/>
  <c r="AC204" i="3"/>
  <c r="G204" i="3" s="1"/>
  <c r="H205" i="3"/>
  <c r="G205" i="3" s="1"/>
  <c r="AC205" i="3"/>
  <c r="H206" i="3"/>
  <c r="G206" i="3" s="1"/>
  <c r="AC206" i="3"/>
  <c r="H207" i="3"/>
  <c r="G207" i="3" s="1"/>
  <c r="AC207" i="3"/>
  <c r="H208" i="3"/>
  <c r="G208" i="3" s="1"/>
  <c r="AC208" i="3"/>
  <c r="H209" i="3"/>
  <c r="AC209" i="3"/>
  <c r="G209" i="3"/>
  <c r="H210" i="3"/>
  <c r="AC210" i="3"/>
  <c r="G210" i="3"/>
  <c r="H211" i="3"/>
  <c r="G211" i="3" s="1"/>
  <c r="AC211" i="3"/>
  <c r="H212" i="3"/>
  <c r="AC212" i="3"/>
  <c r="G212" i="3" s="1"/>
  <c r="H213" i="3"/>
  <c r="G213" i="3" s="1"/>
  <c r="AC213" i="3"/>
  <c r="H214" i="3"/>
  <c r="G214" i="3" s="1"/>
  <c r="AC214" i="3"/>
  <c r="H215" i="3"/>
  <c r="G215" i="3" s="1"/>
  <c r="AC215" i="3"/>
  <c r="H216" i="3"/>
  <c r="G216" i="3" s="1"/>
  <c r="AC216" i="3"/>
  <c r="H217" i="3"/>
  <c r="AC217" i="3"/>
  <c r="G217" i="3"/>
  <c r="H218" i="3"/>
  <c r="AC218" i="3"/>
  <c r="G218" i="3"/>
  <c r="H219" i="3"/>
  <c r="G219" i="3" s="1"/>
  <c r="AC219" i="3"/>
  <c r="H220" i="3"/>
  <c r="AC220" i="3"/>
  <c r="G220" i="3" s="1"/>
  <c r="H221" i="3"/>
  <c r="G221" i="3" s="1"/>
  <c r="AC221" i="3"/>
  <c r="H222" i="3"/>
  <c r="G222" i="3" s="1"/>
  <c r="AC222" i="3"/>
  <c r="H223" i="3"/>
  <c r="G223" i="3" s="1"/>
  <c r="AC223" i="3"/>
  <c r="H224" i="3"/>
  <c r="G224" i="3" s="1"/>
  <c r="AC224" i="3"/>
  <c r="H225" i="3"/>
  <c r="AC225" i="3"/>
  <c r="G225" i="3"/>
  <c r="H226" i="3"/>
  <c r="AC226" i="3"/>
  <c r="G226" i="3"/>
  <c r="H227" i="3"/>
  <c r="G227" i="3" s="1"/>
  <c r="AC227" i="3"/>
  <c r="H228" i="3"/>
  <c r="AC228" i="3"/>
  <c r="G228" i="3" s="1"/>
  <c r="H229" i="3"/>
  <c r="G229" i="3" s="1"/>
  <c r="AC229" i="3"/>
  <c r="H230" i="3"/>
  <c r="G230" i="3" s="1"/>
  <c r="AC230" i="3"/>
  <c r="H231" i="3"/>
  <c r="G231" i="3" s="1"/>
  <c r="AC231" i="3"/>
  <c r="H232" i="3"/>
  <c r="G232" i="3" s="1"/>
  <c r="AC232" i="3"/>
  <c r="H233" i="3"/>
  <c r="AC233" i="3"/>
  <c r="G233" i="3"/>
  <c r="H234" i="3"/>
  <c r="AC234" i="3"/>
  <c r="G234" i="3"/>
  <c r="H235" i="3"/>
  <c r="G235" i="3" s="1"/>
  <c r="AC235" i="3"/>
  <c r="H236" i="3"/>
  <c r="AC236" i="3"/>
  <c r="G236" i="3" s="1"/>
  <c r="H237" i="3"/>
  <c r="G237" i="3" s="1"/>
  <c r="AC237" i="3"/>
  <c r="H238" i="3"/>
  <c r="G238" i="3" s="1"/>
  <c r="AC238" i="3"/>
  <c r="H239" i="3"/>
  <c r="G239" i="3" s="1"/>
  <c r="AC239" i="3"/>
  <c r="H240" i="3"/>
  <c r="G240" i="3" s="1"/>
  <c r="AC240" i="3"/>
  <c r="H241" i="3"/>
  <c r="AC241" i="3"/>
  <c r="G241" i="3"/>
  <c r="H242" i="3"/>
  <c r="AC242" i="3"/>
  <c r="G242" i="3"/>
  <c r="H243" i="3"/>
  <c r="G243" i="3" s="1"/>
  <c r="AC243" i="3"/>
  <c r="H244" i="3"/>
  <c r="AC244" i="3"/>
  <c r="G244" i="3" s="1"/>
  <c r="H245" i="3"/>
  <c r="G245" i="3" s="1"/>
  <c r="AC245" i="3"/>
  <c r="H246" i="3"/>
  <c r="AC246" i="3"/>
  <c r="G246" i="3"/>
  <c r="H247" i="3"/>
  <c r="G247" i="3" s="1"/>
  <c r="AC247" i="3"/>
  <c r="H248" i="3"/>
  <c r="G248" i="3" s="1"/>
  <c r="AC248" i="3"/>
  <c r="H249" i="3"/>
  <c r="AC249" i="3"/>
  <c r="G249" i="3"/>
  <c r="H250" i="3"/>
  <c r="AC250" i="3"/>
  <c r="G250" i="3"/>
  <c r="H251" i="3"/>
  <c r="G251" i="3" s="1"/>
  <c r="AC251" i="3"/>
  <c r="H252" i="3"/>
  <c r="AC252" i="3"/>
  <c r="G252" i="3" s="1"/>
  <c r="H253" i="3"/>
  <c r="G253" i="3" s="1"/>
  <c r="AC253" i="3"/>
  <c r="H254" i="3"/>
  <c r="AC254" i="3"/>
  <c r="G254" i="3"/>
  <c r="H255" i="3"/>
  <c r="G255" i="3" s="1"/>
  <c r="AC255" i="3"/>
  <c r="H256" i="3"/>
  <c r="G256" i="3" s="1"/>
  <c r="AC256" i="3"/>
  <c r="H257" i="3"/>
  <c r="AC257" i="3"/>
  <c r="G257" i="3"/>
  <c r="H258" i="3"/>
  <c r="AC258" i="3"/>
  <c r="G258" i="3"/>
  <c r="H259" i="3"/>
  <c r="G259" i="3" s="1"/>
  <c r="AC259" i="3"/>
  <c r="H260" i="3"/>
  <c r="AC260" i="3"/>
  <c r="G260" i="3" s="1"/>
  <c r="H261" i="3"/>
  <c r="G261" i="3" s="1"/>
  <c r="AC261" i="3"/>
  <c r="H262" i="3"/>
  <c r="AC262" i="3"/>
  <c r="G262" i="3"/>
  <c r="H263" i="3"/>
  <c r="G263" i="3" s="1"/>
  <c r="AC263" i="3"/>
  <c r="H264" i="3"/>
  <c r="G264" i="3" s="1"/>
  <c r="AC264" i="3"/>
  <c r="H265" i="3"/>
  <c r="AC265" i="3"/>
  <c r="G265" i="3"/>
  <c r="H266" i="3"/>
  <c r="AC266" i="3"/>
  <c r="G266" i="3"/>
  <c r="H267" i="3"/>
  <c r="G267" i="3" s="1"/>
  <c r="AC267" i="3"/>
  <c r="H268" i="3"/>
  <c r="AC268" i="3"/>
  <c r="G268" i="3" s="1"/>
  <c r="H269" i="3"/>
  <c r="G269" i="3" s="1"/>
  <c r="AC269" i="3"/>
  <c r="H270" i="3"/>
  <c r="AC270" i="3"/>
  <c r="G270" i="3"/>
  <c r="H271" i="3"/>
  <c r="G271" i="3" s="1"/>
  <c r="AC271" i="3"/>
  <c r="H272" i="3"/>
  <c r="G272" i="3" s="1"/>
  <c r="AC272" i="3"/>
  <c r="H273" i="3"/>
  <c r="AC273" i="3"/>
  <c r="G273" i="3"/>
  <c r="H274" i="3"/>
  <c r="AC274" i="3"/>
  <c r="G274" i="3"/>
  <c r="H275" i="3"/>
  <c r="G275" i="3" s="1"/>
  <c r="AC275" i="3"/>
  <c r="H276" i="3"/>
  <c r="AC276" i="3"/>
  <c r="G276" i="3" s="1"/>
  <c r="H277" i="3"/>
  <c r="G277" i="3" s="1"/>
  <c r="AC277" i="3"/>
  <c r="H278" i="3"/>
  <c r="AC278" i="3"/>
  <c r="G278" i="3"/>
  <c r="H279" i="3"/>
  <c r="G279" i="3" s="1"/>
  <c r="AC279" i="3"/>
  <c r="H280" i="3"/>
  <c r="G280" i="3" s="1"/>
  <c r="AC280" i="3"/>
  <c r="H281" i="3"/>
  <c r="AC281" i="3"/>
  <c r="G281" i="3"/>
  <c r="H282" i="3"/>
  <c r="AC282" i="3"/>
  <c r="G282" i="3"/>
  <c r="H283" i="3"/>
  <c r="G283" i="3" s="1"/>
  <c r="AC283" i="3"/>
  <c r="H284" i="3"/>
  <c r="AC284" i="3"/>
  <c r="G284" i="3" s="1"/>
  <c r="H285" i="3"/>
  <c r="G285" i="3" s="1"/>
  <c r="AC285" i="3"/>
  <c r="H286" i="3"/>
  <c r="AC286" i="3"/>
  <c r="G286" i="3"/>
  <c r="H287" i="3"/>
  <c r="G287" i="3" s="1"/>
  <c r="AC287" i="3"/>
  <c r="H288" i="3"/>
  <c r="G288" i="3" s="1"/>
  <c r="AC288" i="3"/>
  <c r="H289" i="3"/>
  <c r="AC289" i="3"/>
  <c r="G289" i="3"/>
  <c r="H290" i="3"/>
  <c r="AC290" i="3"/>
  <c r="G290" i="3"/>
  <c r="H291" i="3"/>
  <c r="G291" i="3" s="1"/>
  <c r="AC291" i="3"/>
  <c r="H292" i="3"/>
  <c r="AC292" i="3"/>
  <c r="G292" i="3" s="1"/>
  <c r="H293" i="3"/>
  <c r="G293" i="3" s="1"/>
  <c r="AC293" i="3"/>
  <c r="H294" i="3"/>
  <c r="AC294" i="3"/>
  <c r="G294" i="3"/>
  <c r="H295" i="3"/>
  <c r="G295" i="3" s="1"/>
  <c r="AC295" i="3"/>
  <c r="H296" i="3"/>
  <c r="G296" i="3" s="1"/>
  <c r="AC296" i="3"/>
  <c r="H297" i="3"/>
  <c r="AC297" i="3"/>
  <c r="G297" i="3"/>
  <c r="H298" i="3"/>
  <c r="AC298" i="3"/>
  <c r="G298" i="3"/>
  <c r="H299" i="3"/>
  <c r="G299" i="3" s="1"/>
  <c r="AC299" i="3"/>
  <c r="H300" i="3"/>
  <c r="AC300" i="3"/>
  <c r="G300" i="3" s="1"/>
  <c r="H301" i="3"/>
  <c r="G301" i="3" s="1"/>
  <c r="AC301" i="3"/>
  <c r="H302" i="3"/>
  <c r="AC302" i="3"/>
  <c r="G302" i="3"/>
  <c r="H303" i="3"/>
  <c r="G303" i="3" s="1"/>
  <c r="AC303" i="3"/>
  <c r="H304" i="3"/>
  <c r="G304" i="3" s="1"/>
  <c r="AC304" i="3"/>
  <c r="H305" i="3"/>
  <c r="AC305" i="3"/>
  <c r="G305" i="3"/>
  <c r="H306" i="3"/>
  <c r="AC306" i="3"/>
  <c r="G306" i="3"/>
  <c r="H307" i="3"/>
  <c r="G307" i="3" s="1"/>
  <c r="AC307" i="3"/>
  <c r="H308" i="3"/>
  <c r="AC308" i="3"/>
  <c r="G308" i="3" s="1"/>
  <c r="H309" i="3"/>
  <c r="G309" i="3" s="1"/>
  <c r="AC309" i="3"/>
  <c r="H310" i="3"/>
  <c r="AC310" i="3"/>
  <c r="G310" i="3"/>
  <c r="H311" i="3"/>
  <c r="G311" i="3" s="1"/>
  <c r="AC311" i="3"/>
  <c r="H312" i="3"/>
  <c r="G312" i="3" s="1"/>
  <c r="AC312" i="3"/>
  <c r="H313" i="3"/>
  <c r="AC313" i="3"/>
  <c r="G313" i="3"/>
  <c r="H314" i="3"/>
  <c r="AC314" i="3"/>
  <c r="G314" i="3"/>
  <c r="H315" i="3"/>
  <c r="G315" i="3" s="1"/>
  <c r="AC315" i="3"/>
  <c r="H316" i="3"/>
  <c r="AC316" i="3"/>
  <c r="G316" i="3" s="1"/>
  <c r="H317" i="3"/>
  <c r="G317" i="3" s="1"/>
  <c r="AC317" i="3"/>
  <c r="H318" i="3"/>
  <c r="AC318" i="3"/>
  <c r="G318" i="3"/>
  <c r="H319" i="3"/>
  <c r="G319" i="3" s="1"/>
  <c r="AC319" i="3"/>
  <c r="H320" i="3"/>
  <c r="G320" i="3" s="1"/>
  <c r="AC320" i="3"/>
  <c r="H321" i="3"/>
  <c r="AC321" i="3"/>
  <c r="G321" i="3"/>
  <c r="H322" i="3"/>
  <c r="AC322" i="3"/>
  <c r="G322" i="3"/>
  <c r="H323" i="3"/>
  <c r="G323" i="3" s="1"/>
  <c r="AC323" i="3"/>
  <c r="H324" i="3"/>
  <c r="AC324" i="3"/>
  <c r="G324" i="3" s="1"/>
  <c r="H325" i="3"/>
  <c r="G325" i="3" s="1"/>
  <c r="AC325" i="3"/>
  <c r="H326" i="3"/>
  <c r="AC326" i="3"/>
  <c r="G326" i="3"/>
  <c r="H327" i="3"/>
  <c r="G327" i="3" s="1"/>
  <c r="AC327" i="3"/>
  <c r="H328" i="3"/>
  <c r="G328" i="3" s="1"/>
  <c r="AC328" i="3"/>
  <c r="H329" i="3"/>
  <c r="AC329" i="3"/>
  <c r="G329" i="3"/>
  <c r="H330" i="3"/>
  <c r="AC330" i="3"/>
  <c r="G330" i="3"/>
  <c r="H331" i="3"/>
  <c r="G331" i="3" s="1"/>
  <c r="AC331" i="3"/>
  <c r="H332" i="3"/>
  <c r="AC332" i="3"/>
  <c r="G332" i="3" s="1"/>
  <c r="H333" i="3"/>
  <c r="G333" i="3" s="1"/>
  <c r="AC333" i="3"/>
  <c r="H334" i="3"/>
  <c r="AC334" i="3"/>
  <c r="G334" i="3"/>
  <c r="H335" i="3"/>
  <c r="G335" i="3" s="1"/>
  <c r="AC335" i="3"/>
  <c r="H336" i="3"/>
  <c r="G336" i="3" s="1"/>
  <c r="AC336" i="3"/>
  <c r="H337" i="3"/>
  <c r="AC337" i="3"/>
  <c r="G337" i="3"/>
  <c r="H338" i="3"/>
  <c r="AC338" i="3"/>
  <c r="G338" i="3"/>
  <c r="H339" i="3"/>
  <c r="G339" i="3" s="1"/>
  <c r="AC339" i="3"/>
  <c r="H340" i="3"/>
  <c r="AC340" i="3"/>
  <c r="G340" i="3" s="1"/>
  <c r="H341" i="3"/>
  <c r="G341" i="3" s="1"/>
  <c r="AC341" i="3"/>
  <c r="H342" i="3"/>
  <c r="AC342" i="3"/>
  <c r="G342" i="3"/>
  <c r="H343" i="3"/>
  <c r="G343" i="3" s="1"/>
  <c r="AC343" i="3"/>
  <c r="H344" i="3"/>
  <c r="G344" i="3" s="1"/>
  <c r="AC344" i="3"/>
  <c r="H345" i="3"/>
  <c r="AC345" i="3"/>
  <c r="G345" i="3"/>
  <c r="H346" i="3"/>
  <c r="AC346" i="3"/>
  <c r="G346" i="3"/>
  <c r="H347" i="3"/>
  <c r="G347" i="3" s="1"/>
  <c r="AC347" i="3"/>
  <c r="H348" i="3"/>
  <c r="AC348" i="3"/>
  <c r="G348" i="3" s="1"/>
  <c r="H349" i="3"/>
  <c r="G349" i="3" s="1"/>
  <c r="AC349" i="3"/>
  <c r="H350" i="3"/>
  <c r="AC350" i="3"/>
  <c r="G350" i="3"/>
  <c r="H351" i="3"/>
  <c r="G351" i="3" s="1"/>
  <c r="AC351" i="3"/>
  <c r="H352" i="3"/>
  <c r="G352" i="3" s="1"/>
  <c r="AC352" i="3"/>
  <c r="H353" i="3"/>
  <c r="AC353" i="3"/>
  <c r="G353" i="3"/>
  <c r="H354" i="3"/>
  <c r="AC354" i="3"/>
  <c r="G354" i="3"/>
  <c r="H355" i="3"/>
  <c r="G355" i="3" s="1"/>
  <c r="AC355" i="3"/>
  <c r="H356" i="3"/>
  <c r="AC356" i="3"/>
  <c r="G356" i="3" s="1"/>
  <c r="H357" i="3"/>
  <c r="G357" i="3" s="1"/>
  <c r="AC357" i="3"/>
  <c r="H358" i="3"/>
  <c r="AC358" i="3"/>
  <c r="G358" i="3"/>
  <c r="H359" i="3"/>
  <c r="G359" i="3" s="1"/>
  <c r="AC359" i="3"/>
  <c r="H360" i="3"/>
  <c r="G360" i="3" s="1"/>
  <c r="AC360" i="3"/>
  <c r="H361" i="3"/>
  <c r="AC361" i="3"/>
  <c r="G361" i="3"/>
  <c r="H362" i="3"/>
  <c r="AC362" i="3"/>
  <c r="G362" i="3"/>
  <c r="H363" i="3"/>
  <c r="G363" i="3" s="1"/>
  <c r="AC363" i="3"/>
  <c r="H364" i="3"/>
  <c r="AC364" i="3"/>
  <c r="G364" i="3" s="1"/>
  <c r="H365" i="3"/>
  <c r="G365" i="3" s="1"/>
  <c r="AC365" i="3"/>
  <c r="H366" i="3"/>
  <c r="AC366" i="3"/>
  <c r="G366" i="3"/>
  <c r="H367" i="3"/>
  <c r="G367" i="3" s="1"/>
  <c r="AC367" i="3"/>
  <c r="H368" i="3"/>
  <c r="G368" i="3" s="1"/>
  <c r="AC368" i="3"/>
  <c r="H369" i="3"/>
  <c r="AC369" i="3"/>
  <c r="G369" i="3"/>
  <c r="H370" i="3"/>
  <c r="AC370" i="3"/>
  <c r="G370" i="3"/>
  <c r="H371" i="3"/>
  <c r="G371" i="3" s="1"/>
  <c r="AC371" i="3"/>
  <c r="H372" i="3"/>
  <c r="AC372" i="3"/>
  <c r="G372" i="3" s="1"/>
  <c r="H373" i="3"/>
  <c r="G373" i="3" s="1"/>
  <c r="AC373" i="3"/>
  <c r="H374" i="3"/>
  <c r="AC374" i="3"/>
  <c r="G374" i="3"/>
  <c r="H375" i="3"/>
  <c r="G375" i="3" s="1"/>
  <c r="AC375" i="3"/>
  <c r="H376" i="3"/>
  <c r="G376" i="3" s="1"/>
  <c r="AC376" i="3"/>
  <c r="H377" i="3"/>
  <c r="AC377" i="3"/>
  <c r="G377" i="3"/>
  <c r="H378" i="3"/>
  <c r="AC378" i="3"/>
  <c r="G378" i="3"/>
  <c r="H379" i="3"/>
  <c r="G379" i="3" s="1"/>
  <c r="AC379" i="3"/>
  <c r="H380" i="3"/>
  <c r="AC380" i="3"/>
  <c r="G380" i="3" s="1"/>
  <c r="H381" i="3"/>
  <c r="G381" i="3" s="1"/>
  <c r="AC381" i="3"/>
  <c r="H382" i="3"/>
  <c r="AC382" i="3"/>
  <c r="G382" i="3"/>
  <c r="H383" i="3"/>
  <c r="G383" i="3" s="1"/>
  <c r="AC383" i="3"/>
  <c r="H384" i="3"/>
  <c r="G384" i="3" s="1"/>
  <c r="AC384" i="3"/>
  <c r="H385" i="3"/>
  <c r="AC385" i="3"/>
  <c r="G385" i="3"/>
  <c r="H386" i="3"/>
  <c r="AC386" i="3"/>
  <c r="G386" i="3"/>
  <c r="H387" i="3"/>
  <c r="G387" i="3" s="1"/>
  <c r="AC387" i="3"/>
  <c r="H388" i="3"/>
  <c r="AC388" i="3"/>
  <c r="G388" i="3" s="1"/>
  <c r="H389" i="3"/>
  <c r="G389" i="3" s="1"/>
  <c r="AC389" i="3"/>
  <c r="H390" i="3"/>
  <c r="AC390" i="3"/>
  <c r="G390" i="3"/>
  <c r="H391" i="3"/>
  <c r="G391" i="3" s="1"/>
  <c r="AC391" i="3"/>
  <c r="H392" i="3"/>
  <c r="G392" i="3" s="1"/>
  <c r="AC392" i="3"/>
  <c r="H393" i="3"/>
  <c r="AC393" i="3"/>
  <c r="G393" i="3"/>
  <c r="H394" i="3"/>
  <c r="AC394" i="3"/>
  <c r="G394" i="3"/>
  <c r="H395" i="3"/>
  <c r="G395" i="3" s="1"/>
  <c r="AC395" i="3"/>
  <c r="H396" i="3"/>
  <c r="AC396" i="3"/>
  <c r="G396" i="3" s="1"/>
  <c r="H397" i="3"/>
  <c r="G397" i="3" s="1"/>
  <c r="AC397" i="3"/>
  <c r="H398" i="3"/>
  <c r="AC398" i="3"/>
  <c r="G398" i="3"/>
  <c r="H399" i="3"/>
  <c r="G399" i="3" s="1"/>
  <c r="AC399" i="3"/>
  <c r="H400" i="3"/>
  <c r="G400" i="3" s="1"/>
  <c r="AC400" i="3"/>
  <c r="H401" i="3"/>
  <c r="AC401" i="3"/>
  <c r="G401" i="3"/>
  <c r="H402" i="3"/>
  <c r="AC402" i="3"/>
  <c r="G402" i="3"/>
  <c r="H403" i="3"/>
  <c r="G403" i="3" s="1"/>
  <c r="AC403" i="3"/>
  <c r="H404" i="3"/>
  <c r="AC404" i="3"/>
  <c r="G404" i="3" s="1"/>
  <c r="H405" i="3"/>
  <c r="G405" i="3" s="1"/>
  <c r="AC405" i="3"/>
  <c r="H406" i="3"/>
  <c r="AC406" i="3"/>
  <c r="G406" i="3"/>
  <c r="H407" i="3"/>
  <c r="G407" i="3" s="1"/>
  <c r="AC407" i="3"/>
  <c r="H408" i="3"/>
  <c r="G408" i="3" s="1"/>
  <c r="AC408" i="3"/>
  <c r="H409" i="3"/>
  <c r="AC409" i="3"/>
  <c r="G409" i="3"/>
  <c r="H410" i="3"/>
  <c r="AC410" i="3"/>
  <c r="G410" i="3"/>
  <c r="H411" i="3"/>
  <c r="G411" i="3" s="1"/>
  <c r="AC411" i="3"/>
  <c r="H412" i="3"/>
  <c r="AC412" i="3"/>
  <c r="G412" i="3" s="1"/>
  <c r="H413" i="3"/>
  <c r="G413" i="3" s="1"/>
  <c r="AC413" i="3"/>
  <c r="H414" i="3"/>
  <c r="AC414" i="3"/>
  <c r="G414" i="3"/>
  <c r="H415" i="3"/>
  <c r="G415" i="3" s="1"/>
  <c r="AC415" i="3"/>
  <c r="H416" i="3"/>
  <c r="G416" i="3" s="1"/>
  <c r="AC416" i="3"/>
  <c r="H417" i="3"/>
  <c r="AC417" i="3"/>
  <c r="G417" i="3"/>
  <c r="H418" i="3"/>
  <c r="AC418" i="3"/>
  <c r="G418" i="3"/>
  <c r="H419" i="3"/>
  <c r="G419" i="3" s="1"/>
  <c r="AC419" i="3"/>
  <c r="H420" i="3"/>
  <c r="AC420" i="3"/>
  <c r="G420" i="3" s="1"/>
  <c r="H421" i="3"/>
  <c r="G421" i="3" s="1"/>
  <c r="AC421" i="3"/>
  <c r="H422" i="3"/>
  <c r="AC422" i="3"/>
  <c r="G422" i="3"/>
  <c r="H423" i="3"/>
  <c r="G423" i="3" s="1"/>
  <c r="AC423" i="3"/>
  <c r="H424" i="3"/>
  <c r="G424" i="3" s="1"/>
  <c r="AC424" i="3"/>
  <c r="H425" i="3"/>
  <c r="AC425" i="3"/>
  <c r="G425" i="3"/>
  <c r="H426" i="3"/>
  <c r="AC426" i="3"/>
  <c r="G426" i="3"/>
  <c r="H427" i="3"/>
  <c r="G427" i="3" s="1"/>
  <c r="AC427" i="3"/>
  <c r="H428" i="3"/>
  <c r="AC428" i="3"/>
  <c r="G428" i="3"/>
  <c r="H429" i="3"/>
  <c r="G429" i="3" s="1"/>
  <c r="AC429" i="3"/>
  <c r="H430" i="3"/>
  <c r="AC430" i="3"/>
  <c r="G430" i="3"/>
  <c r="H431" i="3"/>
  <c r="G431" i="3" s="1"/>
  <c r="AC431" i="3"/>
  <c r="H432" i="3"/>
  <c r="G432" i="3" s="1"/>
  <c r="AC432" i="3"/>
  <c r="H433" i="3"/>
  <c r="AC433" i="3"/>
  <c r="G433" i="3"/>
  <c r="H434" i="3"/>
  <c r="AC434" i="3"/>
  <c r="G434" i="3"/>
  <c r="H435" i="3"/>
  <c r="G435" i="3" s="1"/>
  <c r="AC435" i="3"/>
  <c r="H436" i="3"/>
  <c r="AC436" i="3"/>
  <c r="G436" i="3"/>
  <c r="H437" i="3"/>
  <c r="G437" i="3" s="1"/>
  <c r="AC437" i="3"/>
  <c r="H438" i="3"/>
  <c r="AC438" i="3"/>
  <c r="G438" i="3"/>
  <c r="H439" i="3"/>
  <c r="G439" i="3" s="1"/>
  <c r="AC439" i="3"/>
  <c r="H440" i="3"/>
  <c r="G440" i="3" s="1"/>
  <c r="AC440" i="3"/>
  <c r="H441" i="3"/>
  <c r="AC441" i="3"/>
  <c r="G441" i="3"/>
  <c r="H442" i="3"/>
  <c r="G442" i="3" s="1"/>
  <c r="AC442" i="3"/>
  <c r="H443" i="3"/>
  <c r="G443" i="3" s="1"/>
  <c r="AC443" i="3"/>
  <c r="H444" i="3"/>
  <c r="AC444" i="3"/>
  <c r="G444" i="3"/>
  <c r="H445" i="3"/>
  <c r="G445" i="3" s="1"/>
  <c r="AC445" i="3"/>
  <c r="H446" i="3"/>
  <c r="AC446" i="3"/>
  <c r="G446" i="3"/>
  <c r="H447" i="3"/>
  <c r="AC447" i="3"/>
  <c r="H448" i="3"/>
  <c r="G448" i="3" s="1"/>
  <c r="AC448" i="3"/>
  <c r="H449" i="3"/>
  <c r="AC449" i="3"/>
  <c r="G449" i="3"/>
  <c r="H450" i="3"/>
  <c r="G450" i="3" s="1"/>
  <c r="AC450" i="3"/>
  <c r="H451" i="3"/>
  <c r="G451" i="3" s="1"/>
  <c r="AC451" i="3"/>
  <c r="H452" i="3"/>
  <c r="AC452" i="3"/>
  <c r="G452" i="3" s="1"/>
  <c r="H453" i="3"/>
  <c r="G453" i="3" s="1"/>
  <c r="AC453" i="3"/>
  <c r="H454" i="3"/>
  <c r="AC454" i="3"/>
  <c r="G454" i="3"/>
  <c r="H455" i="3"/>
  <c r="AC455" i="3"/>
  <c r="H456" i="3"/>
  <c r="G456" i="3" s="1"/>
  <c r="AC456" i="3"/>
  <c r="H457" i="3"/>
  <c r="AC457" i="3"/>
  <c r="G457" i="3"/>
  <c r="H458" i="3"/>
  <c r="AC458" i="3"/>
  <c r="G458" i="3"/>
  <c r="H459" i="3"/>
  <c r="G459" i="3" s="1"/>
  <c r="AC459" i="3"/>
  <c r="H460" i="3"/>
  <c r="AC460" i="3"/>
  <c r="G460" i="3" s="1"/>
  <c r="H461" i="3"/>
  <c r="AC461" i="3"/>
  <c r="H462" i="3"/>
  <c r="AC462" i="3"/>
  <c r="G462" i="3"/>
  <c r="H463" i="3"/>
  <c r="AC463" i="3"/>
  <c r="H464" i="3"/>
  <c r="G464" i="3" s="1"/>
  <c r="AC464" i="3"/>
  <c r="H465" i="3"/>
  <c r="AC465" i="3"/>
  <c r="G465" i="3"/>
  <c r="H466" i="3"/>
  <c r="G466" i="3" s="1"/>
  <c r="AC466" i="3"/>
  <c r="H467" i="3"/>
  <c r="G467" i="3" s="1"/>
  <c r="AC467" i="3"/>
  <c r="H468" i="3"/>
  <c r="AC468" i="3"/>
  <c r="G468" i="3" s="1"/>
  <c r="H469" i="3"/>
  <c r="G469" i="3" s="1"/>
  <c r="AC469" i="3"/>
  <c r="H470" i="3"/>
  <c r="AC470" i="3"/>
  <c r="G470" i="3"/>
  <c r="H471" i="3"/>
  <c r="AC471" i="3"/>
  <c r="H472" i="3"/>
  <c r="G472" i="3" s="1"/>
  <c r="AC472" i="3"/>
  <c r="H473" i="3"/>
  <c r="AC473" i="3"/>
  <c r="G473" i="3"/>
  <c r="H474" i="3"/>
  <c r="AC474" i="3"/>
  <c r="G474" i="3"/>
  <c r="H475" i="3"/>
  <c r="G475" i="3" s="1"/>
  <c r="AC475" i="3"/>
  <c r="H476" i="3"/>
  <c r="AC476" i="3"/>
  <c r="G476" i="3" s="1"/>
  <c r="H477" i="3"/>
  <c r="AC477" i="3"/>
  <c r="H478" i="3"/>
  <c r="AC478" i="3"/>
  <c r="G478" i="3"/>
  <c r="H479" i="3"/>
  <c r="AC479" i="3"/>
  <c r="H480" i="3"/>
  <c r="G480" i="3" s="1"/>
  <c r="AC480" i="3"/>
  <c r="H481" i="3"/>
  <c r="AC481" i="3"/>
  <c r="G481" i="3"/>
  <c r="H482" i="3"/>
  <c r="G482" i="3" s="1"/>
  <c r="AC482" i="3"/>
  <c r="H483" i="3"/>
  <c r="G483" i="3" s="1"/>
  <c r="AC483" i="3"/>
  <c r="H484" i="3"/>
  <c r="AC484" i="3"/>
  <c r="G484" i="3" s="1"/>
  <c r="H485" i="3"/>
  <c r="G485" i="3" s="1"/>
  <c r="AC485" i="3"/>
  <c r="H486" i="3"/>
  <c r="AC486" i="3"/>
  <c r="G486" i="3"/>
  <c r="H487" i="3"/>
  <c r="AC487" i="3"/>
  <c r="H488" i="3"/>
  <c r="G488" i="3" s="1"/>
  <c r="AC488" i="3"/>
  <c r="H489" i="3"/>
  <c r="AC489" i="3"/>
  <c r="G489" i="3"/>
  <c r="H490" i="3"/>
  <c r="AC490" i="3"/>
  <c r="G490" i="3"/>
  <c r="H491" i="3"/>
  <c r="G491" i="3" s="1"/>
  <c r="AC491" i="3"/>
  <c r="H492" i="3"/>
  <c r="AC492" i="3"/>
  <c r="G492" i="3" s="1"/>
  <c r="H493" i="3"/>
  <c r="AC493" i="3"/>
  <c r="H494" i="3"/>
  <c r="AC494" i="3"/>
  <c r="G494" i="3"/>
  <c r="H495" i="3"/>
  <c r="AC495" i="3"/>
  <c r="H496" i="3"/>
  <c r="G496" i="3" s="1"/>
  <c r="AC496" i="3"/>
  <c r="H497" i="3"/>
  <c r="AC497" i="3"/>
  <c r="G497" i="3"/>
  <c r="H498" i="3"/>
  <c r="G498" i="3" s="1"/>
  <c r="AC498" i="3"/>
  <c r="H499" i="3"/>
  <c r="G499" i="3" s="1"/>
  <c r="AC499" i="3"/>
  <c r="H500" i="3"/>
  <c r="AC500" i="3"/>
  <c r="G500" i="3" s="1"/>
  <c r="H501" i="3"/>
  <c r="G501" i="3" s="1"/>
  <c r="AC501" i="3"/>
  <c r="H502" i="3"/>
  <c r="AC502" i="3"/>
  <c r="G502" i="3"/>
  <c r="H503" i="3"/>
  <c r="AC503" i="3"/>
  <c r="H504" i="3"/>
  <c r="G504" i="3" s="1"/>
  <c r="AC504" i="3"/>
  <c r="H505" i="3"/>
  <c r="AC505" i="3"/>
  <c r="G505" i="3"/>
  <c r="H506" i="3"/>
  <c r="AC506" i="3"/>
  <c r="G506" i="3"/>
  <c r="H507" i="3"/>
  <c r="G507" i="3" s="1"/>
  <c r="AC507" i="3"/>
  <c r="H508" i="3"/>
  <c r="AC508" i="3"/>
  <c r="G508" i="3" s="1"/>
  <c r="H509" i="3"/>
  <c r="AC509" i="3"/>
  <c r="H510" i="3"/>
  <c r="AC510" i="3"/>
  <c r="G510" i="3"/>
  <c r="H511" i="3"/>
  <c r="AC511" i="3"/>
  <c r="H512" i="3"/>
  <c r="G512" i="3" s="1"/>
  <c r="AC512" i="3"/>
  <c r="H513" i="3"/>
  <c r="AC513" i="3"/>
  <c r="G513" i="3"/>
  <c r="H514" i="3"/>
  <c r="G514" i="3" s="1"/>
  <c r="AC514" i="3"/>
  <c r="H515" i="3"/>
  <c r="G515" i="3" s="1"/>
  <c r="AC515" i="3"/>
  <c r="H516" i="3"/>
  <c r="AC516" i="3"/>
  <c r="G516" i="3" s="1"/>
  <c r="H517" i="3"/>
  <c r="G517" i="3" s="1"/>
  <c r="AC517" i="3"/>
  <c r="H518" i="3"/>
  <c r="AC518" i="3"/>
  <c r="G518" i="3"/>
  <c r="H519" i="3"/>
  <c r="AC519" i="3"/>
  <c r="H520" i="3"/>
  <c r="G520" i="3" s="1"/>
  <c r="AC520" i="3"/>
  <c r="H521" i="3"/>
  <c r="AC521" i="3"/>
  <c r="G521" i="3"/>
  <c r="H522" i="3"/>
  <c r="AC522" i="3"/>
  <c r="G522" i="3"/>
  <c r="H523" i="3"/>
  <c r="G523" i="3" s="1"/>
  <c r="AC523" i="3"/>
  <c r="H524" i="3"/>
  <c r="AC524" i="3"/>
  <c r="G524" i="3" s="1"/>
  <c r="H525" i="3"/>
  <c r="AC525" i="3"/>
  <c r="H526" i="3"/>
  <c r="AC526" i="3"/>
  <c r="G526" i="3"/>
  <c r="H527" i="3"/>
  <c r="AC527" i="3"/>
  <c r="H528" i="3"/>
  <c r="G528" i="3" s="1"/>
  <c r="AC528" i="3"/>
  <c r="H529" i="3"/>
  <c r="AC529" i="3"/>
  <c r="G529" i="3"/>
  <c r="H530" i="3"/>
  <c r="G530" i="3" s="1"/>
  <c r="AC530" i="3"/>
  <c r="H531" i="3"/>
  <c r="G531" i="3" s="1"/>
  <c r="AC531" i="3"/>
  <c r="H532" i="3"/>
  <c r="AC532" i="3"/>
  <c r="G532" i="3" s="1"/>
  <c r="H533" i="3"/>
  <c r="G533" i="3" s="1"/>
  <c r="AC533" i="3"/>
  <c r="H534" i="3"/>
  <c r="AC534" i="3"/>
  <c r="G534" i="3"/>
  <c r="H535" i="3"/>
  <c r="AC535" i="3"/>
  <c r="H536" i="3"/>
  <c r="G536" i="3" s="1"/>
  <c r="AC536" i="3"/>
  <c r="H537" i="3"/>
  <c r="AC537" i="3"/>
  <c r="G537" i="3"/>
  <c r="H538" i="3"/>
  <c r="AC538" i="3"/>
  <c r="G538" i="3"/>
  <c r="H539" i="3"/>
  <c r="G539" i="3" s="1"/>
  <c r="AC539" i="3"/>
  <c r="H540" i="3"/>
  <c r="AC540" i="3"/>
  <c r="G540" i="3" s="1"/>
  <c r="H541" i="3"/>
  <c r="AC541" i="3"/>
  <c r="H542" i="3"/>
  <c r="AC542" i="3"/>
  <c r="G542" i="3"/>
  <c r="H543" i="3"/>
  <c r="AC543" i="3"/>
  <c r="H544" i="3"/>
  <c r="G544" i="3" s="1"/>
  <c r="AC544" i="3"/>
  <c r="H545" i="3"/>
  <c r="AC545" i="3"/>
  <c r="G545" i="3"/>
  <c r="H546" i="3"/>
  <c r="G546" i="3" s="1"/>
  <c r="AC546" i="3"/>
  <c r="H547" i="3"/>
  <c r="G547" i="3" s="1"/>
  <c r="AC547" i="3"/>
  <c r="H548" i="3"/>
  <c r="AC548" i="3"/>
  <c r="G548" i="3" s="1"/>
  <c r="H549" i="3"/>
  <c r="G549" i="3" s="1"/>
  <c r="AC549" i="3"/>
  <c r="H550" i="3"/>
  <c r="AC550" i="3"/>
  <c r="G550" i="3"/>
  <c r="H551" i="3"/>
  <c r="AC551" i="3"/>
  <c r="H552" i="3"/>
  <c r="G552" i="3" s="1"/>
  <c r="AC552" i="3"/>
  <c r="H553" i="3"/>
  <c r="AC553" i="3"/>
  <c r="G553" i="3"/>
  <c r="H554" i="3"/>
  <c r="AC554" i="3"/>
  <c r="G554" i="3"/>
  <c r="H555" i="3"/>
  <c r="G555" i="3" s="1"/>
  <c r="AC555" i="3"/>
  <c r="H556" i="3"/>
  <c r="AC556" i="3"/>
  <c r="G556" i="3" s="1"/>
  <c r="H557" i="3"/>
  <c r="AC557" i="3"/>
  <c r="H558" i="3"/>
  <c r="AC558" i="3"/>
  <c r="G558" i="3"/>
  <c r="H559" i="3"/>
  <c r="AC559" i="3"/>
  <c r="H560" i="3"/>
  <c r="G560" i="3" s="1"/>
  <c r="AC560" i="3"/>
  <c r="H561" i="3"/>
  <c r="AC561" i="3"/>
  <c r="G561" i="3"/>
  <c r="H562" i="3"/>
  <c r="G562" i="3" s="1"/>
  <c r="AC562" i="3"/>
  <c r="H563" i="3"/>
  <c r="G563" i="3" s="1"/>
  <c r="AC563" i="3"/>
  <c r="H564" i="3"/>
  <c r="AC564" i="3"/>
  <c r="G564" i="3" s="1"/>
  <c r="H565" i="3"/>
  <c r="G565" i="3" s="1"/>
  <c r="AC565" i="3"/>
  <c r="H566" i="3"/>
  <c r="AC566" i="3"/>
  <c r="G566" i="3"/>
  <c r="H567" i="3"/>
  <c r="AC567" i="3"/>
  <c r="H568" i="3"/>
  <c r="G568" i="3" s="1"/>
  <c r="AC568" i="3"/>
  <c r="H569" i="3"/>
  <c r="AC569" i="3"/>
  <c r="G569" i="3"/>
  <c r="H570" i="3"/>
  <c r="AC570" i="3"/>
  <c r="G570" i="3"/>
  <c r="H571" i="3"/>
  <c r="G571" i="3" s="1"/>
  <c r="AC571" i="3"/>
  <c r="H572" i="3"/>
  <c r="AC572" i="3"/>
  <c r="G572" i="3" s="1"/>
  <c r="H573" i="3"/>
  <c r="AC573" i="3"/>
  <c r="H574" i="3"/>
  <c r="AC574" i="3"/>
  <c r="G574" i="3"/>
  <c r="H575" i="3"/>
  <c r="AC575" i="3"/>
  <c r="H576" i="3"/>
  <c r="G576" i="3" s="1"/>
  <c r="AC576" i="3"/>
  <c r="H577" i="3"/>
  <c r="AC577" i="3"/>
  <c r="G577" i="3"/>
  <c r="H578" i="3"/>
  <c r="G578" i="3" s="1"/>
  <c r="AC578" i="3"/>
  <c r="H579" i="3"/>
  <c r="G579" i="3" s="1"/>
  <c r="AC579" i="3"/>
  <c r="H580" i="3"/>
  <c r="AC580" i="3"/>
  <c r="G580" i="3" s="1"/>
  <c r="H581" i="3"/>
  <c r="G581" i="3" s="1"/>
  <c r="AC581" i="3"/>
  <c r="H582" i="3"/>
  <c r="AC582" i="3"/>
  <c r="G582" i="3"/>
  <c r="H583" i="3"/>
  <c r="AC583" i="3"/>
  <c r="H584" i="3"/>
  <c r="G584" i="3" s="1"/>
  <c r="AC584" i="3"/>
  <c r="H585" i="3"/>
  <c r="AC585" i="3"/>
  <c r="G585" i="3"/>
  <c r="H586" i="3"/>
  <c r="AC586" i="3"/>
  <c r="G586" i="3"/>
  <c r="H587" i="3"/>
  <c r="G587" i="3" s="1"/>
  <c r="AC587" i="3"/>
  <c r="AT5" i="3"/>
  <c r="L19" i="6"/>
  <c r="B52" i="1"/>
  <c r="F34" i="15" s="1"/>
  <c r="Y6" i="1"/>
  <c r="M47" i="15"/>
  <c r="J50" i="15"/>
  <c r="J51" i="15" s="1"/>
  <c r="M18" i="9"/>
  <c r="B118" i="9" s="1"/>
  <c r="B14" i="74" s="1"/>
  <c r="BM5" i="3"/>
  <c r="BO5" i="3"/>
  <c r="F29" i="6"/>
  <c r="BN5" i="3"/>
  <c r="G29" i="6" s="1"/>
  <c r="BP5" i="3"/>
  <c r="I46" i="39"/>
  <c r="G46" i="39"/>
  <c r="G38" i="39"/>
  <c r="I38" i="39"/>
  <c r="I11" i="39"/>
  <c r="I7" i="39"/>
  <c r="G7" i="39"/>
  <c r="I5" i="39"/>
  <c r="G5" i="39"/>
  <c r="E5" i="39"/>
  <c r="I29" i="79"/>
  <c r="I28" i="79"/>
  <c r="N28" i="79"/>
  <c r="M28" i="79"/>
  <c r="P28" i="79"/>
  <c r="L28" i="79"/>
  <c r="N29" i="79"/>
  <c r="M29" i="79"/>
  <c r="L29" i="79"/>
  <c r="M6" i="79"/>
  <c r="P6" i="79" s="1"/>
  <c r="O6" i="79"/>
  <c r="N6" i="79"/>
  <c r="L6" i="79"/>
  <c r="K6" i="79"/>
  <c r="O7" i="79"/>
  <c r="N7" i="79"/>
  <c r="M7" i="79"/>
  <c r="L7" i="79"/>
  <c r="K7" i="79"/>
  <c r="G14" i="73"/>
  <c r="F14" i="73"/>
  <c r="E14" i="73"/>
  <c r="B7" i="1"/>
  <c r="E7" i="1" s="1"/>
  <c r="B8" i="1"/>
  <c r="E8" i="1"/>
  <c r="B9" i="1"/>
  <c r="E9" i="1"/>
  <c r="B10" i="1"/>
  <c r="E10" i="1" s="1"/>
  <c r="B11" i="1"/>
  <c r="E11" i="1" s="1"/>
  <c r="B12" i="1"/>
  <c r="E12" i="1"/>
  <c r="B13" i="1"/>
  <c r="E13" i="1"/>
  <c r="B6" i="1"/>
  <c r="E6" i="1" s="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s="1"/>
  <c r="N10" i="79"/>
  <c r="O10" i="79"/>
  <c r="P32" i="79"/>
  <c r="B10" i="74"/>
  <c r="E111" i="9"/>
  <c r="H112" i="9"/>
  <c r="B8" i="74"/>
  <c r="C8" i="74" s="1"/>
  <c r="E109" i="9"/>
  <c r="H109" i="9" s="1"/>
  <c r="H110" i="9" s="1"/>
  <c r="C7" i="74" s="1"/>
  <c r="B7" i="74"/>
  <c r="AB5" i="71"/>
  <c r="AA5" i="71"/>
  <c r="Y5" i="71"/>
  <c r="Z5" i="71" s="1"/>
  <c r="X5" i="71"/>
  <c r="Q5" i="71"/>
  <c r="P5" i="71"/>
  <c r="O5" i="71"/>
  <c r="N5" i="71"/>
  <c r="AB6" i="71"/>
  <c r="AA6" i="71"/>
  <c r="Y6" i="71"/>
  <c r="Z6" i="71" s="1"/>
  <c r="X6" i="71"/>
  <c r="Q6" i="71"/>
  <c r="P6" i="71"/>
  <c r="O6" i="71"/>
  <c r="N6" i="71"/>
  <c r="AB7" i="71"/>
  <c r="AA7" i="71"/>
  <c r="Y7" i="71"/>
  <c r="Z7" i="71"/>
  <c r="X7" i="71"/>
  <c r="Q7" i="71"/>
  <c r="P7" i="71"/>
  <c r="O7" i="71"/>
  <c r="N7" i="71"/>
  <c r="C23" i="77"/>
  <c r="D9" i="77"/>
  <c r="D10" i="77"/>
  <c r="D14" i="77"/>
  <c r="D15" i="77"/>
  <c r="D16" i="77"/>
  <c r="D17" i="77"/>
  <c r="C30" i="77"/>
  <c r="D23" i="77"/>
  <c r="D26" i="77"/>
  <c r="E23" i="77"/>
  <c r="E26" i="77"/>
  <c r="B3" i="78"/>
  <c r="C7" i="78"/>
  <c r="C6" i="78"/>
  <c r="C5" i="78"/>
  <c r="F13" i="1"/>
  <c r="D13" i="1"/>
  <c r="D12" i="1"/>
  <c r="D11" i="1"/>
  <c r="D10" i="1"/>
  <c r="D9" i="1"/>
  <c r="D8" i="1"/>
  <c r="D7" i="1"/>
  <c r="D6" i="1"/>
  <c r="I2" i="43"/>
  <c r="N12" i="43" s="1"/>
  <c r="M1" i="43"/>
  <c r="F116" i="43"/>
  <c r="N111" i="43"/>
  <c r="N112" i="43"/>
  <c r="M111" i="43"/>
  <c r="M112" i="43"/>
  <c r="L111" i="43"/>
  <c r="L112" i="43" s="1"/>
  <c r="K111" i="43"/>
  <c r="K112" i="43" s="1"/>
  <c r="J111" i="43"/>
  <c r="J112" i="43"/>
  <c r="I111" i="43"/>
  <c r="I112" i="43"/>
  <c r="H111" i="43"/>
  <c r="H112" i="43" s="1"/>
  <c r="G111" i="43"/>
  <c r="G112" i="43" s="1"/>
  <c r="F111" i="43"/>
  <c r="F112" i="43"/>
  <c r="E111" i="43"/>
  <c r="E112" i="43"/>
  <c r="D111" i="43"/>
  <c r="D112" i="43"/>
  <c r="C111" i="43"/>
  <c r="C112" i="43" s="1"/>
  <c r="M101" i="43"/>
  <c r="N101" i="43"/>
  <c r="K101" i="43"/>
  <c r="J101" i="43"/>
  <c r="M100" i="43"/>
  <c r="N100" i="43" s="1"/>
  <c r="K100" i="43"/>
  <c r="J100" i="43" s="1"/>
  <c r="M99" i="43"/>
  <c r="N99" i="43"/>
  <c r="K99" i="43"/>
  <c r="J99" i="43"/>
  <c r="M98" i="43"/>
  <c r="N98" i="43"/>
  <c r="K98" i="43"/>
  <c r="J98" i="43" s="1"/>
  <c r="M97" i="43"/>
  <c r="N97" i="43"/>
  <c r="K97" i="43"/>
  <c r="J97" i="43"/>
  <c r="M96" i="43"/>
  <c r="N96" i="43" s="1"/>
  <c r="K96" i="43"/>
  <c r="J96" i="43" s="1"/>
  <c r="M95" i="43"/>
  <c r="N95" i="43"/>
  <c r="K95" i="43"/>
  <c r="J95" i="43"/>
  <c r="M94" i="43"/>
  <c r="N94" i="43" s="1"/>
  <c r="K94" i="43"/>
  <c r="J94" i="43" s="1"/>
  <c r="M93" i="43"/>
  <c r="N93" i="43"/>
  <c r="K93" i="43"/>
  <c r="J93" i="43"/>
  <c r="C20" i="20"/>
  <c r="B101" i="43"/>
  <c r="C22" i="20"/>
  <c r="B100" i="43" s="1"/>
  <c r="C21" i="20"/>
  <c r="B99" i="43"/>
  <c r="C24" i="20"/>
  <c r="B97" i="43"/>
  <c r="B95" i="43"/>
  <c r="C18" i="20"/>
  <c r="B94" i="43"/>
  <c r="D101" i="43"/>
  <c r="D100" i="43"/>
  <c r="D99" i="43"/>
  <c r="D98" i="43"/>
  <c r="D97" i="43"/>
  <c r="D96" i="43"/>
  <c r="D95" i="43"/>
  <c r="D94" i="43"/>
  <c r="D93" i="43"/>
  <c r="Y10" i="43"/>
  <c r="AJ9" i="43"/>
  <c r="AJ10" i="43"/>
  <c r="AI9" i="43"/>
  <c r="AI10" i="43" s="1"/>
  <c r="AH9" i="43"/>
  <c r="AH10" i="43"/>
  <c r="AG9" i="43"/>
  <c r="AG10" i="43" s="1"/>
  <c r="AF9" i="43"/>
  <c r="AF10" i="43"/>
  <c r="AE9" i="43"/>
  <c r="AE10" i="43"/>
  <c r="AD9" i="43"/>
  <c r="AD10" i="43" s="1"/>
  <c r="AC9" i="43"/>
  <c r="AC10" i="43" s="1"/>
  <c r="AB9" i="43"/>
  <c r="AB10" i="43"/>
  <c r="AA9" i="43"/>
  <c r="AA10" i="43" s="1"/>
  <c r="Z9" i="43"/>
  <c r="Z10" i="43" s="1"/>
  <c r="M23" i="43"/>
  <c r="G24" i="43"/>
  <c r="I23" i="43"/>
  <c r="G17" i="43"/>
  <c r="C13" i="43"/>
  <c r="G2" i="43"/>
  <c r="S4" i="43" s="1"/>
  <c r="AB40" i="79"/>
  <c r="AA40" i="79"/>
  <c r="Z40" i="79"/>
  <c r="W40" i="79"/>
  <c r="N40" i="79"/>
  <c r="M40" i="79"/>
  <c r="P40" i="79" s="1"/>
  <c r="L40" i="79"/>
  <c r="I40" i="79"/>
  <c r="AD40" i="79" s="1"/>
  <c r="AB39" i="79"/>
  <c r="AA39" i="79"/>
  <c r="Z39" i="79"/>
  <c r="N39" i="79"/>
  <c r="U39" i="79"/>
  <c r="M39" i="79"/>
  <c r="L39" i="79"/>
  <c r="S39" i="79" s="1"/>
  <c r="I39" i="79"/>
  <c r="AD39" i="79" s="1"/>
  <c r="AB38" i="79"/>
  <c r="AA38" i="79"/>
  <c r="Z38" i="79"/>
  <c r="N38" i="79"/>
  <c r="U38" i="79"/>
  <c r="M38" i="79"/>
  <c r="L38" i="79"/>
  <c r="S38" i="79" s="1"/>
  <c r="I38" i="79"/>
  <c r="AB37" i="79"/>
  <c r="AA37" i="79"/>
  <c r="Z37" i="79"/>
  <c r="N37" i="79"/>
  <c r="U37" i="79" s="1"/>
  <c r="M37" i="79"/>
  <c r="L37" i="79"/>
  <c r="I37" i="79"/>
  <c r="AB36" i="79"/>
  <c r="AA36" i="79"/>
  <c r="Z36" i="79"/>
  <c r="N36" i="79"/>
  <c r="M36" i="79"/>
  <c r="M25" i="79" s="1"/>
  <c r="P25" i="79" s="1"/>
  <c r="L36" i="79"/>
  <c r="S36" i="79" s="1"/>
  <c r="I36" i="79"/>
  <c r="AD34" i="79" s="1"/>
  <c r="AB35" i="79"/>
  <c r="AA35" i="79"/>
  <c r="Z35" i="79"/>
  <c r="N35" i="79"/>
  <c r="U35" i="79"/>
  <c r="M35" i="79"/>
  <c r="T30" i="79" s="1"/>
  <c r="W30" i="79" s="1"/>
  <c r="L35" i="79"/>
  <c r="I35" i="79"/>
  <c r="AB34" i="79"/>
  <c r="AA34" i="79"/>
  <c r="Z34" i="79"/>
  <c r="N34" i="79"/>
  <c r="U34" i="79"/>
  <c r="M34" i="79"/>
  <c r="L34" i="79"/>
  <c r="I34" i="79"/>
  <c r="AB33" i="79"/>
  <c r="AA33" i="79"/>
  <c r="AA25" i="79" s="1"/>
  <c r="AD25" i="79" s="1"/>
  <c r="Z33" i="79"/>
  <c r="N33" i="79"/>
  <c r="M33" i="79"/>
  <c r="L33" i="79"/>
  <c r="S31" i="79" s="1"/>
  <c r="I33" i="79"/>
  <c r="AB27" i="79"/>
  <c r="AA27" i="79"/>
  <c r="Z27" i="79"/>
  <c r="N27" i="79"/>
  <c r="M27" i="79"/>
  <c r="L27" i="79"/>
  <c r="I27" i="79"/>
  <c r="AD27" i="79" s="1"/>
  <c r="T25" i="79"/>
  <c r="W25" i="79" s="1"/>
  <c r="N25" i="79"/>
  <c r="G25" i="79"/>
  <c r="F25" i="79"/>
  <c r="I25" i="79"/>
  <c r="E25" i="79"/>
  <c r="AC18" i="79"/>
  <c r="AB18" i="79"/>
  <c r="AA18" i="79"/>
  <c r="AD18" i="79" s="1"/>
  <c r="Z18" i="79"/>
  <c r="Y18" i="79"/>
  <c r="W18" i="79"/>
  <c r="M18" i="79"/>
  <c r="P18" i="79" s="1"/>
  <c r="O18" i="79"/>
  <c r="N18" i="79"/>
  <c r="L18" i="79"/>
  <c r="K18" i="79"/>
  <c r="I18" i="79"/>
  <c r="AC17" i="79"/>
  <c r="AB17" i="79"/>
  <c r="AA17" i="79"/>
  <c r="AD17" i="79"/>
  <c r="Z17" i="79"/>
  <c r="Y17" i="79"/>
  <c r="O17" i="79"/>
  <c r="V17" i="79"/>
  <c r="N17" i="79"/>
  <c r="U17" i="79" s="1"/>
  <c r="M17" i="79"/>
  <c r="L17" i="79"/>
  <c r="K17" i="79"/>
  <c r="R17" i="79" s="1"/>
  <c r="I17" i="79"/>
  <c r="AA16" i="79"/>
  <c r="AD16" i="79" s="1"/>
  <c r="AC16" i="79"/>
  <c r="AB16" i="79"/>
  <c r="Z16" i="79"/>
  <c r="Y16" i="79"/>
  <c r="O16" i="79"/>
  <c r="V16" i="79"/>
  <c r="N16" i="79"/>
  <c r="U16" i="79" s="1"/>
  <c r="M16" i="79"/>
  <c r="T15" i="79" s="1"/>
  <c r="W15" i="79" s="1"/>
  <c r="L16" i="79"/>
  <c r="K16" i="79"/>
  <c r="R16" i="79"/>
  <c r="I16" i="79"/>
  <c r="AC15" i="79"/>
  <c r="AB15" i="79"/>
  <c r="AB3" i="79" s="1"/>
  <c r="AA15" i="79"/>
  <c r="AD15" i="79" s="1"/>
  <c r="Z15" i="79"/>
  <c r="Y15" i="79"/>
  <c r="O15" i="79"/>
  <c r="N15" i="79"/>
  <c r="N3" i="79" s="1"/>
  <c r="M15" i="79"/>
  <c r="L15" i="79"/>
  <c r="K15" i="79"/>
  <c r="R15" i="79"/>
  <c r="I15" i="79"/>
  <c r="AA14" i="79"/>
  <c r="AD14" i="79"/>
  <c r="AC14" i="79"/>
  <c r="AB14" i="79"/>
  <c r="Z14" i="79"/>
  <c r="Y14" i="79"/>
  <c r="O14" i="79"/>
  <c r="V14" i="79"/>
  <c r="N14" i="79"/>
  <c r="U7" i="79" s="1"/>
  <c r="U14" i="79"/>
  <c r="M14" i="79"/>
  <c r="T14" i="79" s="1"/>
  <c r="W14" i="79" s="1"/>
  <c r="L14" i="79"/>
  <c r="K14" i="79"/>
  <c r="R14" i="79" s="1"/>
  <c r="I14" i="79"/>
  <c r="AC13" i="79"/>
  <c r="AB13" i="79"/>
  <c r="AA13" i="79"/>
  <c r="AD13" i="79"/>
  <c r="Z13" i="79"/>
  <c r="Y13" i="79"/>
  <c r="O13" i="79"/>
  <c r="V13" i="79"/>
  <c r="N13" i="79"/>
  <c r="M13" i="79"/>
  <c r="L13" i="79"/>
  <c r="K13" i="79"/>
  <c r="R13" i="79" s="1"/>
  <c r="I13" i="79"/>
  <c r="AC12" i="79"/>
  <c r="AB12" i="79"/>
  <c r="AA12" i="79"/>
  <c r="AD12" i="79"/>
  <c r="Z12" i="79"/>
  <c r="Y12" i="79"/>
  <c r="O12" i="79"/>
  <c r="V12" i="79" s="1"/>
  <c r="N12" i="79"/>
  <c r="U12" i="79" s="1"/>
  <c r="M12" i="79"/>
  <c r="L12" i="79"/>
  <c r="S12" i="79" s="1"/>
  <c r="K12" i="79"/>
  <c r="R12" i="79" s="1"/>
  <c r="I12" i="79"/>
  <c r="AC11" i="79"/>
  <c r="AB11" i="79"/>
  <c r="AA11" i="79"/>
  <c r="AD11" i="79"/>
  <c r="Z11" i="79"/>
  <c r="Y11" i="79"/>
  <c r="O11" i="79"/>
  <c r="N11" i="79"/>
  <c r="N5" i="79"/>
  <c r="M11" i="79"/>
  <c r="T6" i="79" s="1"/>
  <c r="W6" i="79" s="1"/>
  <c r="L11" i="79"/>
  <c r="K11" i="79"/>
  <c r="R6" i="79" s="1"/>
  <c r="I11" i="79"/>
  <c r="AC5" i="79"/>
  <c r="AB5" i="79"/>
  <c r="AA5" i="79"/>
  <c r="AD5" i="79" s="1"/>
  <c r="Z5" i="79"/>
  <c r="Z3" i="79" s="1"/>
  <c r="Y5" i="79"/>
  <c r="Y3" i="79" s="1"/>
  <c r="O5" i="79"/>
  <c r="M5" i="79"/>
  <c r="P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2" i="79"/>
  <c r="W32" i="79" s="1"/>
  <c r="T33" i="79"/>
  <c r="W33" i="79" s="1"/>
  <c r="T37" i="79"/>
  <c r="W37" i="79"/>
  <c r="T39" i="79"/>
  <c r="W39" i="79" s="1"/>
  <c r="S30" i="79"/>
  <c r="U33" i="79"/>
  <c r="U31" i="79"/>
  <c r="U32" i="79"/>
  <c r="U30" i="79"/>
  <c r="U29" i="79"/>
  <c r="T38" i="79"/>
  <c r="W38" i="79"/>
  <c r="U10" i="79"/>
  <c r="U6" i="79"/>
  <c r="P15" i="79"/>
  <c r="R11" i="79"/>
  <c r="V7" i="79"/>
  <c r="P13" i="79"/>
  <c r="P17" i="79"/>
  <c r="T17" i="79"/>
  <c r="W17" i="79" s="1"/>
  <c r="AB25" i="79"/>
  <c r="S9" i="79"/>
  <c r="S8" i="79"/>
  <c r="P14" i="79"/>
  <c r="P16" i="79"/>
  <c r="Z25" i="79"/>
  <c r="P12" i="79"/>
  <c r="S5" i="43"/>
  <c r="S2" i="43"/>
  <c r="E93" i="43"/>
  <c r="B91" i="43" s="1"/>
  <c r="F37" i="43"/>
  <c r="F39" i="43"/>
  <c r="F40" i="43"/>
  <c r="N1" i="43"/>
  <c r="M2" i="43"/>
  <c r="N2" i="43"/>
  <c r="M3" i="43"/>
  <c r="N3" i="43"/>
  <c r="M4" i="43"/>
  <c r="N4" i="43"/>
  <c r="M5" i="43"/>
  <c r="N5" i="43"/>
  <c r="F93" i="43"/>
  <c r="N10" i="43"/>
  <c r="N11" i="43"/>
  <c r="M6" i="43"/>
  <c r="N6" i="43"/>
  <c r="M7" i="43"/>
  <c r="N7" i="43"/>
  <c r="M8" i="43"/>
  <c r="N8" i="43"/>
  <c r="M9" i="43"/>
  <c r="N9" i="43"/>
  <c r="M10" i="43"/>
  <c r="M11" i="43"/>
  <c r="M12" i="43"/>
  <c r="K21" i="43"/>
  <c r="O21" i="43"/>
  <c r="D21" i="43"/>
  <c r="G18" i="43"/>
  <c r="P27" i="79"/>
  <c r="P34" i="79"/>
  <c r="P36" i="79"/>
  <c r="P38" i="79"/>
  <c r="P33" i="79"/>
  <c r="P35" i="79"/>
  <c r="P37" i="79"/>
  <c r="P39" i="79"/>
  <c r="E25" i="78"/>
  <c r="E24" i="78"/>
  <c r="F23" i="78"/>
  <c r="G23" i="78" s="1"/>
  <c r="E23" i="78"/>
  <c r="E22" i="78"/>
  <c r="G22" i="78" s="1"/>
  <c r="F12" i="78"/>
  <c r="B18" i="78" s="1"/>
  <c r="F11" i="78"/>
  <c r="C18" i="78"/>
  <c r="D7" i="78"/>
  <c r="D6" i="78"/>
  <c r="D5" i="78"/>
  <c r="H100" i="43"/>
  <c r="H97" i="43"/>
  <c r="H95" i="43"/>
  <c r="H94" i="43"/>
  <c r="H98" i="43"/>
  <c r="H93" i="43"/>
  <c r="H101" i="43"/>
  <c r="H99" i="43"/>
  <c r="H96" i="43"/>
  <c r="B15" i="78"/>
  <c r="G16" i="73"/>
  <c r="F16" i="73"/>
  <c r="E16" i="73"/>
  <c r="G17" i="73"/>
  <c r="F17" i="73"/>
  <c r="E17" i="73"/>
  <c r="G18" i="73"/>
  <c r="F18" i="73"/>
  <c r="E18" i="73"/>
  <c r="G13" i="73"/>
  <c r="E13" i="73"/>
  <c r="Q8" i="71"/>
  <c r="P8" i="71"/>
  <c r="O8" i="71"/>
  <c r="N8" i="71"/>
  <c r="R43" i="77"/>
  <c r="R40" i="77"/>
  <c r="R34" i="77"/>
  <c r="R33" i="77"/>
  <c r="R27" i="77"/>
  <c r="M24" i="77"/>
  <c r="R23" i="77"/>
  <c r="R22" i="77"/>
  <c r="R21" i="77"/>
  <c r="N19" i="77"/>
  <c r="R18" i="77"/>
  <c r="D18" i="77"/>
  <c r="R17" i="77"/>
  <c r="R16" i="77"/>
  <c r="R19" i="77" s="1"/>
  <c r="M14" i="77"/>
  <c r="N14" i="77" s="1"/>
  <c r="R13" i="77"/>
  <c r="R12" i="77"/>
  <c r="R11" i="77"/>
  <c r="R10" i="77"/>
  <c r="R9" i="77"/>
  <c r="R8" i="77"/>
  <c r="R7" i="77"/>
  <c r="R4" i="77"/>
  <c r="R3" i="77"/>
  <c r="Q9" i="71"/>
  <c r="AB9" i="71" s="1"/>
  <c r="P9" i="71"/>
  <c r="O9" i="71"/>
  <c r="N9" i="71"/>
  <c r="Q10" i="71"/>
  <c r="AB10" i="71" s="1"/>
  <c r="Q11" i="71"/>
  <c r="Q12" i="71"/>
  <c r="Q13" i="71"/>
  <c r="Q14" i="71"/>
  <c r="Q15" i="71"/>
  <c r="Q16" i="71"/>
  <c r="Q17" i="71"/>
  <c r="Q18" i="71"/>
  <c r="AB18" i="71" s="1"/>
  <c r="Q19" i="71"/>
  <c r="Q20" i="71"/>
  <c r="Q21" i="71"/>
  <c r="Q22" i="71"/>
  <c r="Q23" i="71"/>
  <c r="Q24" i="71"/>
  <c r="Q25" i="71"/>
  <c r="Q26" i="71"/>
  <c r="AB21" i="71" s="1"/>
  <c r="Q27" i="71"/>
  <c r="Q28" i="71"/>
  <c r="Q29" i="71"/>
  <c r="Q30" i="71"/>
  <c r="Q31" i="71"/>
  <c r="Q32" i="71"/>
  <c r="Q33" i="71"/>
  <c r="Q34" i="71"/>
  <c r="AB33" i="71" s="1"/>
  <c r="Q35" i="71"/>
  <c r="Q36" i="71"/>
  <c r="Q37" i="71"/>
  <c r="Q38" i="71"/>
  <c r="Q39" i="71"/>
  <c r="P10" i="71"/>
  <c r="P11" i="71"/>
  <c r="AA10" i="71" s="1"/>
  <c r="P12" i="71"/>
  <c r="P13" i="71"/>
  <c r="P14" i="71"/>
  <c r="P15" i="71"/>
  <c r="P16" i="71"/>
  <c r="P17" i="71"/>
  <c r="P18" i="71"/>
  <c r="P19" i="71"/>
  <c r="AA12" i="71" s="1"/>
  <c r="P20" i="71"/>
  <c r="P21" i="71"/>
  <c r="P22" i="71"/>
  <c r="P23" i="71"/>
  <c r="P24" i="71"/>
  <c r="P25" i="71"/>
  <c r="P26" i="71"/>
  <c r="P27" i="71"/>
  <c r="AA26" i="71" s="1"/>
  <c r="P28" i="71"/>
  <c r="P29" i="71"/>
  <c r="P30" i="71"/>
  <c r="P31" i="71"/>
  <c r="P32" i="71"/>
  <c r="P33" i="71"/>
  <c r="P34" i="71"/>
  <c r="P35" i="71"/>
  <c r="AA29" i="71" s="1"/>
  <c r="P36" i="71"/>
  <c r="P37" i="71"/>
  <c r="P38" i="71"/>
  <c r="P39" i="71"/>
  <c r="O10" i="71"/>
  <c r="O11" i="71"/>
  <c r="O12" i="71"/>
  <c r="O13" i="71"/>
  <c r="Y13" i="71" s="1"/>
  <c r="Z13" i="71" s="1"/>
  <c r="O14" i="71"/>
  <c r="O15" i="71"/>
  <c r="O16" i="71"/>
  <c r="O17" i="71"/>
  <c r="O18" i="71"/>
  <c r="O19" i="71"/>
  <c r="O20" i="71"/>
  <c r="O21" i="71"/>
  <c r="Y21" i="71" s="1"/>
  <c r="Z21" i="71" s="1"/>
  <c r="O22" i="71"/>
  <c r="O23" i="71"/>
  <c r="O24" i="71"/>
  <c r="O25" i="71"/>
  <c r="O26" i="71"/>
  <c r="O27" i="71"/>
  <c r="O28" i="71"/>
  <c r="C28" i="71" s="1"/>
  <c r="O29" i="71"/>
  <c r="C30" i="71" s="1"/>
  <c r="O30" i="71"/>
  <c r="O31" i="71"/>
  <c r="O32" i="71"/>
  <c r="O33" i="71"/>
  <c r="O34" i="71"/>
  <c r="Y30" i="71" s="1"/>
  <c r="Z30" i="71" s="1"/>
  <c r="O35" i="71"/>
  <c r="O36" i="71"/>
  <c r="O37" i="71"/>
  <c r="Y37" i="71" s="1"/>
  <c r="O38" i="71"/>
  <c r="O39" i="71"/>
  <c r="N10" i="71"/>
  <c r="N11" i="71"/>
  <c r="N12" i="71"/>
  <c r="X11" i="71" s="1"/>
  <c r="N13" i="71"/>
  <c r="N14" i="71"/>
  <c r="N15" i="71"/>
  <c r="N16" i="71"/>
  <c r="N17" i="71"/>
  <c r="N18" i="71"/>
  <c r="N19" i="71"/>
  <c r="N20" i="71"/>
  <c r="N21" i="71"/>
  <c r="N22" i="71"/>
  <c r="N23" i="71"/>
  <c r="N24" i="71"/>
  <c r="N25" i="71"/>
  <c r="N26" i="71"/>
  <c r="N27" i="71"/>
  <c r="N28" i="71"/>
  <c r="X27" i="71" s="1"/>
  <c r="N29" i="71"/>
  <c r="N30" i="71"/>
  <c r="N31" i="71"/>
  <c r="N32" i="71"/>
  <c r="N33" i="71"/>
  <c r="N34" i="71"/>
  <c r="N35" i="71"/>
  <c r="N36" i="71"/>
  <c r="X32" i="71" s="1"/>
  <c r="N37" i="71"/>
  <c r="N38" i="71"/>
  <c r="N39" i="71"/>
  <c r="E24" i="71"/>
  <c r="E23" i="71"/>
  <c r="E22" i="71" s="1"/>
  <c r="E21" i="71"/>
  <c r="E20" i="71" s="1"/>
  <c r="E19" i="71" s="1"/>
  <c r="E18" i="71" s="1"/>
  <c r="E17" i="71" s="1"/>
  <c r="E16" i="71" s="1"/>
  <c r="C24" i="71"/>
  <c r="C23" i="71" s="1"/>
  <c r="C22" i="71" s="1"/>
  <c r="C21" i="71" s="1"/>
  <c r="C20" i="71" s="1"/>
  <c r="C19" i="71" s="1"/>
  <c r="C18" i="71" s="1"/>
  <c r="C17" i="71" s="1"/>
  <c r="B24" i="71"/>
  <c r="B23" i="71" s="1"/>
  <c r="B22" i="71"/>
  <c r="B21" i="71" s="1"/>
  <c r="B20" i="71" s="1"/>
  <c r="B19" i="71" s="1"/>
  <c r="B18" i="71" s="1"/>
  <c r="B17" i="71" s="1"/>
  <c r="B16" i="71" s="1"/>
  <c r="E24" i="43"/>
  <c r="M32" i="43" s="1"/>
  <c r="Q32" i="43"/>
  <c r="N32" i="43"/>
  <c r="X12" i="71"/>
  <c r="H16" i="49"/>
  <c r="D16" i="49"/>
  <c r="D15" i="49"/>
  <c r="B2" i="49"/>
  <c r="F15" i="49" s="1"/>
  <c r="H15" i="49" s="1"/>
  <c r="K42" i="40"/>
  <c r="K47" i="39"/>
  <c r="K36" i="36"/>
  <c r="E59" i="9"/>
  <c r="K38" i="35"/>
  <c r="K42" i="37"/>
  <c r="K49" i="34"/>
  <c r="K48" i="33"/>
  <c r="K48" i="21"/>
  <c r="H104" i="9"/>
  <c r="F59" i="9"/>
  <c r="AB14" i="71"/>
  <c r="AA17" i="71"/>
  <c r="F24" i="12"/>
  <c r="F7" i="69"/>
  <c r="F7" i="68"/>
  <c r="AA18" i="71"/>
  <c r="D25" i="71"/>
  <c r="Y22" i="71"/>
  <c r="Z22" i="71" s="1"/>
  <c r="V24" i="71"/>
  <c r="A2" i="53"/>
  <c r="B19" i="72" s="1"/>
  <c r="K59" i="67"/>
  <c r="P61" i="67"/>
  <c r="K59" i="15"/>
  <c r="P74" i="15" s="1"/>
  <c r="D115" i="39"/>
  <c r="E115" i="39"/>
  <c r="F115" i="39"/>
  <c r="G115" i="39"/>
  <c r="H115" i="39"/>
  <c r="I115" i="39"/>
  <c r="J115" i="39"/>
  <c r="K115" i="39"/>
  <c r="L115" i="39"/>
  <c r="M115" i="39"/>
  <c r="C115" i="39"/>
  <c r="A21" i="62"/>
  <c r="B67" i="72"/>
  <c r="A20" i="62"/>
  <c r="A22" i="51"/>
  <c r="B17" i="72" s="1"/>
  <c r="A21" i="51"/>
  <c r="A20" i="51"/>
  <c r="L20" i="4"/>
  <c r="A15" i="62" s="1"/>
  <c r="B61" i="72" s="1"/>
  <c r="L21" i="4"/>
  <c r="L22" i="4"/>
  <c r="A14" i="62"/>
  <c r="A13" i="62"/>
  <c r="B59" i="72" s="1"/>
  <c r="A19" i="62"/>
  <c r="A12" i="62"/>
  <c r="B58" i="72" s="1"/>
  <c r="A120" i="9"/>
  <c r="H2" i="52"/>
  <c r="A1" i="52"/>
  <c r="A3" i="53"/>
  <c r="A15" i="51"/>
  <c r="B12" i="72" s="1"/>
  <c r="C76" i="9"/>
  <c r="I107" i="40"/>
  <c r="K6" i="4"/>
  <c r="K56" i="9" s="1"/>
  <c r="M56" i="9"/>
  <c r="B22" i="31"/>
  <c r="N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s="1"/>
  <c r="B54" i="72" s="1"/>
  <c r="A126" i="9"/>
  <c r="A12" i="52"/>
  <c r="B56" i="72" s="1"/>
  <c r="A124" i="9"/>
  <c r="A10" i="52"/>
  <c r="B55" i="72" s="1"/>
  <c r="B44" i="72"/>
  <c r="B42" i="72"/>
  <c r="B69" i="72"/>
  <c r="B68" i="72"/>
  <c r="B63" i="72"/>
  <c r="B62" i="72"/>
  <c r="B16" i="72"/>
  <c r="B65" i="72"/>
  <c r="B60" i="72"/>
  <c r="B66" i="72"/>
  <c r="B10" i="72"/>
  <c r="C53" i="10"/>
  <c r="B51" i="10"/>
  <c r="A18" i="51"/>
  <c r="B13" i="72" s="1"/>
  <c r="B49" i="48"/>
  <c r="B5" i="72"/>
  <c r="D89" i="71"/>
  <c r="F88" i="71"/>
  <c r="F87" i="71" s="1"/>
  <c r="F86" i="71" s="1"/>
  <c r="E88" i="71"/>
  <c r="E87" i="71"/>
  <c r="E86" i="7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C76" i="71"/>
  <c r="C75"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F68" i="71"/>
  <c r="V68" i="71"/>
  <c r="E68" i="71"/>
  <c r="P68" i="71" s="1"/>
  <c r="C68" i="71"/>
  <c r="T68" i="71" s="1"/>
  <c r="B68" i="71"/>
  <c r="S68" i="71" s="1"/>
  <c r="F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O53" i="71"/>
  <c r="C54" i="71"/>
  <c r="Q53" i="71"/>
  <c r="F54" i="71"/>
  <c r="F55" i="71"/>
  <c r="F56" i="71"/>
  <c r="V56"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c r="C51"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B44" i="71" s="1"/>
  <c r="S44" i="71" s="1"/>
  <c r="Q42" i="71"/>
  <c r="P42" i="71"/>
  <c r="O42" i="71"/>
  <c r="N42" i="71"/>
  <c r="Q41" i="71"/>
  <c r="F42" i="71"/>
  <c r="F43" i="71" s="1"/>
  <c r="F44" i="71" s="1"/>
  <c r="V44" i="71" s="1"/>
  <c r="P41" i="71"/>
  <c r="E42" i="71"/>
  <c r="E43" i="71"/>
  <c r="E44" i="71" s="1"/>
  <c r="U44" i="71" s="1"/>
  <c r="O41" i="71"/>
  <c r="C42" i="71" s="1"/>
  <c r="N41" i="71"/>
  <c r="B42" i="71"/>
  <c r="B43" i="71"/>
  <c r="D41" i="71"/>
  <c r="Q40" i="71"/>
  <c r="P40" i="71"/>
  <c r="O40" i="71"/>
  <c r="N40" i="71"/>
  <c r="AB39" i="71"/>
  <c r="AA39" i="71"/>
  <c r="Y39" i="71"/>
  <c r="Z39" i="71"/>
  <c r="X39" i="71"/>
  <c r="AB38" i="71"/>
  <c r="Y38" i="71"/>
  <c r="Z38" i="71"/>
  <c r="F38" i="71"/>
  <c r="F39" i="71"/>
  <c r="F40" i="71" s="1"/>
  <c r="V40" i="71" s="1"/>
  <c r="D37" i="71"/>
  <c r="AB36" i="71"/>
  <c r="AB35" i="71"/>
  <c r="F34" i="71"/>
  <c r="F35" i="71"/>
  <c r="F36" i="71" s="1"/>
  <c r="V36" i="71" s="1"/>
  <c r="D33" i="71"/>
  <c r="F30" i="71"/>
  <c r="F31" i="71"/>
  <c r="F32" i="71" s="1"/>
  <c r="V32" i="71"/>
  <c r="D29" i="71"/>
  <c r="B30" i="71"/>
  <c r="B31" i="71" s="1"/>
  <c r="B32" i="71" s="1"/>
  <c r="S32" i="71" s="1"/>
  <c r="E30" i="71"/>
  <c r="E31" i="71"/>
  <c r="E32" i="71" s="1"/>
  <c r="U32" i="71" s="1"/>
  <c r="B34" i="71"/>
  <c r="B35" i="71"/>
  <c r="B36" i="71" s="1"/>
  <c r="S36" i="71" s="1"/>
  <c r="B38" i="71"/>
  <c r="B39" i="71" s="1"/>
  <c r="B40" i="71" s="1"/>
  <c r="S40" i="71" s="1"/>
  <c r="X37" i="71"/>
  <c r="E38" i="71"/>
  <c r="E39" i="71" s="1"/>
  <c r="E40" i="71" s="1"/>
  <c r="U40" i="71" s="1"/>
  <c r="AA37" i="71"/>
  <c r="E34" i="71"/>
  <c r="E35" i="71" s="1"/>
  <c r="E36" i="71" s="1"/>
  <c r="U36" i="71" s="1"/>
  <c r="AA33" i="71"/>
  <c r="X30" i="71"/>
  <c r="C34" i="71"/>
  <c r="AA36" i="71"/>
  <c r="Z37" i="71"/>
  <c r="AB37" i="71"/>
  <c r="X38" i="71"/>
  <c r="AA38" i="71"/>
  <c r="D34" i="71"/>
  <c r="C47" i="71"/>
  <c r="D47" i="71" s="1"/>
  <c r="U68" i="71"/>
  <c r="D54" i="71"/>
  <c r="D62" i="71"/>
  <c r="O68" i="71"/>
  <c r="D68" i="71"/>
  <c r="Q68" i="71"/>
  <c r="C71" i="71"/>
  <c r="D71" i="71" s="1"/>
  <c r="E71" i="71"/>
  <c r="E70" i="71" s="1"/>
  <c r="D72" i="71"/>
  <c r="E79" i="71"/>
  <c r="E78" i="71" s="1"/>
  <c r="C83" i="71"/>
  <c r="D83" i="71" s="1"/>
  <c r="C87" i="71"/>
  <c r="T28" i="71"/>
  <c r="C27" i="71"/>
  <c r="C26" i="71" s="1"/>
  <c r="D26" i="71" s="1"/>
  <c r="F28" i="71"/>
  <c r="F27" i="71" s="1"/>
  <c r="F26" i="71"/>
  <c r="AB26" i="71"/>
  <c r="AB28" i="71"/>
  <c r="E28" i="71"/>
  <c r="E27" i="71" s="1"/>
  <c r="E26" i="71" s="1"/>
  <c r="AA3" i="71"/>
  <c r="AA25" i="71"/>
  <c r="AA27" i="71"/>
  <c r="D28" i="71"/>
  <c r="U28" i="71"/>
  <c r="D87" i="71"/>
  <c r="C86" i="71"/>
  <c r="D86" i="71"/>
  <c r="C70" i="71"/>
  <c r="D70" i="71" s="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c r="Q29" i="39"/>
  <c r="Z29" i="39"/>
  <c r="E102" i="39"/>
  <c r="F102" i="39" s="1"/>
  <c r="G102" i="39" s="1"/>
  <c r="Q18" i="36"/>
  <c r="Z18" i="36"/>
  <c r="D66" i="36"/>
  <c r="E66" i="36" s="1"/>
  <c r="F66" i="36" s="1"/>
  <c r="G66" i="36" s="1"/>
  <c r="H18" i="36"/>
  <c r="U18" i="36" s="1"/>
  <c r="F18" i="36"/>
  <c r="AA18" i="36" s="1"/>
  <c r="C18" i="36"/>
  <c r="Q18" i="35"/>
  <c r="Z18" i="35" s="1"/>
  <c r="D68" i="35"/>
  <c r="E68" i="35"/>
  <c r="F68" i="35" s="1"/>
  <c r="G68" i="35" s="1"/>
  <c r="F18" i="35"/>
  <c r="AA18" i="35"/>
  <c r="C18" i="35"/>
  <c r="Q21" i="37"/>
  <c r="Z21" i="37"/>
  <c r="D77" i="37"/>
  <c r="E77" i="37"/>
  <c r="C21" i="37"/>
  <c r="Q21" i="34"/>
  <c r="Z21" i="34"/>
  <c r="D84" i="34"/>
  <c r="E84" i="34"/>
  <c r="F21" i="34"/>
  <c r="AA21" i="34" s="1"/>
  <c r="C21" i="34"/>
  <c r="Q21" i="33"/>
  <c r="Z21" i="33" s="1"/>
  <c r="D83" i="33"/>
  <c r="E83" i="33" s="1"/>
  <c r="F83" i="33" s="1"/>
  <c r="G83" i="33" s="1"/>
  <c r="C21" i="33"/>
  <c r="C21" i="21"/>
  <c r="Q21" i="21"/>
  <c r="Z21" i="21"/>
  <c r="H19" i="21"/>
  <c r="D83" i="21"/>
  <c r="E83" i="21" s="1"/>
  <c r="F83" i="21" s="1"/>
  <c r="G83" i="21" s="1"/>
  <c r="F21" i="21"/>
  <c r="AA21" i="21" s="1"/>
  <c r="D81" i="21"/>
  <c r="G20" i="20"/>
  <c r="B88" i="43" s="1"/>
  <c r="B77" i="43"/>
  <c r="B57" i="43"/>
  <c r="B68" i="43"/>
  <c r="C29" i="39"/>
  <c r="S25" i="40"/>
  <c r="S18" i="36"/>
  <c r="F94" i="40"/>
  <c r="G94" i="40" s="1"/>
  <c r="H25" i="40"/>
  <c r="AB25" i="40" s="1"/>
  <c r="J25" i="40"/>
  <c r="H29" i="39"/>
  <c r="AB29" i="39"/>
  <c r="J29" i="39"/>
  <c r="AC29" i="39"/>
  <c r="J18" i="36"/>
  <c r="H18" i="35"/>
  <c r="AB18" i="35" s="1"/>
  <c r="S18" i="35"/>
  <c r="J18" i="35"/>
  <c r="W18" i="35" s="1"/>
  <c r="F77" i="37"/>
  <c r="H21" i="37"/>
  <c r="AB21" i="37" s="1"/>
  <c r="F21" i="37"/>
  <c r="AA21" i="37" s="1"/>
  <c r="F84" i="34"/>
  <c r="H21" i="34"/>
  <c r="AB21" i="34" s="1"/>
  <c r="H21" i="33"/>
  <c r="U21" i="33" s="1"/>
  <c r="F21" i="33"/>
  <c r="S21" i="21"/>
  <c r="H1" i="69"/>
  <c r="AC25" i="40"/>
  <c r="W25" i="40"/>
  <c r="U25" i="40"/>
  <c r="U29" i="39"/>
  <c r="W29" i="39"/>
  <c r="AC18" i="36"/>
  <c r="W18" i="36"/>
  <c r="S21" i="37"/>
  <c r="AA21" i="33"/>
  <c r="S21" i="33"/>
  <c r="U18" i="35"/>
  <c r="AC18" i="35"/>
  <c r="G77" i="37"/>
  <c r="J21" i="37"/>
  <c r="AC21" i="37" s="1"/>
  <c r="G84" i="34"/>
  <c r="J21" i="34"/>
  <c r="W21" i="34" s="1"/>
  <c r="J21" i="33"/>
  <c r="AC21" i="33" s="1"/>
  <c r="H21" i="21"/>
  <c r="F38" i="69"/>
  <c r="E37" i="69"/>
  <c r="F36" i="69"/>
  <c r="F35" i="69"/>
  <c r="F21" i="69"/>
  <c r="F40" i="69"/>
  <c r="F20" i="69"/>
  <c r="F39" i="69" s="1"/>
  <c r="E10" i="69"/>
  <c r="E9" i="69"/>
  <c r="C7" i="69"/>
  <c r="AC21" i="34"/>
  <c r="AB21" i="21"/>
  <c r="U21" i="21"/>
  <c r="J21" i="21"/>
  <c r="C40" i="69"/>
  <c r="F36" i="68"/>
  <c r="F40" i="68"/>
  <c r="F39"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s="1"/>
  <c r="M75" i="43"/>
  <c r="N75" i="43"/>
  <c r="K75" i="43"/>
  <c r="J75" i="43"/>
  <c r="M74" i="43"/>
  <c r="N74" i="43"/>
  <c r="K74" i="43"/>
  <c r="J74" i="43" s="1"/>
  <c r="M73" i="43"/>
  <c r="N73" i="43"/>
  <c r="K73" i="43"/>
  <c r="J73" i="43"/>
  <c r="M72" i="43"/>
  <c r="N72" i="43"/>
  <c r="K72" i="43"/>
  <c r="J72" i="43" s="1"/>
  <c r="M69" i="43"/>
  <c r="N69" i="43"/>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c r="C59" i="39"/>
  <c r="H58" i="39"/>
  <c r="I58" i="39" s="1"/>
  <c r="C58" i="39" s="1"/>
  <c r="H57" i="39"/>
  <c r="I57" i="39"/>
  <c r="C57" i="39" s="1"/>
  <c r="H60" i="39"/>
  <c r="I60" i="39"/>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s="1"/>
  <c r="R264" i="31"/>
  <c r="R265" i="31"/>
  <c r="S265" i="31" s="1"/>
  <c r="R266" i="31"/>
  <c r="R267" i="31"/>
  <c r="S267" i="3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c r="R290" i="31"/>
  <c r="R291" i="31"/>
  <c r="S291" i="31"/>
  <c r="R292" i="31"/>
  <c r="R293" i="31"/>
  <c r="S293" i="31" s="1"/>
  <c r="R294" i="31"/>
  <c r="R295" i="31"/>
  <c r="S295" i="31" s="1"/>
  <c r="R296" i="31"/>
  <c r="R297" i="31"/>
  <c r="S297" i="31" s="1"/>
  <c r="R298" i="31"/>
  <c r="R299" i="31"/>
  <c r="S299" i="31"/>
  <c r="R300" i="31"/>
  <c r="R301" i="31"/>
  <c r="S301" i="31" s="1"/>
  <c r="R302" i="31"/>
  <c r="R303" i="31"/>
  <c r="S303" i="31"/>
  <c r="R304" i="31"/>
  <c r="R305" i="31"/>
  <c r="S305" i="3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c r="R322" i="31"/>
  <c r="R323" i="31"/>
  <c r="S323" i="31"/>
  <c r="R324" i="31"/>
  <c r="R325" i="31"/>
  <c r="S325" i="31" s="1"/>
  <c r="R326" i="31"/>
  <c r="R327" i="31"/>
  <c r="S327" i="31" s="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c r="R354" i="31"/>
  <c r="R355" i="31"/>
  <c r="S355" i="31"/>
  <c r="R356" i="31"/>
  <c r="R357" i="31"/>
  <c r="S357" i="31" s="1"/>
  <c r="R358" i="31"/>
  <c r="R359" i="31"/>
  <c r="S359" i="31" s="1"/>
  <c r="R360" i="31"/>
  <c r="R361" i="31"/>
  <c r="S361" i="31" s="1"/>
  <c r="R362" i="31"/>
  <c r="R363" i="31"/>
  <c r="S363" i="31"/>
  <c r="R364" i="31"/>
  <c r="R365" i="31"/>
  <c r="S365" i="31" s="1"/>
  <c r="R366" i="31"/>
  <c r="R367" i="31"/>
  <c r="S367" i="31"/>
  <c r="R368" i="31"/>
  <c r="R369" i="31"/>
  <c r="S369" i="3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c r="R386" i="31"/>
  <c r="R387" i="31"/>
  <c r="S387" i="31"/>
  <c r="R388" i="31"/>
  <c r="R389" i="31"/>
  <c r="S389" i="31" s="1"/>
  <c r="R390" i="31"/>
  <c r="R391" i="31"/>
  <c r="S391" i="31" s="1"/>
  <c r="R392" i="31"/>
  <c r="R393" i="31"/>
  <c r="S393" i="31" s="1"/>
  <c r="R394" i="31"/>
  <c r="R395" i="31"/>
  <c r="S395" i="31"/>
  <c r="R396" i="31"/>
  <c r="R397" i="31"/>
  <c r="S397" i="31" s="1"/>
  <c r="R398" i="31"/>
  <c r="R399" i="31"/>
  <c r="S399" i="31"/>
  <c r="R400" i="31"/>
  <c r="R401" i="31"/>
  <c r="S401" i="3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s="1"/>
  <c r="R35" i="4"/>
  <c r="Q35" i="4"/>
  <c r="P35" i="4"/>
  <c r="O35" i="4"/>
  <c r="N35" i="4"/>
  <c r="M35" i="4"/>
  <c r="L35" i="4"/>
  <c r="K34" i="4"/>
  <c r="T34" i="4"/>
  <c r="G13" i="1"/>
  <c r="H15" i="4"/>
  <c r="F9" i="1"/>
  <c r="G9" i="1"/>
  <c r="G15" i="4"/>
  <c r="F12" i="1"/>
  <c r="F15" i="4"/>
  <c r="F11" i="1"/>
  <c r="G11" i="1" s="1"/>
  <c r="F7" i="1"/>
  <c r="G7" i="1" s="1"/>
  <c r="C15" i="4"/>
  <c r="G6" i="1"/>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T4" i="1"/>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7" i="12"/>
  <c r="I7" i="12"/>
  <c r="J7" i="12"/>
  <c r="K7" i="12"/>
  <c r="H111" i="21"/>
  <c r="J30" i="36"/>
  <c r="AC30" i="36" s="1"/>
  <c r="H30" i="36"/>
  <c r="F30" i="36"/>
  <c r="AA30" i="36"/>
  <c r="C26" i="35"/>
  <c r="C79" i="35" s="1"/>
  <c r="J31" i="35"/>
  <c r="W31" i="35"/>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s="1"/>
  <c r="H112" i="34" s="1"/>
  <c r="I112" i="34"/>
  <c r="J112" i="34" s="1"/>
  <c r="K112" i="34" s="1"/>
  <c r="L112" i="34"/>
  <c r="M112" i="34" s="1"/>
  <c r="F40" i="33"/>
  <c r="S40" i="33" s="1"/>
  <c r="J41" i="33"/>
  <c r="D113" i="33"/>
  <c r="F37" i="33"/>
  <c r="D111" i="33"/>
  <c r="E111" i="33" s="1"/>
  <c r="F111" i="33"/>
  <c r="S515" i="31"/>
  <c r="S516" i="31"/>
  <c r="S517" i="31"/>
  <c r="S518" i="31"/>
  <c r="S519" i="31"/>
  <c r="S520" i="31"/>
  <c r="S521" i="31"/>
  <c r="S522" i="31"/>
  <c r="S523" i="31"/>
  <c r="S524" i="31"/>
  <c r="F41" i="21"/>
  <c r="J41" i="21"/>
  <c r="AC41" i="21"/>
  <c r="H41" i="21"/>
  <c r="U41" i="21" s="1"/>
  <c r="I80" i="39"/>
  <c r="J80" i="39" s="1"/>
  <c r="D76" i="40"/>
  <c r="E76" i="40"/>
  <c r="F76" i="40" s="1"/>
  <c r="G76" i="40" s="1"/>
  <c r="H76" i="40"/>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W32" i="40" s="1"/>
  <c r="B101" i="40"/>
  <c r="J31" i="40"/>
  <c r="AC31" i="40"/>
  <c r="D100" i="40"/>
  <c r="E100" i="40"/>
  <c r="F100" i="40"/>
  <c r="G100" i="40" s="1"/>
  <c r="H100" i="40"/>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s="1"/>
  <c r="Q37" i="40"/>
  <c r="Z37" i="40" s="1"/>
  <c r="Q36" i="40"/>
  <c r="Z36" i="40" s="1"/>
  <c r="Q35" i="40"/>
  <c r="Z35" i="40"/>
  <c r="Q34" i="40"/>
  <c r="Z34" i="40"/>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J38" i="39"/>
  <c r="W38" i="39" s="1"/>
  <c r="H38" i="39"/>
  <c r="AB38" i="39"/>
  <c r="F123" i="39"/>
  <c r="G123" i="39" s="1"/>
  <c r="H123" i="39"/>
  <c r="I123" i="39" s="1"/>
  <c r="J123" i="39" s="1"/>
  <c r="K123" i="39" s="1"/>
  <c r="L123" i="39"/>
  <c r="M123" i="39" s="1"/>
  <c r="D119" i="39"/>
  <c r="E119" i="39"/>
  <c r="F119" i="39" s="1"/>
  <c r="G119" i="39"/>
  <c r="H119" i="39" s="1"/>
  <c r="I119" i="39" s="1"/>
  <c r="J119" i="39" s="1"/>
  <c r="K119" i="39"/>
  <c r="L119" i="39" s="1"/>
  <c r="M119" i="39" s="1"/>
  <c r="J37" i="39"/>
  <c r="D108" i="39"/>
  <c r="D104" i="39"/>
  <c r="E104" i="39"/>
  <c r="F104" i="39" s="1"/>
  <c r="G104" i="39"/>
  <c r="H104" i="39" s="1"/>
  <c r="I104" i="39" s="1"/>
  <c r="J104" i="39" s="1"/>
  <c r="K104" i="39" s="1"/>
  <c r="L104" i="39" s="1"/>
  <c r="M104" i="39" s="1"/>
  <c r="E98" i="39"/>
  <c r="F98" i="39" s="1"/>
  <c r="G98" i="39"/>
  <c r="Q39" i="39"/>
  <c r="Z39" i="39"/>
  <c r="Q40" i="39"/>
  <c r="Z40" i="39" s="1"/>
  <c r="Q41" i="39"/>
  <c r="Z41" i="39"/>
  <c r="Q42" i="39"/>
  <c r="Z42" i="39" s="1"/>
  <c r="Q43" i="39"/>
  <c r="Z43" i="39" s="1"/>
  <c r="Q44" i="39"/>
  <c r="Z44" i="39" s="1"/>
  <c r="Q45" i="39"/>
  <c r="Z45" i="39" s="1"/>
  <c r="Q38" i="39"/>
  <c r="Z38" i="39" s="1"/>
  <c r="Q36" i="39"/>
  <c r="Z36" i="39"/>
  <c r="Q37" i="39"/>
  <c r="Z37" i="39" s="1"/>
  <c r="H45" i="39"/>
  <c r="H44" i="39"/>
  <c r="J43" i="39"/>
  <c r="E125" i="39"/>
  <c r="F125" i="39" s="1"/>
  <c r="G125" i="39" s="1"/>
  <c r="H125" i="39" s="1"/>
  <c r="I125" i="39" s="1"/>
  <c r="J125" i="39" s="1"/>
  <c r="K125" i="39" s="1"/>
  <c r="L125" i="39" s="1"/>
  <c r="M125" i="39" s="1"/>
  <c r="D121" i="39"/>
  <c r="E121" i="39" s="1"/>
  <c r="F121" i="39" s="1"/>
  <c r="G121" i="39" s="1"/>
  <c r="H121" i="39"/>
  <c r="I121" i="39" s="1"/>
  <c r="J121" i="39" s="1"/>
  <c r="K121" i="39" s="1"/>
  <c r="L121" i="39" s="1"/>
  <c r="M121" i="39"/>
  <c r="H35" i="39"/>
  <c r="AB35" i="39" s="1"/>
  <c r="J23" i="39"/>
  <c r="AC23" i="39"/>
  <c r="E94" i="39"/>
  <c r="F94" i="39"/>
  <c r="D92" i="39"/>
  <c r="E92" i="39" s="1"/>
  <c r="F92" i="39"/>
  <c r="G92" i="39" s="1"/>
  <c r="E90" i="39"/>
  <c r="F90" i="39" s="1"/>
  <c r="G90" i="39" s="1"/>
  <c r="D88" i="39"/>
  <c r="E88" i="39"/>
  <c r="F88" i="39"/>
  <c r="G88" i="39" s="1"/>
  <c r="J12" i="39"/>
  <c r="M78" i="39"/>
  <c r="L78" i="39"/>
  <c r="K78" i="39"/>
  <c r="J78" i="39"/>
  <c r="I78" i="39"/>
  <c r="H78" i="39"/>
  <c r="G78" i="39"/>
  <c r="F78" i="39"/>
  <c r="E78" i="39"/>
  <c r="D78" i="39"/>
  <c r="C78" i="39"/>
  <c r="P48" i="39"/>
  <c r="P47" i="39"/>
  <c r="V46" i="39"/>
  <c r="T46" i="39"/>
  <c r="P46" i="39"/>
  <c r="J40" i="39"/>
  <c r="AC40" i="39" s="1"/>
  <c r="Q35" i="39"/>
  <c r="Z35" i="39" s="1"/>
  <c r="Q34" i="39"/>
  <c r="Z34" i="39"/>
  <c r="Q32" i="39"/>
  <c r="Z32" i="39" s="1"/>
  <c r="Q31" i="39"/>
  <c r="Z31" i="39" s="1"/>
  <c r="Q27" i="39"/>
  <c r="Z27" i="39"/>
  <c r="Q25" i="39"/>
  <c r="Z25" i="39"/>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J8" i="39"/>
  <c r="AC8" i="39"/>
  <c r="H8" i="39"/>
  <c r="U8" i="39" s="1"/>
  <c r="C20" i="36"/>
  <c r="C20" i="35"/>
  <c r="C16" i="36"/>
  <c r="C16" i="35"/>
  <c r="C14" i="36"/>
  <c r="C14" i="35"/>
  <c r="B80" i="37"/>
  <c r="J25" i="37" s="1"/>
  <c r="AC25" i="37" s="1"/>
  <c r="B110" i="37"/>
  <c r="J39" i="37" s="1"/>
  <c r="AC39" i="37" s="1"/>
  <c r="B108" i="37"/>
  <c r="H38" i="37" s="1"/>
  <c r="C23" i="37"/>
  <c r="C19" i="37"/>
  <c r="C17" i="37"/>
  <c r="C15" i="37"/>
  <c r="B112" i="37"/>
  <c r="H40" i="37" s="1"/>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D75" i="37"/>
  <c r="E75" i="37"/>
  <c r="D73" i="37"/>
  <c r="E73" i="37" s="1"/>
  <c r="F73" i="37" s="1"/>
  <c r="D71" i="37"/>
  <c r="H15" i="37"/>
  <c r="AB15" i="37"/>
  <c r="B68" i="37"/>
  <c r="H14" i="37"/>
  <c r="AB14" i="37"/>
  <c r="B66" i="37"/>
  <c r="B64" i="37"/>
  <c r="D63" i="37"/>
  <c r="E63" i="37" s="1"/>
  <c r="F63" i="37" s="1"/>
  <c r="M61" i="37"/>
  <c r="L61" i="37"/>
  <c r="K61" i="37"/>
  <c r="J61" i="37"/>
  <c r="I61" i="37"/>
  <c r="H61" i="37"/>
  <c r="G61" i="37"/>
  <c r="F61" i="37"/>
  <c r="E61" i="37"/>
  <c r="D61" i="37"/>
  <c r="C61" i="37"/>
  <c r="C57" i="37"/>
  <c r="H9" i="37" s="1"/>
  <c r="P43" i="37"/>
  <c r="P42" i="37"/>
  <c r="V41" i="37"/>
  <c r="T41" i="37"/>
  <c r="R41" i="37"/>
  <c r="P41" i="37"/>
  <c r="Q40" i="37"/>
  <c r="Z40" i="37"/>
  <c r="Q39" i="37"/>
  <c r="Z39" i="37"/>
  <c r="Q38" i="37"/>
  <c r="Z38" i="37" s="1"/>
  <c r="Q37" i="37"/>
  <c r="Z37" i="37" s="1"/>
  <c r="Q36" i="37"/>
  <c r="Z36" i="37" s="1"/>
  <c r="Q35" i="37"/>
  <c r="Z35" i="37" s="1"/>
  <c r="Q34" i="37"/>
  <c r="Z34" i="37"/>
  <c r="Q33" i="37"/>
  <c r="Z33" i="37" s="1"/>
  <c r="Q32" i="37"/>
  <c r="Z32" i="37" s="1"/>
  <c r="Q31" i="37"/>
  <c r="Z31" i="37"/>
  <c r="J31" i="37"/>
  <c r="AC31" i="37"/>
  <c r="Q30" i="37"/>
  <c r="Z30" i="37" s="1"/>
  <c r="J30" i="37"/>
  <c r="AC30" i="37"/>
  <c r="H30" i="37"/>
  <c r="AB30" i="37" s="1"/>
  <c r="F30" i="37"/>
  <c r="AA30" i="37" s="1"/>
  <c r="Q29" i="37"/>
  <c r="Z29" i="37" s="1"/>
  <c r="H29" i="37"/>
  <c r="AB29" i="37" s="1"/>
  <c r="Q28" i="37"/>
  <c r="Z28" i="37" s="1"/>
  <c r="Q27" i="37"/>
  <c r="Z27" i="37"/>
  <c r="Q26" i="37"/>
  <c r="Z26" i="37" s="1"/>
  <c r="Q25" i="37"/>
  <c r="Z25" i="37" s="1"/>
  <c r="F25" i="37"/>
  <c r="AA25" i="37" s="1"/>
  <c r="Q23" i="37"/>
  <c r="Z23" i="37" s="1"/>
  <c r="Q19" i="37"/>
  <c r="Z19" i="37" s="1"/>
  <c r="Q17" i="37"/>
  <c r="Z17" i="37" s="1"/>
  <c r="Q15" i="37"/>
  <c r="Z15" i="37"/>
  <c r="Q14" i="37"/>
  <c r="Z14" i="37"/>
  <c r="Q13" i="37"/>
  <c r="Z13" i="37" s="1"/>
  <c r="Q12" i="37"/>
  <c r="Z12" i="37"/>
  <c r="Q11" i="37"/>
  <c r="Z11" i="37"/>
  <c r="Q10" i="37"/>
  <c r="Z10" i="37" s="1"/>
  <c r="F10" i="37"/>
  <c r="AA10" i="37" s="1"/>
  <c r="Q9" i="37"/>
  <c r="Z9" i="37" s="1"/>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s="1"/>
  <c r="L81" i="36" s="1"/>
  <c r="M81" i="36"/>
  <c r="F79" i="36"/>
  <c r="E79" i="36"/>
  <c r="D79" i="36"/>
  <c r="C79" i="36"/>
  <c r="B93" i="36"/>
  <c r="B91" i="36"/>
  <c r="F32" i="36"/>
  <c r="B95" i="36"/>
  <c r="H34" i="36"/>
  <c r="D83" i="36"/>
  <c r="E83" i="36"/>
  <c r="F83" i="36"/>
  <c r="G83" i="36" s="1"/>
  <c r="H83" i="36" s="1"/>
  <c r="I83" i="36"/>
  <c r="J83" i="36" s="1"/>
  <c r="K83" i="36" s="1"/>
  <c r="L83" i="36" s="1"/>
  <c r="M83" i="36" s="1"/>
  <c r="D78" i="36"/>
  <c r="E78" i="36"/>
  <c r="F78" i="36" s="1"/>
  <c r="G78" i="36" s="1"/>
  <c r="H78" i="36"/>
  <c r="I78" i="36" s="1"/>
  <c r="J78" i="36" s="1"/>
  <c r="K78" i="36" s="1"/>
  <c r="L78" i="36" s="1"/>
  <c r="M78" i="36" s="1"/>
  <c r="B75" i="36"/>
  <c r="B73" i="36"/>
  <c r="H24" i="36" s="1"/>
  <c r="AB24" i="36" s="1"/>
  <c r="B71" i="36"/>
  <c r="D70" i="36"/>
  <c r="H22" i="36"/>
  <c r="AB22" i="36" s="1"/>
  <c r="D68" i="36"/>
  <c r="E68" i="36" s="1"/>
  <c r="F68" i="36" s="1"/>
  <c r="G68" i="36"/>
  <c r="D64" i="36"/>
  <c r="E64" i="36"/>
  <c r="F64" i="36"/>
  <c r="G64" i="36" s="1"/>
  <c r="J16" i="36"/>
  <c r="W16" i="36" s="1"/>
  <c r="D62" i="36"/>
  <c r="E62" i="36"/>
  <c r="F62" i="36" s="1"/>
  <c r="G62" i="36" s="1"/>
  <c r="B59" i="36"/>
  <c r="B57" i="36"/>
  <c r="H12" i="36" s="1"/>
  <c r="U12" i="36" s="1"/>
  <c r="B55" i="36"/>
  <c r="J11" i="36" s="1"/>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W28" i="36" s="1"/>
  <c r="Q27" i="36"/>
  <c r="Z27" i="36" s="1"/>
  <c r="Q26" i="36"/>
  <c r="Z26" i="36"/>
  <c r="H26" i="36"/>
  <c r="AB26" i="36"/>
  <c r="Q25" i="36"/>
  <c r="Z25" i="36" s="1"/>
  <c r="Q24" i="36"/>
  <c r="Z24" i="36" s="1"/>
  <c r="Q23" i="36"/>
  <c r="Z23" i="36" s="1"/>
  <c r="J23" i="36"/>
  <c r="AC23" i="36"/>
  <c r="H23" i="36"/>
  <c r="AB23" i="36"/>
  <c r="F23" i="36"/>
  <c r="AA23" i="36"/>
  <c r="Q22" i="36"/>
  <c r="Z22" i="36" s="1"/>
  <c r="J22" i="36"/>
  <c r="AC22" i="36"/>
  <c r="Q20" i="36"/>
  <c r="Z20" i="36"/>
  <c r="Q16" i="36"/>
  <c r="Z16" i="36"/>
  <c r="Q14" i="36"/>
  <c r="Z14" i="36" s="1"/>
  <c r="Q13" i="36"/>
  <c r="Z13" i="36"/>
  <c r="Q12" i="36"/>
  <c r="Z12" i="36"/>
  <c r="Q11" i="36"/>
  <c r="Z11" i="36"/>
  <c r="Q10" i="36"/>
  <c r="Z10" i="36"/>
  <c r="F10" i="36"/>
  <c r="AA10" i="36" s="1"/>
  <c r="Q9" i="36"/>
  <c r="Z9" i="36"/>
  <c r="H9" i="36"/>
  <c r="AB9" i="36"/>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s="1"/>
  <c r="B99" i="35"/>
  <c r="B97" i="35"/>
  <c r="B77" i="35"/>
  <c r="B75" i="35"/>
  <c r="B73" i="35"/>
  <c r="H23" i="35" s="1"/>
  <c r="U23" i="35" s="1"/>
  <c r="B57" i="35"/>
  <c r="J11" i="35" s="1"/>
  <c r="AC11" i="35" s="1"/>
  <c r="B61" i="35"/>
  <c r="B59" i="35"/>
  <c r="F12" i="35" s="1"/>
  <c r="B131" i="34"/>
  <c r="B129" i="34"/>
  <c r="B127" i="34"/>
  <c r="B99" i="34"/>
  <c r="B97" i="34"/>
  <c r="B95" i="34"/>
  <c r="F30" i="34" s="1"/>
  <c r="B93" i="34"/>
  <c r="B75" i="34"/>
  <c r="B73" i="34"/>
  <c r="B71" i="34"/>
  <c r="J12" i="34" s="1"/>
  <c r="B130" i="33"/>
  <c r="B128" i="33"/>
  <c r="B126" i="33"/>
  <c r="B98" i="33"/>
  <c r="B96" i="33"/>
  <c r="B94" i="33"/>
  <c r="B74" i="33"/>
  <c r="B72" i="33"/>
  <c r="B70" i="33"/>
  <c r="J12" i="33" s="1"/>
  <c r="D96" i="35"/>
  <c r="E96" i="35" s="1"/>
  <c r="F96" i="35"/>
  <c r="G96" i="35" s="1"/>
  <c r="D94" i="35"/>
  <c r="E94" i="35"/>
  <c r="F94" i="35" s="1"/>
  <c r="G94" i="35" s="1"/>
  <c r="H94" i="35" s="1"/>
  <c r="I94" i="35" s="1"/>
  <c r="J94" i="35" s="1"/>
  <c r="K94" i="35"/>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D64" i="35"/>
  <c r="E64" i="35" s="1"/>
  <c r="F64" i="35"/>
  <c r="G64" i="35" s="1"/>
  <c r="J14" i="35"/>
  <c r="W14" i="35"/>
  <c r="C53" i="35"/>
  <c r="J9" i="35"/>
  <c r="P39" i="35"/>
  <c r="P38" i="35"/>
  <c r="V37" i="35"/>
  <c r="T37" i="35"/>
  <c r="R37" i="35"/>
  <c r="P37" i="35"/>
  <c r="Q36" i="35"/>
  <c r="Z36" i="35"/>
  <c r="J36" i="35"/>
  <c r="AC36" i="35" s="1"/>
  <c r="Q35" i="35"/>
  <c r="Z35" i="35"/>
  <c r="Q34" i="35"/>
  <c r="Z34" i="35" s="1"/>
  <c r="J34" i="35"/>
  <c r="AC34" i="35" s="1"/>
  <c r="H34" i="35"/>
  <c r="AB34" i="35" s="1"/>
  <c r="F34" i="35"/>
  <c r="S34" i="35" s="1"/>
  <c r="Q33" i="35"/>
  <c r="Z33" i="35" s="1"/>
  <c r="Q32" i="35"/>
  <c r="Z32" i="35"/>
  <c r="H32" i="35"/>
  <c r="AB32" i="35" s="1"/>
  <c r="F32" i="35"/>
  <c r="AA32" i="35"/>
  <c r="Q31" i="35"/>
  <c r="Z31" i="35"/>
  <c r="AC31" i="35"/>
  <c r="AA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H12" i="35"/>
  <c r="U12" i="35"/>
  <c r="S12" i="35"/>
  <c r="Q11" i="35"/>
  <c r="Z11" i="35"/>
  <c r="Q10" i="35"/>
  <c r="Z10" i="35"/>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c r="Q38" i="34"/>
  <c r="Z38" i="34" s="1"/>
  <c r="Q37" i="34"/>
  <c r="Z37" i="34"/>
  <c r="Q36" i="34"/>
  <c r="Z36" i="34"/>
  <c r="Q35" i="34"/>
  <c r="Z35" i="34" s="1"/>
  <c r="Q34" i="34"/>
  <c r="Z34" i="34" s="1"/>
  <c r="J34" i="34"/>
  <c r="AC34" i="34" s="1"/>
  <c r="H34" i="34"/>
  <c r="AB34" i="34" s="1"/>
  <c r="F34" i="34"/>
  <c r="AA34" i="34"/>
  <c r="Q33" i="34"/>
  <c r="Z33" i="34" s="1"/>
  <c r="Q32" i="34"/>
  <c r="Z32" i="34" s="1"/>
  <c r="Q31" i="34"/>
  <c r="Z31" i="34"/>
  <c r="Q30" i="34"/>
  <c r="Z30" i="34"/>
  <c r="Q29" i="34"/>
  <c r="Z29" i="34" s="1"/>
  <c r="Q28" i="34"/>
  <c r="Z28" i="34"/>
  <c r="Q27" i="34"/>
  <c r="Z27" i="34" s="1"/>
  <c r="Q25" i="34"/>
  <c r="Z25" i="34" s="1"/>
  <c r="Q23" i="34"/>
  <c r="Z23" i="34" s="1"/>
  <c r="C23" i="34"/>
  <c r="Q19" i="34"/>
  <c r="Z19" i="34"/>
  <c r="C19" i="34"/>
  <c r="Q17" i="34"/>
  <c r="Z17" i="34"/>
  <c r="C17" i="34"/>
  <c r="Q15" i="34"/>
  <c r="Z15" i="34"/>
  <c r="Q14" i="34"/>
  <c r="Z14" i="34"/>
  <c r="Q13" i="34"/>
  <c r="Z13" i="34" s="1"/>
  <c r="Q12" i="34"/>
  <c r="Z12" i="34" s="1"/>
  <c r="W12" i="34"/>
  <c r="H12" i="34"/>
  <c r="Q11" i="34"/>
  <c r="Z11" i="34" s="1"/>
  <c r="Q10" i="34"/>
  <c r="Z10" i="34" s="1"/>
  <c r="F10" i="34"/>
  <c r="AA10" i="34"/>
  <c r="Q9" i="34"/>
  <c r="Z9" i="34"/>
  <c r="H9" i="34"/>
  <c r="J8" i="34"/>
  <c r="W8" i="34" s="1"/>
  <c r="H8" i="34"/>
  <c r="U8" i="34" s="1"/>
  <c r="F8" i="34"/>
  <c r="D121" i="33"/>
  <c r="E121" i="33" s="1"/>
  <c r="F121" i="33" s="1"/>
  <c r="G121" i="33" s="1"/>
  <c r="H121" i="33" s="1"/>
  <c r="I121" i="33" s="1"/>
  <c r="J121" i="33" s="1"/>
  <c r="K121" i="33" s="1"/>
  <c r="F109" i="33"/>
  <c r="E109" i="33"/>
  <c r="D109" i="33"/>
  <c r="C109" i="33"/>
  <c r="D91" i="33"/>
  <c r="E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s="1"/>
  <c r="Q42" i="33"/>
  <c r="Z42" i="33" s="1"/>
  <c r="J42" i="33"/>
  <c r="AC42" i="33"/>
  <c r="AC41" i="33"/>
  <c r="W41" i="33"/>
  <c r="Q41" i="33"/>
  <c r="Z41" i="33" s="1"/>
  <c r="Q40" i="33"/>
  <c r="Z40" i="33" s="1"/>
  <c r="J40" i="33"/>
  <c r="AC40" i="33"/>
  <c r="H40" i="33"/>
  <c r="AB40" i="33"/>
  <c r="AA40" i="33"/>
  <c r="Q39" i="33"/>
  <c r="Z39" i="33"/>
  <c r="J39" i="33"/>
  <c r="AC39" i="33"/>
  <c r="Q38" i="33"/>
  <c r="Z38" i="33" s="1"/>
  <c r="J38" i="33"/>
  <c r="AC38" i="33"/>
  <c r="H38" i="33"/>
  <c r="AB38" i="33"/>
  <c r="F38" i="33"/>
  <c r="AA38" i="33"/>
  <c r="Q37" i="33"/>
  <c r="Z37" i="33" s="1"/>
  <c r="Q36" i="33"/>
  <c r="Z36" i="33"/>
  <c r="Q35" i="33"/>
  <c r="Z35" i="33"/>
  <c r="H35" i="33"/>
  <c r="AB35" i="33" s="1"/>
  <c r="Q34" i="33"/>
  <c r="Z34" i="33" s="1"/>
  <c r="Q33" i="33"/>
  <c r="Z33" i="33"/>
  <c r="J33" i="33"/>
  <c r="AC33" i="33"/>
  <c r="H33" i="33"/>
  <c r="AB33" i="33" s="1"/>
  <c r="F33" i="33"/>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H12" i="33"/>
  <c r="AB12" i="33" s="1"/>
  <c r="U12" i="33"/>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90" i="43" s="1"/>
  <c r="G19" i="20"/>
  <c r="B87" i="43" s="1"/>
  <c r="G16" i="20"/>
  <c r="B84" i="43"/>
  <c r="G15" i="20"/>
  <c r="B83" i="43"/>
  <c r="B75" i="43"/>
  <c r="B76" i="43"/>
  <c r="B79" i="43"/>
  <c r="B73" i="43"/>
  <c r="C17" i="20"/>
  <c r="B61" i="43"/>
  <c r="C16" i="20"/>
  <c r="C17" i="39"/>
  <c r="C15" i="20"/>
  <c r="B72" i="43" s="1"/>
  <c r="E54" i="21"/>
  <c r="F54" i="21" s="1"/>
  <c r="I54" i="21"/>
  <c r="J54" i="21"/>
  <c r="G54" i="21"/>
  <c r="H54" i="21"/>
  <c r="D125" i="21"/>
  <c r="E125" i="21" s="1"/>
  <c r="F125" i="21" s="1"/>
  <c r="G125" i="21" s="1"/>
  <c r="D123" i="21"/>
  <c r="E123" i="2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c r="B130" i="21"/>
  <c r="B128" i="21"/>
  <c r="J45" i="21"/>
  <c r="W45" i="21" s="1"/>
  <c r="B126" i="21"/>
  <c r="J44" i="21" s="1"/>
  <c r="B98" i="21"/>
  <c r="H31" i="21" s="1"/>
  <c r="B96" i="21"/>
  <c r="H30" i="21" s="1"/>
  <c r="AB30" i="21" s="1"/>
  <c r="B94" i="21"/>
  <c r="J29" i="21"/>
  <c r="AC29" i="21"/>
  <c r="B92" i="21"/>
  <c r="B90" i="21"/>
  <c r="J27" i="21"/>
  <c r="W27" i="21" s="1"/>
  <c r="B74" i="21"/>
  <c r="B72" i="21"/>
  <c r="H13" i="21"/>
  <c r="B70" i="2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s="1"/>
  <c r="H43" i="21"/>
  <c r="AB43" i="21" s="1"/>
  <c r="F38" i="21"/>
  <c r="S38" i="21" s="1"/>
  <c r="F36" i="21"/>
  <c r="S36" i="21"/>
  <c r="F39" i="21"/>
  <c r="AA39" i="21" s="1"/>
  <c r="J40" i="2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S45" i="39"/>
  <c r="J45" i="39"/>
  <c r="J44" i="39"/>
  <c r="AC44" i="39"/>
  <c r="S36" i="39"/>
  <c r="H36" i="39"/>
  <c r="AB36" i="39" s="1"/>
  <c r="J35" i="39"/>
  <c r="AC35" i="39"/>
  <c r="J36" i="39"/>
  <c r="AC36" i="39"/>
  <c r="W40" i="39"/>
  <c r="W25" i="37"/>
  <c r="U30" i="37"/>
  <c r="W31" i="37"/>
  <c r="E103" i="37"/>
  <c r="F103" i="37" s="1"/>
  <c r="G103" i="37" s="1"/>
  <c r="H103" i="37"/>
  <c r="I103" i="37" s="1"/>
  <c r="J103" i="37" s="1"/>
  <c r="K103" i="37" s="1"/>
  <c r="L103" i="37" s="1"/>
  <c r="M103" i="37" s="1"/>
  <c r="F39" i="37"/>
  <c r="S39" i="37"/>
  <c r="U14" i="37"/>
  <c r="F29" i="36"/>
  <c r="AA29" i="36"/>
  <c r="F16" i="36"/>
  <c r="AA16" i="36" s="1"/>
  <c r="U9" i="36"/>
  <c r="U31" i="36"/>
  <c r="J33" i="36"/>
  <c r="AC33" i="36" s="1"/>
  <c r="H22" i="35"/>
  <c r="AB22" i="35" s="1"/>
  <c r="W28" i="35"/>
  <c r="U31" i="35"/>
  <c r="W34" i="35"/>
  <c r="W22" i="35"/>
  <c r="S31" i="35"/>
  <c r="F36" i="34"/>
  <c r="J35" i="34"/>
  <c r="U34" i="34"/>
  <c r="H39" i="33"/>
  <c r="AB39" i="33"/>
  <c r="F26" i="33"/>
  <c r="U33" i="33"/>
  <c r="U35" i="33"/>
  <c r="W33" i="33"/>
  <c r="W39" i="33"/>
  <c r="H39" i="37"/>
  <c r="AB39" i="37" s="1"/>
  <c r="S27" i="35"/>
  <c r="F11" i="40"/>
  <c r="H11" i="40"/>
  <c r="AB11" i="40"/>
  <c r="W8" i="40"/>
  <c r="AC40" i="40"/>
  <c r="AA9" i="40"/>
  <c r="AC9" i="40"/>
  <c r="S34" i="40"/>
  <c r="W31" i="40"/>
  <c r="U34" i="40"/>
  <c r="S41" i="39"/>
  <c r="H40" i="39"/>
  <c r="AB40" i="39"/>
  <c r="H39" i="39"/>
  <c r="U39" i="39"/>
  <c r="S38" i="39"/>
  <c r="S34" i="39"/>
  <c r="H34" i="39"/>
  <c r="U34" i="39" s="1"/>
  <c r="E108" i="39"/>
  <c r="H31" i="39"/>
  <c r="AB31" i="39" s="1"/>
  <c r="H19" i="39"/>
  <c r="AB19" i="39"/>
  <c r="H17" i="39"/>
  <c r="AB17" i="39"/>
  <c r="J23" i="40"/>
  <c r="AC23" i="40" s="1"/>
  <c r="F21" i="40"/>
  <c r="AA21" i="40" s="1"/>
  <c r="J21" i="40"/>
  <c r="W21" i="40" s="1"/>
  <c r="H42" i="39"/>
  <c r="AB42" i="39"/>
  <c r="J34" i="39"/>
  <c r="AC34" i="39" s="1"/>
  <c r="F108" i="39"/>
  <c r="G108" i="39" s="1"/>
  <c r="H108" i="39"/>
  <c r="I108" i="39"/>
  <c r="J108" i="39" s="1"/>
  <c r="K108" i="39" s="1"/>
  <c r="L108" i="39" s="1"/>
  <c r="M108" i="39" s="1"/>
  <c r="J31" i="39"/>
  <c r="F100" i="39"/>
  <c r="H27" i="39"/>
  <c r="J19" i="39"/>
  <c r="AC19" i="39"/>
  <c r="J17" i="39"/>
  <c r="J27" i="39"/>
  <c r="AC27" i="39"/>
  <c r="F11" i="21"/>
  <c r="S11" i="21"/>
  <c r="S40" i="21"/>
  <c r="C25" i="39"/>
  <c r="C27" i="39"/>
  <c r="C21" i="39"/>
  <c r="S40" i="39"/>
  <c r="C15" i="39"/>
  <c r="H32" i="33"/>
  <c r="AB32" i="33"/>
  <c r="H11" i="21"/>
  <c r="U11" i="21" s="1"/>
  <c r="J11" i="21"/>
  <c r="W11" i="21" s="1"/>
  <c r="H37" i="40"/>
  <c r="U37" i="40" s="1"/>
  <c r="H36" i="40"/>
  <c r="AB36" i="40"/>
  <c r="F35" i="40"/>
  <c r="AA35" i="40" s="1"/>
  <c r="H23" i="40"/>
  <c r="H17" i="40"/>
  <c r="U17" i="40"/>
  <c r="J15" i="40"/>
  <c r="W15" i="40"/>
  <c r="J11" i="40"/>
  <c r="W11" i="40" s="1"/>
  <c r="AB8" i="39"/>
  <c r="AC12" i="34"/>
  <c r="AB12" i="35"/>
  <c r="AB12" i="36"/>
  <c r="S44" i="39"/>
  <c r="J34" i="36"/>
  <c r="W34" i="36" s="1"/>
  <c r="U30" i="36"/>
  <c r="J30" i="35"/>
  <c r="W30" i="35" s="1"/>
  <c r="H30" i="35"/>
  <c r="F22" i="35"/>
  <c r="AA22" i="35"/>
  <c r="H10" i="35"/>
  <c r="U10" i="35"/>
  <c r="AC16" i="36"/>
  <c r="W30" i="36"/>
  <c r="H16" i="36"/>
  <c r="AB16" i="36"/>
  <c r="E85" i="36"/>
  <c r="F85" i="36"/>
  <c r="G85" i="36"/>
  <c r="H85" i="36" s="1"/>
  <c r="I85" i="36" s="1"/>
  <c r="J85" i="36" s="1"/>
  <c r="K85" i="36" s="1"/>
  <c r="L85" i="36" s="1"/>
  <c r="M85" i="36" s="1"/>
  <c r="J29" i="36"/>
  <c r="AC29" i="36"/>
  <c r="F24" i="36"/>
  <c r="AA24" i="36" s="1"/>
  <c r="F34" i="36"/>
  <c r="S34" i="36"/>
  <c r="F14" i="35"/>
  <c r="AA14" i="35"/>
  <c r="F23" i="35"/>
  <c r="AA23" i="35" s="1"/>
  <c r="J32" i="35"/>
  <c r="AC32" i="35" s="1"/>
  <c r="J16" i="35"/>
  <c r="AC16" i="35"/>
  <c r="H16" i="35"/>
  <c r="U16" i="35"/>
  <c r="F16" i="35"/>
  <c r="S16" i="35" s="1"/>
  <c r="H14" i="35"/>
  <c r="AB14" i="35" s="1"/>
  <c r="J29" i="35"/>
  <c r="H33" i="35"/>
  <c r="J20" i="35"/>
  <c r="F35" i="37"/>
  <c r="S35" i="37"/>
  <c r="E101" i="37"/>
  <c r="F101" i="37"/>
  <c r="G101" i="37"/>
  <c r="H101" i="37" s="1"/>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c r="J23" i="34"/>
  <c r="F19" i="34"/>
  <c r="H17" i="34"/>
  <c r="F15" i="34"/>
  <c r="AA15" i="34" s="1"/>
  <c r="J15" i="34"/>
  <c r="H15" i="34"/>
  <c r="AB15" i="34"/>
  <c r="J28" i="34"/>
  <c r="W28" i="34"/>
  <c r="F41" i="33"/>
  <c r="AA41" i="33"/>
  <c r="S38" i="33"/>
  <c r="E113" i="33"/>
  <c r="F32" i="33"/>
  <c r="AA32" i="33" s="1"/>
  <c r="J19" i="33"/>
  <c r="AC19" i="33"/>
  <c r="J15" i="33"/>
  <c r="AC15" i="33"/>
  <c r="F11" i="33"/>
  <c r="U40" i="33"/>
  <c r="W40" i="33"/>
  <c r="F37" i="40"/>
  <c r="AA37" i="40" s="1"/>
  <c r="F36" i="40"/>
  <c r="AA36" i="40" s="1"/>
  <c r="H28" i="40"/>
  <c r="U28" i="40"/>
  <c r="F23" i="40"/>
  <c r="AA23" i="40"/>
  <c r="F17" i="40"/>
  <c r="AA17" i="40" s="1"/>
  <c r="J17" i="40"/>
  <c r="W17" i="40" s="1"/>
  <c r="F15" i="40"/>
  <c r="S15" i="40"/>
  <c r="H15" i="40"/>
  <c r="AB15" i="40"/>
  <c r="AC11" i="40"/>
  <c r="AB30" i="36"/>
  <c r="F29" i="35"/>
  <c r="S29" i="35" s="1"/>
  <c r="H29" i="35"/>
  <c r="AB29" i="35"/>
  <c r="H33" i="37"/>
  <c r="AB33" i="37"/>
  <c r="F33" i="37"/>
  <c r="AA33" i="37" s="1"/>
  <c r="U34" i="37"/>
  <c r="S34" i="37"/>
  <c r="AA34" i="37"/>
  <c r="J43" i="34"/>
  <c r="J40" i="34"/>
  <c r="F114" i="34"/>
  <c r="G114" i="34" s="1"/>
  <c r="H114" i="34" s="1"/>
  <c r="I114" i="34" s="1"/>
  <c r="J114" i="34" s="1"/>
  <c r="K114" i="34" s="1"/>
  <c r="L114" i="34" s="1"/>
  <c r="M114" i="34" s="1"/>
  <c r="H38" i="34"/>
  <c r="AB38" i="34" s="1"/>
  <c r="J36" i="34"/>
  <c r="W36" i="34" s="1"/>
  <c r="H37" i="34"/>
  <c r="U37" i="34"/>
  <c r="H25" i="34"/>
  <c r="AB25" i="34"/>
  <c r="J25" i="34"/>
  <c r="AC25" i="34" s="1"/>
  <c r="AB23" i="34"/>
  <c r="F23" i="34"/>
  <c r="AA23" i="34"/>
  <c r="J19" i="34"/>
  <c r="AC19" i="34" s="1"/>
  <c r="F17" i="34"/>
  <c r="AA17" i="34"/>
  <c r="J17" i="34"/>
  <c r="W17" i="34"/>
  <c r="S15" i="34"/>
  <c r="S41" i="33"/>
  <c r="F113" i="33"/>
  <c r="G113" i="33"/>
  <c r="H113" i="33" s="1"/>
  <c r="I113" i="33" s="1"/>
  <c r="J113" i="33" s="1"/>
  <c r="K113" i="33" s="1"/>
  <c r="L113" i="33"/>
  <c r="M113" i="33" s="1"/>
  <c r="H37" i="33"/>
  <c r="AB37" i="33"/>
  <c r="H15" i="33"/>
  <c r="AB15" i="33"/>
  <c r="H11" i="33"/>
  <c r="AB11" i="33"/>
  <c r="F28" i="40"/>
  <c r="AA28" i="40" s="1"/>
  <c r="AA29" i="35"/>
  <c r="AA42" i="34"/>
  <c r="S42" i="34"/>
  <c r="AC38" i="34"/>
  <c r="AA38" i="34"/>
  <c r="J37" i="34"/>
  <c r="AC37" i="34"/>
  <c r="J11" i="33"/>
  <c r="W11" i="33"/>
  <c r="S28" i="34"/>
  <c r="G123" i="21"/>
  <c r="H123" i="21" s="1"/>
  <c r="I123" i="21" s="1"/>
  <c r="J123" i="21"/>
  <c r="K123" i="21" s="1"/>
  <c r="L123" i="21"/>
  <c r="M123" i="21" s="1"/>
  <c r="J42" i="21"/>
  <c r="AC42" i="21"/>
  <c r="H42" i="21"/>
  <c r="U42" i="21"/>
  <c r="J44" i="34"/>
  <c r="F44" i="34"/>
  <c r="AA44" i="34"/>
  <c r="J10" i="35"/>
  <c r="AC10" i="35" s="1"/>
  <c r="J14" i="21"/>
  <c r="W14" i="21" s="1"/>
  <c r="H28" i="21"/>
  <c r="AB28" i="21" s="1"/>
  <c r="F28" i="21"/>
  <c r="AA28" i="21" s="1"/>
  <c r="J28" i="21"/>
  <c r="W28" i="21"/>
  <c r="U30" i="21"/>
  <c r="F30" i="21"/>
  <c r="S30" i="21" s="1"/>
  <c r="J30" i="21"/>
  <c r="AC30" i="21" s="1"/>
  <c r="AC44" i="21"/>
  <c r="F44" i="21"/>
  <c r="AA44" i="21" s="1"/>
  <c r="H46" i="21"/>
  <c r="U46" i="21" s="1"/>
  <c r="J46" i="21"/>
  <c r="W46" i="21"/>
  <c r="F46" i="21"/>
  <c r="AA46" i="21"/>
  <c r="E119" i="21"/>
  <c r="F119" i="21" s="1"/>
  <c r="G119" i="21" s="1"/>
  <c r="H119" i="21" s="1"/>
  <c r="I119" i="21" s="1"/>
  <c r="J119" i="21" s="1"/>
  <c r="K119" i="21" s="1"/>
  <c r="L119" i="21" s="1"/>
  <c r="M119" i="21" s="1"/>
  <c r="H28" i="33"/>
  <c r="U28" i="33"/>
  <c r="F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c r="F28" i="36"/>
  <c r="AA28" i="36"/>
  <c r="J13" i="21"/>
  <c r="AC13" i="21" s="1"/>
  <c r="H27" i="21"/>
  <c r="AB27" i="21" s="1"/>
  <c r="F27" i="21"/>
  <c r="AA27" i="21"/>
  <c r="H29" i="21"/>
  <c r="U29" i="21"/>
  <c r="J31" i="21"/>
  <c r="AC31" i="21" s="1"/>
  <c r="F31" i="21"/>
  <c r="S31" i="21" s="1"/>
  <c r="F45" i="21"/>
  <c r="AA45" i="21"/>
  <c r="F27" i="33"/>
  <c r="AA27" i="33"/>
  <c r="J13" i="33"/>
  <c r="H13" i="33"/>
  <c r="U13" i="33"/>
  <c r="F13" i="33"/>
  <c r="S13" i="33"/>
  <c r="J29" i="33"/>
  <c r="H29" i="33"/>
  <c r="U29" i="33"/>
  <c r="F29" i="33"/>
  <c r="S29" i="33"/>
  <c r="H31" i="33"/>
  <c r="AB31" i="33" s="1"/>
  <c r="H45" i="33"/>
  <c r="U45" i="33"/>
  <c r="J45" i="33"/>
  <c r="W45" i="33"/>
  <c r="F45" i="33"/>
  <c r="AA45" i="33"/>
  <c r="J14" i="34"/>
  <c r="W14" i="34" s="1"/>
  <c r="F14" i="34"/>
  <c r="AA14" i="34" s="1"/>
  <c r="H14" i="34"/>
  <c r="H30" i="34"/>
  <c r="S30" i="34"/>
  <c r="J30" i="34"/>
  <c r="W30" i="34" s="1"/>
  <c r="H32" i="34"/>
  <c r="F32" i="34"/>
  <c r="J32" i="34"/>
  <c r="W32" i="34"/>
  <c r="H46" i="34"/>
  <c r="U46" i="34"/>
  <c r="F46" i="34"/>
  <c r="J46" i="34"/>
  <c r="H11" i="35"/>
  <c r="AB11" i="35" s="1"/>
  <c r="W11" i="35"/>
  <c r="F11" i="35"/>
  <c r="S11" i="35"/>
  <c r="J26" i="36"/>
  <c r="W26" i="36"/>
  <c r="H28" i="36"/>
  <c r="U28" i="36" s="1"/>
  <c r="H32" i="36"/>
  <c r="J32" i="36"/>
  <c r="W32" i="36"/>
  <c r="AC11" i="36"/>
  <c r="H11" i="36"/>
  <c r="U11" i="36" s="1"/>
  <c r="F11" i="36"/>
  <c r="H13" i="36"/>
  <c r="AB13" i="36" s="1"/>
  <c r="J13" i="36"/>
  <c r="F13" i="36"/>
  <c r="S13" i="36"/>
  <c r="E89" i="37"/>
  <c r="F89" i="37"/>
  <c r="G89" i="37" s="1"/>
  <c r="H89" i="37" s="1"/>
  <c r="I89" i="37" s="1"/>
  <c r="J89" i="37" s="1"/>
  <c r="K89" i="37" s="1"/>
  <c r="L89" i="37"/>
  <c r="M89" i="37" s="1"/>
  <c r="J29" i="37"/>
  <c r="W29" i="37" s="1"/>
  <c r="F29" i="37"/>
  <c r="S29" i="37" s="1"/>
  <c r="H36" i="37"/>
  <c r="AB36" i="37" s="1"/>
  <c r="F107" i="37"/>
  <c r="J37" i="37"/>
  <c r="AC37" i="37" s="1"/>
  <c r="H37" i="37"/>
  <c r="U40" i="37"/>
  <c r="J40" i="37"/>
  <c r="AC40" i="37" s="1"/>
  <c r="F40" i="37"/>
  <c r="AA40" i="37" s="1"/>
  <c r="AC12" i="40"/>
  <c r="W12" i="40"/>
  <c r="F14" i="33"/>
  <c r="H30" i="33"/>
  <c r="AB30" i="33"/>
  <c r="F30" i="33"/>
  <c r="J30" i="33"/>
  <c r="H44" i="33"/>
  <c r="J44" i="33"/>
  <c r="AC44" i="33" s="1"/>
  <c r="F44" i="33"/>
  <c r="J46" i="33"/>
  <c r="AC46" i="33"/>
  <c r="F46" i="33"/>
  <c r="AA46" i="33"/>
  <c r="H46" i="33"/>
  <c r="J29" i="34"/>
  <c r="F29" i="34"/>
  <c r="S29" i="34"/>
  <c r="H29" i="34"/>
  <c r="AB29" i="34"/>
  <c r="J31" i="34"/>
  <c r="AC31" i="34" s="1"/>
  <c r="H31" i="34"/>
  <c r="F31" i="34"/>
  <c r="S31" i="34"/>
  <c r="H45" i="34"/>
  <c r="U45" i="34"/>
  <c r="J45" i="34"/>
  <c r="W45" i="34" s="1"/>
  <c r="F45" i="34"/>
  <c r="S45" i="34"/>
  <c r="F13" i="35"/>
  <c r="S13" i="35" s="1"/>
  <c r="J13" i="35"/>
  <c r="AC13" i="35"/>
  <c r="H13" i="35"/>
  <c r="U13" i="35"/>
  <c r="J25" i="35"/>
  <c r="W25" i="35" s="1"/>
  <c r="F25" i="35"/>
  <c r="S25" i="35"/>
  <c r="H25" i="35"/>
  <c r="AB25" i="35"/>
  <c r="F35" i="35"/>
  <c r="H25" i="36"/>
  <c r="AB25" i="36" s="1"/>
  <c r="H13" i="37"/>
  <c r="AB13" i="37" s="1"/>
  <c r="F13" i="37"/>
  <c r="S13" i="37"/>
  <c r="J13" i="37"/>
  <c r="W13" i="37"/>
  <c r="F28" i="37"/>
  <c r="AA28" i="37" s="1"/>
  <c r="J28" i="37"/>
  <c r="AC28" i="37"/>
  <c r="H28" i="37"/>
  <c r="U28" i="37"/>
  <c r="AB38" i="37"/>
  <c r="J38" i="37"/>
  <c r="AC38" i="37" s="1"/>
  <c r="F38" i="37"/>
  <c r="S38" i="37"/>
  <c r="H43" i="39"/>
  <c r="J14" i="39"/>
  <c r="AC14" i="39" s="1"/>
  <c r="H14" i="39"/>
  <c r="AB14" i="39"/>
  <c r="F12" i="40"/>
  <c r="S12" i="40"/>
  <c r="H12" i="40"/>
  <c r="H30" i="40"/>
  <c r="AB30" i="40" s="1"/>
  <c r="F33" i="40"/>
  <c r="AA33" i="40"/>
  <c r="J35" i="40"/>
  <c r="J37" i="40"/>
  <c r="AC37" i="40" s="1"/>
  <c r="H13" i="40"/>
  <c r="U13" i="40" s="1"/>
  <c r="W13" i="40"/>
  <c r="F13" i="40"/>
  <c r="AA13" i="40" s="1"/>
  <c r="F14" i="37"/>
  <c r="S14" i="37" s="1"/>
  <c r="F27" i="37"/>
  <c r="AA27" i="37"/>
  <c r="J13" i="39"/>
  <c r="W13" i="39"/>
  <c r="H13" i="39"/>
  <c r="H14" i="40"/>
  <c r="AB14" i="40"/>
  <c r="J14" i="40"/>
  <c r="W14" i="40"/>
  <c r="F14" i="40"/>
  <c r="J14" i="37"/>
  <c r="AC14" i="37"/>
  <c r="AA13" i="35"/>
  <c r="J36" i="37"/>
  <c r="AC36" i="37" s="1"/>
  <c r="G105" i="37"/>
  <c r="J10" i="36"/>
  <c r="AC10" i="36"/>
  <c r="AA14" i="37"/>
  <c r="W31" i="34"/>
  <c r="AC13" i="36"/>
  <c r="W13" i="36"/>
  <c r="AB46" i="34"/>
  <c r="AC30" i="34"/>
  <c r="S45" i="33"/>
  <c r="AB45" i="33"/>
  <c r="U31" i="33"/>
  <c r="AC28" i="21"/>
  <c r="S44" i="34"/>
  <c r="F17" i="21"/>
  <c r="AA17" i="21"/>
  <c r="H17" i="21"/>
  <c r="AB17" i="21" s="1"/>
  <c r="F15" i="21"/>
  <c r="S15" i="21" s="1"/>
  <c r="J41" i="39"/>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H43" i="33"/>
  <c r="H17" i="37"/>
  <c r="U17" i="37"/>
  <c r="U32" i="33"/>
  <c r="F39" i="33"/>
  <c r="AA39" i="33" s="1"/>
  <c r="E123" i="33"/>
  <c r="F42" i="33"/>
  <c r="H28" i="34"/>
  <c r="AB28" i="34"/>
  <c r="F14" i="36"/>
  <c r="AA14" i="36"/>
  <c r="F22" i="36"/>
  <c r="S22" i="36"/>
  <c r="F26" i="36"/>
  <c r="S26" i="36" s="1"/>
  <c r="H27" i="34"/>
  <c r="H35" i="34"/>
  <c r="U35" i="34" s="1"/>
  <c r="F41" i="34"/>
  <c r="S41" i="34"/>
  <c r="H41" i="34"/>
  <c r="U41" i="34" s="1"/>
  <c r="J41" i="34"/>
  <c r="AC41" i="34"/>
  <c r="F10" i="35"/>
  <c r="S10" i="35"/>
  <c r="H24" i="35"/>
  <c r="AB24" i="35" s="1"/>
  <c r="H23" i="37"/>
  <c r="AB23" i="37"/>
  <c r="J32" i="37"/>
  <c r="AC32" i="37"/>
  <c r="F36" i="37"/>
  <c r="AA36" i="37"/>
  <c r="F37" i="37"/>
  <c r="AA37" i="37" s="1"/>
  <c r="F31" i="40"/>
  <c r="AA31" i="40" s="1"/>
  <c r="H31" i="40"/>
  <c r="U31" i="40" s="1"/>
  <c r="F32" i="40"/>
  <c r="S32" i="40"/>
  <c r="H32" i="40"/>
  <c r="AB32" i="40" s="1"/>
  <c r="J36" i="40"/>
  <c r="W36" i="40"/>
  <c r="AA41" i="34"/>
  <c r="H19" i="37"/>
  <c r="AB19" i="37" s="1"/>
  <c r="F123" i="33"/>
  <c r="G123" i="33"/>
  <c r="H123" i="33" s="1"/>
  <c r="I123" i="33" s="1"/>
  <c r="J123" i="33" s="1"/>
  <c r="K123" i="33" s="1"/>
  <c r="L123" i="33" s="1"/>
  <c r="M123" i="33" s="1"/>
  <c r="H42" i="33"/>
  <c r="AB42" i="33" s="1"/>
  <c r="G125" i="33"/>
  <c r="J43" i="33"/>
  <c r="AC43" i="33"/>
  <c r="S28" i="31"/>
  <c r="S27" i="31"/>
  <c r="S26" i="31"/>
  <c r="U14" i="40"/>
  <c r="AA12" i="35"/>
  <c r="W14" i="37"/>
  <c r="AB28" i="37"/>
  <c r="U33" i="37"/>
  <c r="U39" i="37"/>
  <c r="AC36" i="34"/>
  <c r="AA13" i="33"/>
  <c r="AC45" i="33"/>
  <c r="W44" i="33"/>
  <c r="U11" i="33"/>
  <c r="U19" i="21"/>
  <c r="W44" i="21"/>
  <c r="U26" i="21"/>
  <c r="AC46" i="21"/>
  <c r="AB38" i="21"/>
  <c r="F43" i="33"/>
  <c r="AA43" i="33"/>
  <c r="W15" i="34"/>
  <c r="AC15" i="34"/>
  <c r="W16" i="35"/>
  <c r="W40" i="37"/>
  <c r="G107" i="37"/>
  <c r="H107" i="37"/>
  <c r="I107" i="37"/>
  <c r="J107" i="37"/>
  <c r="K107" i="37" s="1"/>
  <c r="L107" i="37" s="1"/>
  <c r="M107" i="37" s="1"/>
  <c r="H37" i="21"/>
  <c r="U37" i="21" s="1"/>
  <c r="S42" i="21"/>
  <c r="H19" i="34"/>
  <c r="AB19" i="34" s="1"/>
  <c r="F36" i="35"/>
  <c r="S36" i="35" s="1"/>
  <c r="J9" i="37"/>
  <c r="U9" i="37"/>
  <c r="F9" i="37"/>
  <c r="S9" i="37"/>
  <c r="J12" i="37"/>
  <c r="W12" i="37"/>
  <c r="H12" i="37"/>
  <c r="AB12" i="37"/>
  <c r="F12" i="37"/>
  <c r="S12" i="37"/>
  <c r="E71" i="37"/>
  <c r="F71" i="37" s="1"/>
  <c r="F15" i="37"/>
  <c r="AA15" i="37" s="1"/>
  <c r="E94" i="37"/>
  <c r="F94" i="37" s="1"/>
  <c r="F31" i="37"/>
  <c r="S31" i="37"/>
  <c r="S12" i="39"/>
  <c r="J42" i="39"/>
  <c r="AC42" i="39"/>
  <c r="H21" i="40"/>
  <c r="AB21" i="40" s="1"/>
  <c r="AC12" i="37"/>
  <c r="G94" i="37"/>
  <c r="H94" i="37" s="1"/>
  <c r="I94" i="37" s="1"/>
  <c r="J94" i="37" s="1"/>
  <c r="K94" i="37" s="1"/>
  <c r="L94" i="37" s="1"/>
  <c r="M94" i="37" s="1"/>
  <c r="H31" i="37"/>
  <c r="U31" i="37" s="1"/>
  <c r="G71" i="37"/>
  <c r="J15" i="37"/>
  <c r="W15" i="37" s="1"/>
  <c r="AT6" i="3"/>
  <c r="H5" i="3"/>
  <c r="AA25" i="21"/>
  <c r="H19" i="40"/>
  <c r="U19" i="40" s="1"/>
  <c r="F88" i="40"/>
  <c r="G88" i="40"/>
  <c r="F19" i="40"/>
  <c r="S19" i="40" s="1"/>
  <c r="AC13" i="40"/>
  <c r="W23" i="39"/>
  <c r="AC43" i="39"/>
  <c r="W43" i="39"/>
  <c r="U45" i="39"/>
  <c r="AB45" i="39"/>
  <c r="AB44" i="39"/>
  <c r="U44" i="39"/>
  <c r="G100" i="39"/>
  <c r="H37" i="39"/>
  <c r="AB37" i="39"/>
  <c r="AC37" i="39"/>
  <c r="W37" i="39"/>
  <c r="H25" i="39"/>
  <c r="AB25" i="39" s="1"/>
  <c r="J25" i="39"/>
  <c r="H15" i="39"/>
  <c r="U15" i="39" s="1"/>
  <c r="J15" i="39"/>
  <c r="W15" i="39" s="1"/>
  <c r="H41" i="39"/>
  <c r="W27" i="39"/>
  <c r="AB34" i="39"/>
  <c r="U40" i="39"/>
  <c r="S42" i="39"/>
  <c r="W9" i="39"/>
  <c r="W8" i="39"/>
  <c r="J19" i="40"/>
  <c r="J50" i="40"/>
  <c r="H103" i="9"/>
  <c r="D8" i="53"/>
  <c r="B16" i="53"/>
  <c r="B33" i="72"/>
  <c r="C7" i="37"/>
  <c r="C7" i="34"/>
  <c r="C59" i="34" s="1"/>
  <c r="C7" i="36"/>
  <c r="A118" i="9"/>
  <c r="A4" i="52"/>
  <c r="B41" i="72" s="1"/>
  <c r="J11" i="39"/>
  <c r="W11" i="39"/>
  <c r="S11" i="39"/>
  <c r="G4" i="4"/>
  <c r="K5" i="4" s="1"/>
  <c r="I4" i="4"/>
  <c r="A2" i="9"/>
  <c r="F61" i="43"/>
  <c r="H64" i="43" s="1"/>
  <c r="BJ5" i="3"/>
  <c r="BH5" i="3"/>
  <c r="BF5" i="3"/>
  <c r="BD5" i="3"/>
  <c r="AC5" i="3"/>
  <c r="BK5" i="3"/>
  <c r="BI5" i="3"/>
  <c r="BG5" i="3"/>
  <c r="BE5" i="3"/>
  <c r="BC5" i="3"/>
  <c r="BB5" i="3"/>
  <c r="U36" i="40"/>
  <c r="F83" i="43"/>
  <c r="H86" i="43" s="1"/>
  <c r="F50" i="43"/>
  <c r="H54" i="43" s="1"/>
  <c r="F72" i="43"/>
  <c r="H75" i="43"/>
  <c r="U17" i="39"/>
  <c r="S14" i="35"/>
  <c r="U43" i="21"/>
  <c r="U35" i="21"/>
  <c r="AC35" i="21"/>
  <c r="G8" i="1"/>
  <c r="G10" i="1"/>
  <c r="AC11" i="39"/>
  <c r="W37" i="37"/>
  <c r="W44" i="34"/>
  <c r="AC44" i="34"/>
  <c r="S15" i="37"/>
  <c r="U13" i="37"/>
  <c r="AA12" i="40"/>
  <c r="J37" i="33"/>
  <c r="W37" i="33"/>
  <c r="AC17" i="34"/>
  <c r="F106" i="33"/>
  <c r="G106" i="33" s="1"/>
  <c r="H106" i="33" s="1"/>
  <c r="I106" i="33" s="1"/>
  <c r="J106" i="33" s="1"/>
  <c r="K106" i="33" s="1"/>
  <c r="L106" i="33" s="1"/>
  <c r="M106" i="33" s="1"/>
  <c r="J34" i="33"/>
  <c r="W34" i="33"/>
  <c r="F33" i="34"/>
  <c r="S33" i="34" s="1"/>
  <c r="H20" i="36"/>
  <c r="U20" i="36" s="1"/>
  <c r="J20" i="36"/>
  <c r="AC20" i="36" s="1"/>
  <c r="J27" i="36"/>
  <c r="W27" i="36"/>
  <c r="F111" i="40"/>
  <c r="G111" i="40"/>
  <c r="H111" i="40" s="1"/>
  <c r="I111" i="40" s="1"/>
  <c r="J111" i="40" s="1"/>
  <c r="K111" i="40" s="1"/>
  <c r="L111" i="40" s="1"/>
  <c r="M111" i="40" s="1"/>
  <c r="H35" i="40"/>
  <c r="AB35" i="40" s="1"/>
  <c r="AC29" i="35"/>
  <c r="W29" i="35"/>
  <c r="H35" i="37"/>
  <c r="U35" i="37"/>
  <c r="AC14" i="35"/>
  <c r="H20" i="35"/>
  <c r="U20" i="35" s="1"/>
  <c r="F20" i="35"/>
  <c r="AA20" i="35"/>
  <c r="AB23" i="35"/>
  <c r="AB29" i="36"/>
  <c r="U29" i="36"/>
  <c r="H32" i="37"/>
  <c r="F96" i="37"/>
  <c r="H27" i="40"/>
  <c r="U27" i="40"/>
  <c r="J27" i="40"/>
  <c r="AC27" i="40"/>
  <c r="F27" i="40"/>
  <c r="S27" i="40"/>
  <c r="J30" i="40"/>
  <c r="AC30" i="40" s="1"/>
  <c r="F30" i="40"/>
  <c r="AA30" i="40"/>
  <c r="AC21" i="40"/>
  <c r="S31" i="39"/>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S39" i="39"/>
  <c r="J39" i="39"/>
  <c r="AC39" i="39" s="1"/>
  <c r="E96" i="39"/>
  <c r="F96" i="39"/>
  <c r="G96" i="39" s="1"/>
  <c r="C40" i="11"/>
  <c r="H27" i="36"/>
  <c r="U27" i="36"/>
  <c r="F27" i="36"/>
  <c r="AA27" i="36" s="1"/>
  <c r="H33" i="34"/>
  <c r="U33" i="34"/>
  <c r="F32" i="37"/>
  <c r="S32" i="37" s="1"/>
  <c r="G96" i="37"/>
  <c r="H96" i="37"/>
  <c r="I96" i="37" s="1"/>
  <c r="J96" i="37" s="1"/>
  <c r="K96" i="37" s="1"/>
  <c r="L96" i="37"/>
  <c r="M96" i="37" s="1"/>
  <c r="F20" i="36"/>
  <c r="AA20" i="36"/>
  <c r="J33" i="34"/>
  <c r="AC33" i="34" s="1"/>
  <c r="H23" i="39"/>
  <c r="U23" i="39" s="1"/>
  <c r="D48" i="9"/>
  <c r="M52" i="9" s="1"/>
  <c r="D93" i="9"/>
  <c r="AP6" i="1"/>
  <c r="W27" i="34"/>
  <c r="AC27" i="34"/>
  <c r="AB34" i="36"/>
  <c r="U34" i="36"/>
  <c r="AC12" i="39"/>
  <c r="W12" i="39"/>
  <c r="AC39" i="40"/>
  <c r="W39" i="40"/>
  <c r="W12" i="33"/>
  <c r="AC12" i="33"/>
  <c r="AA32" i="36"/>
  <c r="S32" i="36"/>
  <c r="AA39" i="34"/>
  <c r="U30" i="33"/>
  <c r="W28" i="37"/>
  <c r="S19" i="39"/>
  <c r="F12" i="33"/>
  <c r="H12" i="39"/>
  <c r="AB12" i="39"/>
  <c r="F39" i="40"/>
  <c r="S13" i="1"/>
  <c r="AR13" i="1" s="1"/>
  <c r="R13" i="1"/>
  <c r="J51" i="67"/>
  <c r="AC34" i="33"/>
  <c r="AA34" i="33"/>
  <c r="F48" i="9"/>
  <c r="O52" i="9" s="1"/>
  <c r="AB37" i="40"/>
  <c r="S35" i="40"/>
  <c r="U35" i="40"/>
  <c r="AC36" i="40"/>
  <c r="AA32" i="40"/>
  <c r="S17" i="40"/>
  <c r="S23" i="40"/>
  <c r="AC17" i="40"/>
  <c r="AC15" i="40"/>
  <c r="AB27" i="40"/>
  <c r="S30" i="40"/>
  <c r="AA19" i="40"/>
  <c r="S28" i="40"/>
  <c r="AA27" i="40"/>
  <c r="U21" i="40"/>
  <c r="AB19" i="40"/>
  <c r="U37" i="39"/>
  <c r="S43" i="39"/>
  <c r="S37" i="39"/>
  <c r="U35" i="39"/>
  <c r="G106" i="39"/>
  <c r="H106" i="39"/>
  <c r="I106" i="39" s="1"/>
  <c r="J106" i="39" s="1"/>
  <c r="K106" i="39" s="1"/>
  <c r="L106" i="39"/>
  <c r="M106" i="39" s="1"/>
  <c r="U25" i="39"/>
  <c r="U31" i="39"/>
  <c r="J21" i="39"/>
  <c r="W21" i="39" s="1"/>
  <c r="G94" i="39"/>
  <c r="H21" i="39"/>
  <c r="W19" i="39"/>
  <c r="U19" i="39"/>
  <c r="S17" i="39"/>
  <c r="S15" i="39"/>
  <c r="S9" i="39"/>
  <c r="U14" i="39"/>
  <c r="AC13" i="39"/>
  <c r="U12" i="39"/>
  <c r="S23" i="36"/>
  <c r="U13" i="36"/>
  <c r="U26" i="36"/>
  <c r="AA26" i="36"/>
  <c r="AA34" i="36"/>
  <c r="AC26" i="36"/>
  <c r="AA22" i="36"/>
  <c r="W14" i="36"/>
  <c r="AB14" i="36"/>
  <c r="U22" i="36"/>
  <c r="S16" i="36"/>
  <c r="S24" i="36"/>
  <c r="U24" i="36"/>
  <c r="U23" i="36"/>
  <c r="AB20" i="36"/>
  <c r="U16" i="36"/>
  <c r="S14" i="36"/>
  <c r="AA25" i="35"/>
  <c r="S23" i="35"/>
  <c r="AB13" i="35"/>
  <c r="U29" i="35"/>
  <c r="U28" i="35"/>
  <c r="AB27" i="35"/>
  <c r="U36" i="35"/>
  <c r="U32" i="35"/>
  <c r="AA33" i="35"/>
  <c r="AC30" i="35"/>
  <c r="S32" i="35"/>
  <c r="AA36" i="35"/>
  <c r="S28" i="35"/>
  <c r="AB16" i="35"/>
  <c r="U22" i="35"/>
  <c r="S20" i="35"/>
  <c r="S22" i="35"/>
  <c r="U14" i="35"/>
  <c r="AA11" i="35"/>
  <c r="AC9" i="35"/>
  <c r="W9" i="35"/>
  <c r="AC12" i="35"/>
  <c r="W13" i="35"/>
  <c r="F9" i="35"/>
  <c r="S9" i="35" s="1"/>
  <c r="H9" i="35"/>
  <c r="U9" i="35"/>
  <c r="AB40" i="37"/>
  <c r="S25" i="37"/>
  <c r="S26" i="37"/>
  <c r="AC29" i="37"/>
  <c r="U29" i="37"/>
  <c r="AB31" i="37"/>
  <c r="W30" i="37"/>
  <c r="S36" i="37"/>
  <c r="AA38" i="37"/>
  <c r="W38" i="37"/>
  <c r="AC35" i="37"/>
  <c r="W39" i="37"/>
  <c r="S30" i="37"/>
  <c r="S37" i="37"/>
  <c r="AC15" i="37"/>
  <c r="J17" i="37"/>
  <c r="W17" i="37"/>
  <c r="G73" i="37"/>
  <c r="F17" i="37"/>
  <c r="AA17" i="37" s="1"/>
  <c r="AB17" i="37"/>
  <c r="F75" i="37"/>
  <c r="F19" i="37"/>
  <c r="F79" i="37"/>
  <c r="F23" i="37"/>
  <c r="S23" i="37" s="1"/>
  <c r="U23" i="37"/>
  <c r="U15" i="37"/>
  <c r="AC13" i="37"/>
  <c r="AA13" i="37"/>
  <c r="H10" i="37"/>
  <c r="AB10" i="37"/>
  <c r="F11" i="37"/>
  <c r="S11" i="37"/>
  <c r="S27" i="34"/>
  <c r="W25" i="34"/>
  <c r="AB8" i="34"/>
  <c r="AA33" i="34"/>
  <c r="U43" i="34"/>
  <c r="AC39" i="34"/>
  <c r="W41" i="34"/>
  <c r="AC42" i="34"/>
  <c r="AB35" i="34"/>
  <c r="U39" i="34"/>
  <c r="S43" i="34"/>
  <c r="AB41" i="34"/>
  <c r="AA45" i="34"/>
  <c r="AA25" i="34"/>
  <c r="U28" i="34"/>
  <c r="S17" i="34"/>
  <c r="AA29" i="34"/>
  <c r="S23" i="34"/>
  <c r="U15" i="34"/>
  <c r="H10" i="34"/>
  <c r="AB10" i="34"/>
  <c r="F11" i="34"/>
  <c r="S11" i="34"/>
  <c r="F70" i="34"/>
  <c r="W42" i="33"/>
  <c r="AA35" i="33"/>
  <c r="S27" i="33"/>
  <c r="S32" i="33"/>
  <c r="AA29" i="33"/>
  <c r="AB29" i="33"/>
  <c r="W38" i="33"/>
  <c r="H41" i="33"/>
  <c r="L121" i="33"/>
  <c r="M121" i="33" s="1"/>
  <c r="U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H23" i="33"/>
  <c r="AB23" i="33" s="1"/>
  <c r="F81" i="33"/>
  <c r="F19" i="33"/>
  <c r="S19" i="33"/>
  <c r="W19" i="33"/>
  <c r="J17" i="33"/>
  <c r="F79" i="33"/>
  <c r="S15" i="33"/>
  <c r="W15" i="33"/>
  <c r="U9" i="33"/>
  <c r="J10" i="33"/>
  <c r="W10" i="33"/>
  <c r="H10" i="33"/>
  <c r="U10" i="33" s="1"/>
  <c r="AC11" i="33"/>
  <c r="W43" i="21"/>
  <c r="W36" i="21"/>
  <c r="W41" i="21"/>
  <c r="AB39" i="21"/>
  <c r="AA43" i="21"/>
  <c r="S39" i="21"/>
  <c r="AA38" i="21"/>
  <c r="AA36" i="21"/>
  <c r="J15" i="21"/>
  <c r="W15" i="21" s="1"/>
  <c r="F77" i="21"/>
  <c r="G77" i="21" s="1"/>
  <c r="F23" i="21"/>
  <c r="S23" i="21" s="1"/>
  <c r="E85" i="21"/>
  <c r="D120" i="9"/>
  <c r="D121" i="9" s="1"/>
  <c r="D7" i="52" s="1"/>
  <c r="C18" i="9"/>
  <c r="D18" i="9"/>
  <c r="F34" i="67"/>
  <c r="F62" i="67"/>
  <c r="M20" i="67"/>
  <c r="F62" i="15"/>
  <c r="J56" i="9"/>
  <c r="J57" i="9"/>
  <c r="J59" i="9" s="1"/>
  <c r="J61" i="9" s="1"/>
  <c r="A24" i="51"/>
  <c r="B18" i="72"/>
  <c r="U29" i="34"/>
  <c r="E5" i="6"/>
  <c r="E32" i="6"/>
  <c r="K1" i="12"/>
  <c r="E19" i="69"/>
  <c r="E19" i="11"/>
  <c r="G22" i="69"/>
  <c r="G22" i="68"/>
  <c r="G26" i="12"/>
  <c r="G22" i="11"/>
  <c r="C6" i="43"/>
  <c r="B19" i="53"/>
  <c r="B37" i="72" s="1"/>
  <c r="C7" i="35"/>
  <c r="C48" i="35" s="1"/>
  <c r="D48" i="35" s="1"/>
  <c r="C7" i="33"/>
  <c r="C7" i="21"/>
  <c r="C7" i="40"/>
  <c r="C63" i="40"/>
  <c r="C65" i="40" s="1"/>
  <c r="M47" i="9"/>
  <c r="C46" i="36"/>
  <c r="D46" i="36" s="1"/>
  <c r="C52" i="37"/>
  <c r="D52" i="37" s="1"/>
  <c r="A4" i="51"/>
  <c r="B6" i="72"/>
  <c r="H67" i="43"/>
  <c r="L20" i="6"/>
  <c r="L27" i="6" s="1"/>
  <c r="O11" i="1"/>
  <c r="O7" i="1"/>
  <c r="P7" i="1"/>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U43" i="39"/>
  <c r="AB43" i="39"/>
  <c r="S27" i="39"/>
  <c r="W17" i="39"/>
  <c r="AC17" i="39"/>
  <c r="W31" i="39"/>
  <c r="AC31" i="39"/>
  <c r="S23" i="39"/>
  <c r="AB39" i="39"/>
  <c r="W34" i="39"/>
  <c r="U38" i="39"/>
  <c r="S8" i="39"/>
  <c r="S20" i="36"/>
  <c r="W29" i="36"/>
  <c r="U25" i="36"/>
  <c r="AB28" i="36"/>
  <c r="AA13" i="36"/>
  <c r="W9" i="36"/>
  <c r="W22" i="36"/>
  <c r="W23" i="36"/>
  <c r="S9" i="36"/>
  <c r="AB20" i="35"/>
  <c r="AC25" i="35"/>
  <c r="U25" i="35"/>
  <c r="U24"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AB34" i="33"/>
  <c r="U44" i="33"/>
  <c r="AB44" i="33"/>
  <c r="S30" i="33"/>
  <c r="AA30" i="33"/>
  <c r="AC30" i="33"/>
  <c r="W30" i="33"/>
  <c r="W13" i="33"/>
  <c r="AC13" i="33"/>
  <c r="U15" i="33"/>
  <c r="U37" i="33"/>
  <c r="AC28" i="33"/>
  <c r="W9" i="33"/>
  <c r="W8" i="33"/>
  <c r="S44" i="21"/>
  <c r="AB42" i="21"/>
  <c r="U28" i="21"/>
  <c r="S45" i="21"/>
  <c r="L101" i="21"/>
  <c r="M101" i="21" s="1"/>
  <c r="F33" i="21"/>
  <c r="AA33" i="21" s="1"/>
  <c r="J33" i="21"/>
  <c r="AC33" i="21" s="1"/>
  <c r="H33" i="21"/>
  <c r="AB33" i="21" s="1"/>
  <c r="F37" i="21"/>
  <c r="AA26" i="21"/>
  <c r="AB46" i="21"/>
  <c r="U40" i="21"/>
  <c r="AB31" i="21"/>
  <c r="U31" i="21"/>
  <c r="AC15" i="21"/>
  <c r="U13" i="21"/>
  <c r="AB13" i="21"/>
  <c r="S35" i="21"/>
  <c r="J37" i="21"/>
  <c r="W37" i="21" s="1"/>
  <c r="H15" i="21"/>
  <c r="U15" i="21" s="1"/>
  <c r="J17" i="21"/>
  <c r="AC19" i="21"/>
  <c r="W39" i="21"/>
  <c r="AC14" i="21"/>
  <c r="W30"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c r="C4" i="4"/>
  <c r="F30" i="11"/>
  <c r="C48" i="11"/>
  <c r="F28" i="67"/>
  <c r="F31" i="12"/>
  <c r="F52" i="9"/>
  <c r="M18" i="67"/>
  <c r="F32" i="67"/>
  <c r="F60" i="67" s="1"/>
  <c r="F30" i="69"/>
  <c r="F48" i="69" s="1"/>
  <c r="M18" i="15"/>
  <c r="AA39" i="40"/>
  <c r="S39" i="40"/>
  <c r="S12" i="33"/>
  <c r="AA12" i="33"/>
  <c r="D68" i="9"/>
  <c r="F54" i="9"/>
  <c r="J32" i="39"/>
  <c r="AC32" i="39" s="1"/>
  <c r="H32" i="39"/>
  <c r="AB32" i="39"/>
  <c r="S32" i="39"/>
  <c r="S21" i="39"/>
  <c r="AC17" i="37"/>
  <c r="S17" i="37"/>
  <c r="J19" i="37"/>
  <c r="G75" i="37"/>
  <c r="S19" i="37"/>
  <c r="AA19" i="37"/>
  <c r="AA23" i="37"/>
  <c r="J23" i="37"/>
  <c r="W23" i="37" s="1"/>
  <c r="G79" i="37"/>
  <c r="J10" i="37"/>
  <c r="G63" i="37"/>
  <c r="H63" i="37" s="1"/>
  <c r="H11" i="37"/>
  <c r="AB11" i="37" s="1"/>
  <c r="G70" i="34"/>
  <c r="H11" i="34"/>
  <c r="U11" i="34" s="1"/>
  <c r="J10" i="34"/>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c r="K91" i="33" s="1"/>
  <c r="L91" i="33"/>
  <c r="M91" i="33" s="1"/>
  <c r="J27" i="33"/>
  <c r="AC27" i="33" s="1"/>
  <c r="U25" i="33"/>
  <c r="AB25" i="33"/>
  <c r="S25" i="33"/>
  <c r="AA25" i="33"/>
  <c r="J25" i="33"/>
  <c r="W25" i="33" s="1"/>
  <c r="U23" i="33"/>
  <c r="F23" i="33"/>
  <c r="AA23" i="33" s="1"/>
  <c r="AC23" i="33"/>
  <c r="W23" i="33"/>
  <c r="AA19" i="33"/>
  <c r="H19" i="33"/>
  <c r="G81" i="33"/>
  <c r="G79" i="33"/>
  <c r="H17" i="33"/>
  <c r="U17" i="33" s="1"/>
  <c r="F17" i="33"/>
  <c r="S17" i="33" s="1"/>
  <c r="W17" i="33"/>
  <c r="AC17" i="33"/>
  <c r="AA23" i="21"/>
  <c r="J23" i="21"/>
  <c r="F85" i="21"/>
  <c r="G85" i="21" s="1"/>
  <c r="H23" i="21"/>
  <c r="S13" i="21"/>
  <c r="AP7" i="1"/>
  <c r="AB45" i="21"/>
  <c r="AB9" i="21"/>
  <c r="U9" i="21"/>
  <c r="AA32" i="21"/>
  <c r="S32" i="21"/>
  <c r="AC9" i="21"/>
  <c r="AB32" i="21"/>
  <c r="K120" i="9"/>
  <c r="A18" i="62"/>
  <c r="B64" i="72" s="1"/>
  <c r="U32" i="39"/>
  <c r="W32" i="39"/>
  <c r="W19" i="37"/>
  <c r="AC19" i="37"/>
  <c r="AC23" i="37"/>
  <c r="I63" i="37"/>
  <c r="J63" i="37" s="1"/>
  <c r="K63" i="37"/>
  <c r="L63" i="37"/>
  <c r="M63" i="37" s="1"/>
  <c r="J11" i="37"/>
  <c r="AC11" i="37"/>
  <c r="H70" i="34"/>
  <c r="I70" i="34"/>
  <c r="J70" i="34" s="1"/>
  <c r="K70" i="34"/>
  <c r="L70" i="34" s="1"/>
  <c r="M70" i="34" s="1"/>
  <c r="J11" i="34"/>
  <c r="W11" i="34"/>
  <c r="W27" i="33"/>
  <c r="AA17" i="33"/>
  <c r="U23" i="21"/>
  <c r="AB23" i="21"/>
  <c r="D16" i="53"/>
  <c r="B34" i="72" s="1"/>
  <c r="D21" i="53"/>
  <c r="B39" i="72"/>
  <c r="H111" i="9"/>
  <c r="D126" i="9" s="1"/>
  <c r="D127" i="9" s="1"/>
  <c r="D13" i="52" s="1"/>
  <c r="H69" i="43"/>
  <c r="H50" i="43"/>
  <c r="D22" i="71"/>
  <c r="D23" i="71"/>
  <c r="D24" i="71"/>
  <c r="U24" i="71"/>
  <c r="S24" i="71"/>
  <c r="T24" i="71"/>
  <c r="AB22" i="71"/>
  <c r="X20" i="71"/>
  <c r="X19" i="71"/>
  <c r="AA20" i="71"/>
  <c r="AA19" i="71"/>
  <c r="X23" i="71"/>
  <c r="Y19" i="71"/>
  <c r="Z19" i="71" s="1"/>
  <c r="AB20" i="71"/>
  <c r="AB19" i="71"/>
  <c r="S20" i="71"/>
  <c r="Y20" i="71"/>
  <c r="Z20" i="71"/>
  <c r="X3" i="71"/>
  <c r="V20" i="71"/>
  <c r="D21" i="71"/>
  <c r="D18" i="71"/>
  <c r="T20" i="71"/>
  <c r="D19" i="71"/>
  <c r="D20" i="71"/>
  <c r="U20" i="7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W11" i="37"/>
  <c r="AA8" i="37"/>
  <c r="AA9" i="37"/>
  <c r="AA12" i="37"/>
  <c r="AB9" i="37"/>
  <c r="U12" i="37"/>
  <c r="AB37" i="34"/>
  <c r="AC11" i="34"/>
  <c r="U33" i="21"/>
  <c r="AB13" i="33"/>
  <c r="S9" i="33"/>
  <c r="S8" i="33"/>
  <c r="U8" i="33"/>
  <c r="W8" i="21"/>
  <c r="S8" i="21"/>
  <c r="AA11" i="21"/>
  <c r="AC11" i="21"/>
  <c r="AB11" i="21"/>
  <c r="F53" i="9"/>
  <c r="C5" i="11"/>
  <c r="C4" i="12"/>
  <c r="E14" i="6"/>
  <c r="I4" i="6"/>
  <c r="G3" i="43"/>
  <c r="O6" i="1"/>
  <c r="T13" i="1"/>
  <c r="C58" i="21"/>
  <c r="C58" i="33"/>
  <c r="D58" i="33" s="1"/>
  <c r="E58" i="33" s="1"/>
  <c r="F58" i="33" s="1"/>
  <c r="G58" i="33" s="1"/>
  <c r="H58" i="33" s="1"/>
  <c r="I58" i="33" s="1"/>
  <c r="J58" i="33" s="1"/>
  <c r="K58" i="33" s="1"/>
  <c r="L58" i="33" s="1"/>
  <c r="M58" i="33" s="1"/>
  <c r="N58" i="33" s="1"/>
  <c r="O58" i="33" s="1"/>
  <c r="W10" i="36"/>
  <c r="U10" i="36"/>
  <c r="S10" i="36"/>
  <c r="AA10" i="35"/>
  <c r="W10" i="35"/>
  <c r="U10" i="37"/>
  <c r="S10" i="37"/>
  <c r="U10" i="34"/>
  <c r="S10" i="34"/>
  <c r="AA10" i="33"/>
  <c r="AC10" i="33"/>
  <c r="AB10" i="33"/>
  <c r="U10" i="21"/>
  <c r="S10" i="21"/>
  <c r="W10" i="21"/>
  <c r="AB27" i="36"/>
  <c r="S27" i="36"/>
  <c r="AC27" i="36"/>
  <c r="AC8" i="35"/>
  <c r="U8" i="35"/>
  <c r="H26" i="35"/>
  <c r="AB26" i="35" s="1"/>
  <c r="F26" i="35"/>
  <c r="J26" i="35"/>
  <c r="AC26" i="35" s="1"/>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c r="E12" i="6"/>
  <c r="E57" i="40" s="1"/>
  <c r="E15" i="6"/>
  <c r="E64" i="39"/>
  <c r="E11" i="6"/>
  <c r="E60" i="39"/>
  <c r="E10" i="6"/>
  <c r="E13" i="6"/>
  <c r="P6" i="1"/>
  <c r="P11" i="1"/>
  <c r="D9" i="11"/>
  <c r="C9" i="11"/>
  <c r="D19" i="12"/>
  <c r="C19" i="12" s="1"/>
  <c r="O9" i="1"/>
  <c r="P9" i="1"/>
  <c r="O12" i="1"/>
  <c r="P12" i="1"/>
  <c r="O8" i="1"/>
  <c r="P8" i="1"/>
  <c r="H73" i="43"/>
  <c r="H90" i="43"/>
  <c r="I18" i="43"/>
  <c r="E17" i="43"/>
  <c r="C17" i="43"/>
  <c r="C24" i="43"/>
  <c r="H26" i="43"/>
  <c r="F26" i="43"/>
  <c r="G26" i="43"/>
  <c r="H55" i="43"/>
  <c r="H87" i="43"/>
  <c r="N370" i="46"/>
  <c r="H89" i="43"/>
  <c r="H84" i="43"/>
  <c r="T35" i="4"/>
  <c r="A19" i="51"/>
  <c r="B14" i="72" s="1"/>
  <c r="D18" i="53"/>
  <c r="B35" i="72" s="1"/>
  <c r="H52" i="43"/>
  <c r="B47" i="48"/>
  <c r="Y8" i="71"/>
  <c r="Z8" i="71"/>
  <c r="X8" i="71"/>
  <c r="AB8" i="71"/>
  <c r="AA8" i="71"/>
  <c r="D12" i="52"/>
  <c r="H76" i="43"/>
  <c r="H72" i="43"/>
  <c r="H63" i="43"/>
  <c r="H61" i="43"/>
  <c r="H53" i="43"/>
  <c r="H79" i="43"/>
  <c r="D124" i="9"/>
  <c r="D125" i="9" s="1"/>
  <c r="D11" i="52"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E52" i="37"/>
  <c r="D58" i="21"/>
  <c r="E48" i="35"/>
  <c r="D63" i="40"/>
  <c r="K4" i="4"/>
  <c r="B46" i="48"/>
  <c r="B4" i="72"/>
  <c r="B4" i="62"/>
  <c r="B71" i="72"/>
  <c r="D9" i="53"/>
  <c r="B25" i="72"/>
  <c r="B24" i="72"/>
  <c r="Y16" i="71"/>
  <c r="Z16" i="71"/>
  <c r="Y15" i="71"/>
  <c r="Z15" i="71"/>
  <c r="AA16" i="71"/>
  <c r="AB3" i="71"/>
  <c r="X16" i="71"/>
  <c r="AB16" i="71"/>
  <c r="Y3" i="71"/>
  <c r="Z3" i="71" s="1"/>
  <c r="D9" i="69"/>
  <c r="C9" i="69" s="1"/>
  <c r="C36" i="69"/>
  <c r="E61" i="43"/>
  <c r="B59" i="43" s="1"/>
  <c r="C28" i="43"/>
  <c r="Z7" i="43"/>
  <c r="E56" i="39"/>
  <c r="W26" i="35"/>
  <c r="U26" i="35"/>
  <c r="E61" i="39"/>
  <c r="E56" i="40"/>
  <c r="E72" i="43"/>
  <c r="B70" i="43"/>
  <c r="E60" i="40"/>
  <c r="E51" i="40"/>
  <c r="E58" i="40"/>
  <c r="E62" i="39"/>
  <c r="C7" i="43"/>
  <c r="D10" i="52"/>
  <c r="D65" i="40"/>
  <c r="E63" i="40"/>
  <c r="E58" i="21"/>
  <c r="F58" i="21" s="1"/>
  <c r="AE11" i="1"/>
  <c r="AE9" i="1"/>
  <c r="AE7" i="1"/>
  <c r="AE8" i="1"/>
  <c r="AE12" i="1"/>
  <c r="AE10" i="1"/>
  <c r="AG11" i="1"/>
  <c r="AG9" i="1"/>
  <c r="AG10" i="1"/>
  <c r="AG8" i="1"/>
  <c r="AG12" i="1"/>
  <c r="AG7" i="1"/>
  <c r="AG6" i="1"/>
  <c r="S8" i="1"/>
  <c r="E8" i="70"/>
  <c r="O14" i="1"/>
  <c r="O16" i="1" s="1"/>
  <c r="B1" i="74"/>
  <c r="F63" i="40"/>
  <c r="F65" i="40" s="1"/>
  <c r="E65" i="40"/>
  <c r="S11" i="1"/>
  <c r="E11" i="70"/>
  <c r="S9" i="1"/>
  <c r="AR9" i="1" s="1"/>
  <c r="AQ8" i="1"/>
  <c r="S7" i="1"/>
  <c r="T7" i="1" s="1"/>
  <c r="E7" i="70"/>
  <c r="S10" i="1"/>
  <c r="T10" i="1" s="1"/>
  <c r="E10" i="70"/>
  <c r="S12" i="1"/>
  <c r="AR12" i="1" s="1"/>
  <c r="P14" i="1"/>
  <c r="P16" i="1" s="1"/>
  <c r="C11" i="12" s="1"/>
  <c r="C15" i="12" s="1"/>
  <c r="G63" i="40"/>
  <c r="G58" i="21"/>
  <c r="R7" i="1"/>
  <c r="E12" i="70"/>
  <c r="F34" i="11"/>
  <c r="F11" i="12"/>
  <c r="C23" i="12" s="1"/>
  <c r="E9" i="70"/>
  <c r="AQ9" i="1"/>
  <c r="T9" i="1"/>
  <c r="AQ11" i="1"/>
  <c r="AR11" i="1"/>
  <c r="T11" i="1"/>
  <c r="T12" i="1"/>
  <c r="AQ12" i="1"/>
  <c r="AR10" i="1"/>
  <c r="AR7" i="1"/>
  <c r="AQ7" i="1"/>
  <c r="R11" i="1"/>
  <c r="R9" i="1"/>
  <c r="R10" i="1"/>
  <c r="R8" i="1"/>
  <c r="R12" i="1"/>
  <c r="H58" i="21"/>
  <c r="B2" i="21"/>
  <c r="B2" i="33"/>
  <c r="B2" i="36"/>
  <c r="B3" i="36"/>
  <c r="B2" i="35"/>
  <c r="B3" i="35" s="1"/>
  <c r="B2" i="37"/>
  <c r="B2" i="34"/>
  <c r="F34" i="68"/>
  <c r="E13" i="76"/>
  <c r="M6" i="67"/>
  <c r="M28" i="67"/>
  <c r="F40" i="15"/>
  <c r="D2" i="35"/>
  <c r="M22" i="67"/>
  <c r="AO13" i="1"/>
  <c r="M9" i="15"/>
  <c r="F42" i="15"/>
  <c r="D2" i="36"/>
  <c r="F42" i="67"/>
  <c r="AO8" i="1"/>
  <c r="L48" i="67"/>
  <c r="F7" i="67"/>
  <c r="E2" i="69"/>
  <c r="M26" i="67"/>
  <c r="F16" i="15"/>
  <c r="C76" i="15"/>
  <c r="E12" i="76"/>
  <c r="AO11" i="1"/>
  <c r="F13" i="67"/>
  <c r="M9" i="67"/>
  <c r="M23" i="15"/>
  <c r="M28" i="15"/>
  <c r="M23" i="67"/>
  <c r="D2" i="34"/>
  <c r="AO9" i="1"/>
  <c r="E10" i="76"/>
  <c r="M6" i="15"/>
  <c r="J15" i="15"/>
  <c r="F20" i="31"/>
  <c r="AO12" i="1"/>
  <c r="L48" i="15"/>
  <c r="E2" i="68"/>
  <c r="B12" i="76"/>
  <c r="F7" i="15"/>
  <c r="F9" i="15"/>
  <c r="B11" i="76"/>
  <c r="E9" i="76"/>
  <c r="AO10" i="1"/>
  <c r="F8" i="67"/>
  <c r="AO7" i="1"/>
  <c r="F26" i="15"/>
  <c r="C36" i="68"/>
  <c r="L47" i="15"/>
  <c r="B7" i="76"/>
  <c r="F36" i="67"/>
  <c r="B8" i="76"/>
  <c r="B13" i="76"/>
  <c r="F13" i="15"/>
  <c r="D2" i="21"/>
  <c r="F37" i="67"/>
  <c r="B10" i="76"/>
  <c r="M22" i="15"/>
  <c r="F9" i="67"/>
  <c r="F40" i="67"/>
  <c r="F27" i="68"/>
  <c r="F6" i="67"/>
  <c r="M21" i="67"/>
  <c r="F43" i="67"/>
  <c r="M27" i="67"/>
  <c r="M8" i="15"/>
  <c r="D2" i="33"/>
  <c r="M24" i="67"/>
  <c r="D2" i="37"/>
  <c r="F38" i="15"/>
  <c r="F38" i="67"/>
  <c r="E11" i="76"/>
  <c r="F6" i="15"/>
  <c r="F36" i="15"/>
  <c r="F26" i="67"/>
  <c r="F35" i="67"/>
  <c r="L47" i="67"/>
  <c r="M8" i="67"/>
  <c r="F16" i="67"/>
  <c r="F41" i="67"/>
  <c r="M26" i="15"/>
  <c r="E7" i="76"/>
  <c r="M29" i="67"/>
  <c r="D9" i="68"/>
  <c r="J15" i="67"/>
  <c r="B9" i="76"/>
  <c r="M24" i="15"/>
  <c r="C76" i="67"/>
  <c r="M27" i="15"/>
  <c r="F8" i="15"/>
  <c r="E8" i="76"/>
  <c r="F37" i="15"/>
  <c r="AC38" i="39" l="1"/>
  <c r="H7" i="21"/>
  <c r="J7" i="21"/>
  <c r="I58" i="21"/>
  <c r="J58" i="21" s="1"/>
  <c r="K58" i="21" s="1"/>
  <c r="L58" i="21" s="1"/>
  <c r="M58" i="21" s="1"/>
  <c r="N58" i="21" s="1"/>
  <c r="O58" i="21" s="1"/>
  <c r="AQ10" i="1"/>
  <c r="F52" i="37"/>
  <c r="G52" i="37" s="1"/>
  <c r="H52" i="37" s="1"/>
  <c r="I52" i="37" s="1"/>
  <c r="J52" i="37" s="1"/>
  <c r="K52" i="37" s="1"/>
  <c r="L52" i="37" s="1"/>
  <c r="M52" i="37" s="1"/>
  <c r="N52" i="37" s="1"/>
  <c r="O52" i="37" s="1"/>
  <c r="F7" i="37"/>
  <c r="F7" i="33"/>
  <c r="D17" i="53"/>
  <c r="B36" i="72" s="1"/>
  <c r="AB31" i="34"/>
  <c r="U31" i="34"/>
  <c r="J7" i="33"/>
  <c r="F48" i="35"/>
  <c r="E46" i="36"/>
  <c r="T8" i="1"/>
  <c r="AR8" i="1"/>
  <c r="H7" i="33"/>
  <c r="F7" i="21"/>
  <c r="E63" i="39"/>
  <c r="E65" i="39" s="1"/>
  <c r="E59" i="40"/>
  <c r="AC19" i="40"/>
  <c r="W19" i="40"/>
  <c r="AA26" i="35"/>
  <c r="S26" i="35"/>
  <c r="G65" i="40"/>
  <c r="H63" i="40"/>
  <c r="W10" i="37"/>
  <c r="AC10" i="37"/>
  <c r="AB17" i="33"/>
  <c r="AC10" i="34"/>
  <c r="W10" i="34"/>
  <c r="AB27" i="34"/>
  <c r="U27" i="34"/>
  <c r="AA42" i="33"/>
  <c r="S42" i="33"/>
  <c r="U32" i="34"/>
  <c r="AB32" i="34"/>
  <c r="AC23" i="21"/>
  <c r="W23" i="21"/>
  <c r="AB19" i="33"/>
  <c r="U19" i="33"/>
  <c r="AB32" i="37"/>
  <c r="U32" i="37"/>
  <c r="AC35" i="40"/>
  <c r="W35" i="40"/>
  <c r="S14" i="33"/>
  <c r="AA14" i="33"/>
  <c r="AB32" i="36"/>
  <c r="U32" i="36"/>
  <c r="AA26" i="33"/>
  <c r="S26" i="33"/>
  <c r="H14" i="33"/>
  <c r="J14" i="33"/>
  <c r="F13" i="34"/>
  <c r="H13" i="34"/>
  <c r="J13" i="34"/>
  <c r="F47" i="34"/>
  <c r="H47" i="34"/>
  <c r="J47" i="34"/>
  <c r="J35" i="35"/>
  <c r="H35" i="35"/>
  <c r="AA37" i="21"/>
  <c r="S37" i="21"/>
  <c r="AB21" i="39"/>
  <c r="U21" i="39"/>
  <c r="AA14" i="40"/>
  <c r="S14" i="40"/>
  <c r="S44" i="33"/>
  <c r="AA44" i="33"/>
  <c r="AA28" i="33"/>
  <c r="S28" i="33"/>
  <c r="AA11" i="33"/>
  <c r="S11" i="33"/>
  <c r="AB17" i="34"/>
  <c r="U17" i="34"/>
  <c r="AA11" i="40"/>
  <c r="S11" i="40"/>
  <c r="E16" i="6"/>
  <c r="E26" i="43"/>
  <c r="D26" i="43" s="1"/>
  <c r="C25" i="43" s="1"/>
  <c r="B116" i="43"/>
  <c r="J26" i="43"/>
  <c r="N94" i="46"/>
  <c r="AC25" i="33"/>
  <c r="J7" i="37"/>
  <c r="H7" i="37"/>
  <c r="AA35" i="35"/>
  <c r="S35" i="35"/>
  <c r="AB30" i="35"/>
  <c r="U30" i="35"/>
  <c r="U41" i="39"/>
  <c r="AB41" i="39"/>
  <c r="AC9" i="37"/>
  <c r="W9" i="37"/>
  <c r="W40" i="21"/>
  <c r="AC40" i="21"/>
  <c r="W17" i="21"/>
  <c r="AC17" i="21"/>
  <c r="D59" i="34"/>
  <c r="AB43" i="33"/>
  <c r="U43" i="33"/>
  <c r="W20" i="35"/>
  <c r="AC20" i="35"/>
  <c r="AA33" i="33"/>
  <c r="S33" i="33"/>
  <c r="H88" i="43"/>
  <c r="H85" i="43"/>
  <c r="H83" i="43"/>
  <c r="AB37" i="37"/>
  <c r="U37" i="37"/>
  <c r="U27" i="39"/>
  <c r="AB27" i="39"/>
  <c r="W8" i="37"/>
  <c r="AC8" i="37"/>
  <c r="F38" i="40"/>
  <c r="J38" i="40"/>
  <c r="H38" i="40"/>
  <c r="AB42" i="34"/>
  <c r="U42" i="34"/>
  <c r="U11" i="37"/>
  <c r="AB36" i="33"/>
  <c r="D6" i="52"/>
  <c r="W20" i="36"/>
  <c r="U46" i="33"/>
  <c r="AB46" i="33"/>
  <c r="AA11" i="36"/>
  <c r="S11" i="36"/>
  <c r="J31" i="33"/>
  <c r="F31" i="33"/>
  <c r="H33" i="36"/>
  <c r="F33" i="36"/>
  <c r="C16" i="71"/>
  <c r="D17" i="71"/>
  <c r="D19" i="53"/>
  <c r="W29" i="33"/>
  <c r="AC29" i="33"/>
  <c r="J33" i="40"/>
  <c r="H33" i="40"/>
  <c r="S23" i="33"/>
  <c r="U44" i="34"/>
  <c r="U12" i="40"/>
  <c r="AB12" i="40"/>
  <c r="S14" i="34"/>
  <c r="F24" i="35"/>
  <c r="J24" i="35"/>
  <c r="AA32" i="37"/>
  <c r="S34" i="21"/>
  <c r="U9" i="39"/>
  <c r="J9" i="34"/>
  <c r="F9" i="34"/>
  <c r="H11" i="39"/>
  <c r="K80" i="39"/>
  <c r="L80" i="39" s="1"/>
  <c r="M80" i="39" s="1"/>
  <c r="AB23" i="40"/>
  <c r="U23" i="40"/>
  <c r="W45" i="39"/>
  <c r="AC45" i="39"/>
  <c r="F12" i="21"/>
  <c r="J12" i="21"/>
  <c r="H12" i="21"/>
  <c r="F25" i="36"/>
  <c r="J25" i="36"/>
  <c r="H27" i="37"/>
  <c r="J27" i="37"/>
  <c r="AB15" i="21"/>
  <c r="AB33" i="35"/>
  <c r="U33" i="35"/>
  <c r="AB9" i="40"/>
  <c r="U9" i="40"/>
  <c r="F14" i="21"/>
  <c r="H14" i="21"/>
  <c r="J26" i="33"/>
  <c r="H26" i="33"/>
  <c r="AC32" i="40"/>
  <c r="F40" i="40"/>
  <c r="H40" i="40"/>
  <c r="F12" i="36"/>
  <c r="U34" i="21"/>
  <c r="U34" i="35"/>
  <c r="AC27" i="35"/>
  <c r="AC8" i="34"/>
  <c r="F12" i="34"/>
  <c r="AA34" i="35"/>
  <c r="AC28" i="36"/>
  <c r="J12" i="36"/>
  <c r="H26" i="37"/>
  <c r="H25" i="37"/>
  <c r="H39" i="40"/>
  <c r="D51" i="71"/>
  <c r="C52" i="71"/>
  <c r="C59" i="71"/>
  <c r="D58" i="71"/>
  <c r="D75" i="71"/>
  <c r="C74" i="71"/>
  <c r="D74" i="71" s="1"/>
  <c r="V16" i="71"/>
  <c r="E15" i="71"/>
  <c r="E14" i="71" s="1"/>
  <c r="E13" i="71" s="1"/>
  <c r="E12" i="71" s="1"/>
  <c r="J26" i="37"/>
  <c r="C64" i="71"/>
  <c r="D63" i="71"/>
  <c r="H44" i="21"/>
  <c r="W36" i="35"/>
  <c r="C31" i="71"/>
  <c r="D30" i="71"/>
  <c r="C43" i="71"/>
  <c r="D42" i="71"/>
  <c r="J23" i="35"/>
  <c r="J24" i="36"/>
  <c r="B15" i="71"/>
  <c r="B14" i="71" s="1"/>
  <c r="B13" i="71" s="1"/>
  <c r="B12" i="71" s="1"/>
  <c r="S16" i="71"/>
  <c r="Y24" i="71"/>
  <c r="Z24" i="71" s="1"/>
  <c r="Y18" i="71"/>
  <c r="Z18" i="71" s="1"/>
  <c r="Y14" i="71"/>
  <c r="Z14" i="71" s="1"/>
  <c r="Y10" i="71"/>
  <c r="Z10" i="71" s="1"/>
  <c r="Y9" i="71"/>
  <c r="Z9" i="71" s="1"/>
  <c r="W21" i="37"/>
  <c r="AB25" i="71"/>
  <c r="D80" i="71"/>
  <c r="Y25" i="71"/>
  <c r="Z25" i="71" s="1"/>
  <c r="C38" i="71"/>
  <c r="Y33" i="71"/>
  <c r="Z33" i="71" s="1"/>
  <c r="AB29" i="71"/>
  <c r="N68" i="71"/>
  <c r="Y31" i="71"/>
  <c r="Z31" i="71" s="1"/>
  <c r="B67" i="71"/>
  <c r="AA23" i="71"/>
  <c r="AA15" i="71"/>
  <c r="AA9" i="71"/>
  <c r="F24" i="78"/>
  <c r="C29" i="77"/>
  <c r="D29" i="77"/>
  <c r="D32" i="77" s="1"/>
  <c r="D38" i="77" s="1"/>
  <c r="E29" i="77"/>
  <c r="U21" i="37"/>
  <c r="D50" i="71"/>
  <c r="B28" i="71"/>
  <c r="C35" i="71"/>
  <c r="X31" i="71"/>
  <c r="X22" i="71"/>
  <c r="X17" i="71"/>
  <c r="X18" i="71"/>
  <c r="X9" i="71"/>
  <c r="X10" i="71"/>
  <c r="AA22" i="71"/>
  <c r="S17" i="79"/>
  <c r="L3" i="79"/>
  <c r="S7" i="79"/>
  <c r="S13" i="79"/>
  <c r="S14" i="79"/>
  <c r="M20" i="15"/>
  <c r="C25" i="40"/>
  <c r="V28" i="71"/>
  <c r="C79" i="71"/>
  <c r="Y28" i="71"/>
  <c r="Z28" i="71" s="1"/>
  <c r="X36" i="71"/>
  <c r="Y29" i="71"/>
  <c r="Z29" i="71" s="1"/>
  <c r="X33" i="71"/>
  <c r="Y32" i="71"/>
  <c r="Z32" i="71" s="1"/>
  <c r="Y34" i="71"/>
  <c r="Z34" i="71" s="1"/>
  <c r="F66" i="71"/>
  <c r="Q67" i="71"/>
  <c r="X24" i="71"/>
  <c r="AA21" i="71"/>
  <c r="AA13" i="71"/>
  <c r="AB12" i="71"/>
  <c r="AB21" i="33"/>
  <c r="AB18" i="36"/>
  <c r="D27" i="71"/>
  <c r="D76" i="71"/>
  <c r="C67" i="71"/>
  <c r="X28" i="71"/>
  <c r="AA35" i="71"/>
  <c r="AA32" i="71"/>
  <c r="X29" i="71"/>
  <c r="AB32" i="71"/>
  <c r="AB34" i="71"/>
  <c r="U76" i="71"/>
  <c r="AB24" i="71"/>
  <c r="AB11" i="71"/>
  <c r="R24" i="77"/>
  <c r="C15" i="78"/>
  <c r="S5" i="79"/>
  <c r="V5" i="79"/>
  <c r="P7" i="79"/>
  <c r="M3" i="79"/>
  <c r="P3" i="79" s="1"/>
  <c r="T7" i="79"/>
  <c r="W7" i="79" s="1"/>
  <c r="T5" i="79"/>
  <c r="W5" i="79" s="1"/>
  <c r="T3" i="79"/>
  <c r="W3" i="79" s="1"/>
  <c r="S27" i="79"/>
  <c r="S29" i="79"/>
  <c r="S28" i="79"/>
  <c r="S25" i="79"/>
  <c r="W21" i="33"/>
  <c r="Y27" i="71"/>
  <c r="Z27" i="71" s="1"/>
  <c r="X35" i="71"/>
  <c r="AA11" i="71"/>
  <c r="AB17" i="71"/>
  <c r="V15" i="79"/>
  <c r="V10" i="79"/>
  <c r="V11" i="79"/>
  <c r="V6" i="79"/>
  <c r="V8" i="79"/>
  <c r="U21" i="34"/>
  <c r="S21" i="34"/>
  <c r="C82" i="71"/>
  <c r="D82" i="71" s="1"/>
  <c r="X26" i="71"/>
  <c r="AA34" i="71"/>
  <c r="AA31" i="71"/>
  <c r="Y35" i="71"/>
  <c r="Z35" i="71" s="1"/>
  <c r="C55" i="71"/>
  <c r="X15" i="71"/>
  <c r="X14" i="71"/>
  <c r="Y36" i="71"/>
  <c r="Z36" i="71" s="1"/>
  <c r="Y12" i="71"/>
  <c r="Z12" i="71" s="1"/>
  <c r="Y11" i="71"/>
  <c r="Z11" i="71" s="1"/>
  <c r="T8" i="79"/>
  <c r="W8" i="79" s="1"/>
  <c r="T10" i="79"/>
  <c r="W10" i="79" s="1"/>
  <c r="T11" i="79"/>
  <c r="W11" i="79" s="1"/>
  <c r="P11" i="79"/>
  <c r="AA28" i="71"/>
  <c r="AB27" i="71"/>
  <c r="E67" i="71"/>
  <c r="X25" i="71"/>
  <c r="Y26" i="71"/>
  <c r="Z26" i="71" s="1"/>
  <c r="X34" i="71"/>
  <c r="AA30" i="71"/>
  <c r="AB30" i="71"/>
  <c r="F71" i="71"/>
  <c r="F70" i="71" s="1"/>
  <c r="Y23" i="71"/>
  <c r="Z23" i="71" s="1"/>
  <c r="Y17" i="71"/>
  <c r="Z17" i="71" s="1"/>
  <c r="AB13" i="71"/>
  <c r="X21" i="71"/>
  <c r="X13" i="71"/>
  <c r="AA24" i="71"/>
  <c r="AA14" i="71"/>
  <c r="AB31"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3" i="71"/>
  <c r="AB15" i="71"/>
  <c r="R14" i="77"/>
  <c r="O32" i="43"/>
  <c r="I21" i="43"/>
  <c r="H116" i="43"/>
  <c r="S6" i="43"/>
  <c r="V9" i="79"/>
  <c r="T9" i="79"/>
  <c r="W9" i="79" s="1"/>
  <c r="T13" i="79"/>
  <c r="W13" i="79" s="1"/>
  <c r="R10" i="79"/>
  <c r="T36" i="79"/>
  <c r="W36" i="79" s="1"/>
  <c r="S32" i="79"/>
  <c r="T35" i="79"/>
  <c r="W35" i="79" s="1"/>
  <c r="AD33" i="79"/>
  <c r="K3" i="79"/>
  <c r="S16" i="79"/>
  <c r="U3" i="79"/>
  <c r="P29" i="79"/>
  <c r="T28" i="79"/>
  <c r="W28" i="79" s="1"/>
  <c r="P32" i="43"/>
  <c r="R41" i="77"/>
  <c r="R35" i="77" s="1"/>
  <c r="U34" i="77" s="1"/>
  <c r="L21" i="43"/>
  <c r="E21" i="43"/>
  <c r="S3" i="43"/>
  <c r="C27" i="43"/>
  <c r="R7" i="79"/>
  <c r="S6" i="79"/>
  <c r="S34" i="79"/>
  <c r="S3" i="79"/>
  <c r="T16" i="79"/>
  <c r="W16" i="79" s="1"/>
  <c r="L25" i="79"/>
  <c r="V3" i="79"/>
  <c r="O3" i="79"/>
  <c r="U28" i="79"/>
  <c r="U25" i="79"/>
  <c r="J21" i="43"/>
  <c r="C21" i="43"/>
  <c r="F42" i="43"/>
  <c r="N21" i="43"/>
  <c r="U8" i="79"/>
  <c r="R9" i="79"/>
  <c r="S11" i="79"/>
  <c r="S33" i="79"/>
  <c r="S15" i="79"/>
  <c r="T27" i="79"/>
  <c r="W27" i="79" s="1"/>
  <c r="AD35" i="79"/>
  <c r="AD36" i="79"/>
  <c r="AD37" i="79"/>
  <c r="G583" i="3"/>
  <c r="G567" i="3"/>
  <c r="G551" i="3"/>
  <c r="G535" i="3"/>
  <c r="G519" i="3"/>
  <c r="G503" i="3"/>
  <c r="G487" i="3"/>
  <c r="G471" i="3"/>
  <c r="G455" i="3"/>
  <c r="H21" i="43"/>
  <c r="G21" i="43" s="1"/>
  <c r="C20" i="43" s="1"/>
  <c r="C5" i="43" s="1"/>
  <c r="F41" i="43"/>
  <c r="U5" i="79"/>
  <c r="R5" i="79"/>
  <c r="AA3" i="79"/>
  <c r="AD3" i="79" s="1"/>
  <c r="S10" i="79"/>
  <c r="T29" i="79"/>
  <c r="W29" i="79" s="1"/>
  <c r="AC3" i="79"/>
  <c r="S35" i="79"/>
  <c r="AD38" i="79"/>
  <c r="E32" i="77"/>
  <c r="E38" i="77" s="1"/>
  <c r="G573" i="3"/>
  <c r="G557" i="3"/>
  <c r="G541" i="3"/>
  <c r="G525" i="3"/>
  <c r="G509" i="3"/>
  <c r="G493" i="3"/>
  <c r="G477" i="3"/>
  <c r="G461" i="3"/>
  <c r="U9" i="79"/>
  <c r="R8" i="79"/>
  <c r="T31" i="79"/>
  <c r="W31" i="79" s="1"/>
  <c r="U15" i="79"/>
  <c r="T34" i="79"/>
  <c r="W34" i="79" s="1"/>
  <c r="S37" i="79"/>
  <c r="E29" i="6"/>
  <c r="K15" i="1" s="1"/>
  <c r="M21" i="43"/>
  <c r="F38" i="43"/>
  <c r="R3" i="79"/>
  <c r="U11" i="79"/>
  <c r="U13" i="79"/>
  <c r="G575" i="3"/>
  <c r="G559" i="3"/>
  <c r="G543" i="3"/>
  <c r="G527" i="3"/>
  <c r="G511" i="3"/>
  <c r="G495" i="3"/>
  <c r="G479" i="3"/>
  <c r="G463" i="3"/>
  <c r="G447" i="3"/>
  <c r="T12" i="79"/>
  <c r="W12" i="79" s="1"/>
  <c r="U36" i="79"/>
  <c r="BL567" i="3"/>
  <c r="BL559" i="3"/>
  <c r="BL551" i="3"/>
  <c r="BL543" i="3"/>
  <c r="AZ543" i="3" s="1"/>
  <c r="BL535" i="3"/>
  <c r="BL527" i="3"/>
  <c r="BL519" i="3"/>
  <c r="BL511" i="3"/>
  <c r="AZ511" i="3" s="1"/>
  <c r="BL503" i="3"/>
  <c r="BL468" i="3"/>
  <c r="BL420" i="3"/>
  <c r="BL413" i="3"/>
  <c r="AZ413" i="3" s="1"/>
  <c r="BL377" i="3"/>
  <c r="AZ377" i="3" s="1"/>
  <c r="BL357" i="3"/>
  <c r="AZ357" i="3" s="1"/>
  <c r="BL491" i="3"/>
  <c r="BL475" i="3"/>
  <c r="AZ475" i="3" s="1"/>
  <c r="BL443" i="3"/>
  <c r="AZ443" i="3" s="1"/>
  <c r="BL457" i="3"/>
  <c r="BL450" i="3"/>
  <c r="BL339" i="3"/>
  <c r="BL449" i="3"/>
  <c r="BL432" i="3"/>
  <c r="AZ432" i="3" s="1"/>
  <c r="BL340" i="3"/>
  <c r="AZ340" i="3" s="1"/>
  <c r="BL300" i="3"/>
  <c r="AZ300" i="3" s="1"/>
  <c r="BL236" i="3"/>
  <c r="AZ236" i="3" s="1"/>
  <c r="BL217" i="3"/>
  <c r="AZ217" i="3" s="1"/>
  <c r="BL192" i="3"/>
  <c r="AZ192" i="3" s="1"/>
  <c r="BL173" i="3"/>
  <c r="BL128" i="3"/>
  <c r="AZ128" i="3" s="1"/>
  <c r="BL109" i="3"/>
  <c r="BL93" i="3"/>
  <c r="AZ93" i="3" s="1"/>
  <c r="BL388" i="3"/>
  <c r="AZ388" i="3" s="1"/>
  <c r="BL376" i="3"/>
  <c r="AZ376" i="3" s="1"/>
  <c r="BL364" i="3"/>
  <c r="AZ364" i="3" s="1"/>
  <c r="BL352" i="3"/>
  <c r="AZ352" i="3" s="1"/>
  <c r="BL324" i="3"/>
  <c r="AZ324" i="3" s="1"/>
  <c r="BL285" i="3"/>
  <c r="AZ285" i="3" s="1"/>
  <c r="BL280" i="3"/>
  <c r="AZ280" i="3" s="1"/>
  <c r="BL277" i="3"/>
  <c r="AZ277" i="3" s="1"/>
  <c r="BL204" i="3"/>
  <c r="AZ204" i="3" s="1"/>
  <c r="BL152" i="3"/>
  <c r="AZ152" i="3" s="1"/>
  <c r="BL133" i="3"/>
  <c r="BL32" i="3"/>
  <c r="AZ32" i="3" s="1"/>
  <c r="BL436" i="3"/>
  <c r="AZ436" i="3" s="1"/>
  <c r="BL424" i="3"/>
  <c r="AZ424" i="3" s="1"/>
  <c r="BL412" i="3"/>
  <c r="AZ412" i="3" s="1"/>
  <c r="BL400" i="3"/>
  <c r="AZ400" i="3" s="1"/>
  <c r="BL286" i="3"/>
  <c r="BL283" i="3"/>
  <c r="BL278" i="3"/>
  <c r="BL272" i="3"/>
  <c r="AZ272" i="3" s="1"/>
  <c r="BL264" i="3"/>
  <c r="AZ264" i="3" s="1"/>
  <c r="BL227" i="3"/>
  <c r="BL176" i="3"/>
  <c r="AZ176" i="3" s="1"/>
  <c r="BL157" i="3"/>
  <c r="AZ157" i="3" s="1"/>
  <c r="BL112" i="3"/>
  <c r="AZ112" i="3" s="1"/>
  <c r="BL445" i="3"/>
  <c r="BL356" i="3"/>
  <c r="AZ356" i="3" s="1"/>
  <c r="BL344" i="3"/>
  <c r="AZ344" i="3" s="1"/>
  <c r="BL317" i="3"/>
  <c r="AZ317" i="3" s="1"/>
  <c r="BL312" i="3"/>
  <c r="AZ312" i="3" s="1"/>
  <c r="BL309" i="3"/>
  <c r="AZ309" i="3" s="1"/>
  <c r="BL258" i="3"/>
  <c r="AZ258" i="3" s="1"/>
  <c r="BL245" i="3"/>
  <c r="AZ245" i="3" s="1"/>
  <c r="BL232" i="3"/>
  <c r="AZ232" i="3" s="1"/>
  <c r="BL195" i="3"/>
  <c r="BL181" i="3"/>
  <c r="BL136" i="3"/>
  <c r="AZ136" i="3" s="1"/>
  <c r="BL117" i="3"/>
  <c r="AZ117" i="3" s="1"/>
  <c r="BL96" i="3"/>
  <c r="AZ96" i="3" s="1"/>
  <c r="BL440" i="3"/>
  <c r="AZ440" i="3" s="1"/>
  <c r="BL416" i="3"/>
  <c r="AZ416" i="3" s="1"/>
  <c r="BL336" i="3"/>
  <c r="AZ336" i="3" s="1"/>
  <c r="BL254" i="3"/>
  <c r="BL221" i="3"/>
  <c r="AZ221" i="3" s="1"/>
  <c r="BL208" i="3"/>
  <c r="AZ208" i="3" s="1"/>
  <c r="BL194" i="3"/>
  <c r="AZ194" i="3" s="1"/>
  <c r="BL184" i="3"/>
  <c r="AZ184" i="3" s="1"/>
  <c r="BL165" i="3"/>
  <c r="BL120" i="3"/>
  <c r="AZ120" i="3" s="1"/>
  <c r="BL372" i="3"/>
  <c r="AZ372" i="3" s="1"/>
  <c r="BL360" i="3"/>
  <c r="AZ360" i="3" s="1"/>
  <c r="BL348" i="3"/>
  <c r="AZ348" i="3" s="1"/>
  <c r="BL328" i="3"/>
  <c r="AZ328" i="3" s="1"/>
  <c r="BL323" i="3"/>
  <c r="BL268" i="3"/>
  <c r="AZ268" i="3" s="1"/>
  <c r="BL256" i="3"/>
  <c r="AZ256" i="3" s="1"/>
  <c r="BL222" i="3"/>
  <c r="BL196" i="3"/>
  <c r="AZ196" i="3" s="1"/>
  <c r="BL47" i="3"/>
  <c r="AZ47" i="3" s="1"/>
  <c r="BL39" i="3"/>
  <c r="AZ39" i="3" s="1"/>
  <c r="BL18" i="3"/>
  <c r="BL316" i="3"/>
  <c r="AZ316" i="3" s="1"/>
  <c r="BL302" i="3"/>
  <c r="BL284" i="3"/>
  <c r="AZ284" i="3" s="1"/>
  <c r="BL270" i="3"/>
  <c r="BL252" i="3"/>
  <c r="AZ252" i="3" s="1"/>
  <c r="BL238" i="3"/>
  <c r="BL220" i="3"/>
  <c r="AZ220" i="3" s="1"/>
  <c r="BL206" i="3"/>
  <c r="BL188" i="3"/>
  <c r="AZ188" i="3" s="1"/>
  <c r="BL185" i="3"/>
  <c r="AZ185" i="3" s="1"/>
  <c r="BL180" i="3"/>
  <c r="AZ180" i="3" s="1"/>
  <c r="BL177" i="3"/>
  <c r="BL172" i="3"/>
  <c r="AZ172" i="3" s="1"/>
  <c r="BL169" i="3"/>
  <c r="BL164" i="3"/>
  <c r="AZ164" i="3" s="1"/>
  <c r="BL161" i="3"/>
  <c r="BL156" i="3"/>
  <c r="AZ156" i="3" s="1"/>
  <c r="BL153" i="3"/>
  <c r="AZ153" i="3" s="1"/>
  <c r="BL148" i="3"/>
  <c r="AZ148" i="3" s="1"/>
  <c r="BL145" i="3"/>
  <c r="AZ145" i="3" s="1"/>
  <c r="BL140" i="3"/>
  <c r="AZ140" i="3" s="1"/>
  <c r="BL137" i="3"/>
  <c r="BL132" i="3"/>
  <c r="AZ132" i="3" s="1"/>
  <c r="BL129" i="3"/>
  <c r="BL124" i="3"/>
  <c r="AZ124" i="3" s="1"/>
  <c r="BL121" i="3"/>
  <c r="AZ121" i="3" s="1"/>
  <c r="BL116" i="3"/>
  <c r="AZ116" i="3" s="1"/>
  <c r="BL113" i="3"/>
  <c r="BL108" i="3"/>
  <c r="AZ108" i="3" s="1"/>
  <c r="BL105" i="3"/>
  <c r="BL100" i="3"/>
  <c r="AZ100" i="3" s="1"/>
  <c r="BL97" i="3"/>
  <c r="BL92" i="3"/>
  <c r="AZ92" i="3" s="1"/>
  <c r="BL89" i="3"/>
  <c r="AZ89" i="3" s="1"/>
  <c r="BL84" i="3"/>
  <c r="AZ84" i="3" s="1"/>
  <c r="BL81" i="3"/>
  <c r="AZ81" i="3" s="1"/>
  <c r="BL76" i="3"/>
  <c r="AZ76" i="3" s="1"/>
  <c r="BL73" i="3"/>
  <c r="BL68" i="3"/>
  <c r="AZ68" i="3" s="1"/>
  <c r="BL65" i="3"/>
  <c r="BL60" i="3"/>
  <c r="AZ60" i="3" s="1"/>
  <c r="BL57" i="3"/>
  <c r="AZ57" i="3" s="1"/>
  <c r="BL35" i="3"/>
  <c r="C28" i="15"/>
  <c r="BL326" i="3"/>
  <c r="BL308" i="3"/>
  <c r="AZ308" i="3" s="1"/>
  <c r="BL294" i="3"/>
  <c r="BL276" i="3"/>
  <c r="AZ276" i="3" s="1"/>
  <c r="BL262" i="3"/>
  <c r="BL244" i="3"/>
  <c r="AZ244" i="3" s="1"/>
  <c r="BL230" i="3"/>
  <c r="BL212" i="3"/>
  <c r="AZ212" i="3" s="1"/>
  <c r="BL198" i="3"/>
  <c r="BL50" i="3"/>
  <c r="AZ50" i="3" s="1"/>
  <c r="BL14" i="3"/>
  <c r="C21" i="68"/>
  <c r="C40" i="68"/>
  <c r="F32" i="15"/>
  <c r="F60" i="15" s="1"/>
  <c r="F30" i="68"/>
  <c r="BL266" i="3"/>
  <c r="AZ266" i="3" s="1"/>
  <c r="BL248" i="3"/>
  <c r="AZ248" i="3" s="1"/>
  <c r="BL234" i="3"/>
  <c r="BL216" i="3"/>
  <c r="AZ216" i="3" s="1"/>
  <c r="BL202" i="3"/>
  <c r="AZ202" i="3" s="1"/>
  <c r="BL182" i="3"/>
  <c r="BL174" i="3"/>
  <c r="BL166" i="3"/>
  <c r="BL158" i="3"/>
  <c r="BL150" i="3"/>
  <c r="BL142" i="3"/>
  <c r="BL134" i="3"/>
  <c r="BL126" i="3"/>
  <c r="BL118" i="3"/>
  <c r="BL110" i="3"/>
  <c r="BL102" i="3"/>
  <c r="BL94" i="3"/>
  <c r="BL86" i="3"/>
  <c r="BL78" i="3"/>
  <c r="BL70" i="3"/>
  <c r="BL62" i="3"/>
  <c r="BL46" i="3"/>
  <c r="BL26" i="3"/>
  <c r="BA539" i="3"/>
  <c r="AZ539" i="3" s="1"/>
  <c r="BL30" i="3"/>
  <c r="BA550" i="3"/>
  <c r="AZ550" i="3" s="1"/>
  <c r="BL34" i="3"/>
  <c r="BA523" i="3"/>
  <c r="AZ523" i="3" s="1"/>
  <c r="BA580" i="3"/>
  <c r="AZ580" i="3" s="1"/>
  <c r="BA534" i="3"/>
  <c r="AZ534" i="3" s="1"/>
  <c r="BL42" i="3"/>
  <c r="BA571" i="3"/>
  <c r="AZ571" i="3" s="1"/>
  <c r="BA573" i="3"/>
  <c r="AZ573" i="3" s="1"/>
  <c r="BA578" i="3"/>
  <c r="AZ578" i="3" s="1"/>
  <c r="BA555" i="3"/>
  <c r="AZ555" i="3" s="1"/>
  <c r="BA491" i="3"/>
  <c r="BL54" i="3"/>
  <c r="BL22" i="3"/>
  <c r="BA566" i="3"/>
  <c r="AZ566" i="3" s="1"/>
  <c r="BA502" i="3"/>
  <c r="AZ502" i="3" s="1"/>
  <c r="BA583" i="3"/>
  <c r="AZ583" i="3" s="1"/>
  <c r="BA570" i="3"/>
  <c r="AZ570" i="3" s="1"/>
  <c r="BA565" i="3"/>
  <c r="AZ565" i="3" s="1"/>
  <c r="BA559" i="3"/>
  <c r="BA545" i="3"/>
  <c r="AZ545" i="3" s="1"/>
  <c r="BA538" i="3"/>
  <c r="AZ538" i="3" s="1"/>
  <c r="BA527" i="3"/>
  <c r="AZ527" i="3" s="1"/>
  <c r="BA513" i="3"/>
  <c r="AZ513" i="3" s="1"/>
  <c r="BA506" i="3"/>
  <c r="AZ506" i="3" s="1"/>
  <c r="BA495" i="3"/>
  <c r="AZ495" i="3" s="1"/>
  <c r="BA481" i="3"/>
  <c r="AZ481" i="3" s="1"/>
  <c r="BA474" i="3"/>
  <c r="AZ474" i="3" s="1"/>
  <c r="BA463" i="3"/>
  <c r="AZ463" i="3" s="1"/>
  <c r="BA449" i="3"/>
  <c r="AZ449" i="3" s="1"/>
  <c r="BA442" i="3"/>
  <c r="AZ442" i="3" s="1"/>
  <c r="BA431" i="3"/>
  <c r="AZ431" i="3" s="1"/>
  <c r="BA417" i="3"/>
  <c r="AZ417" i="3" s="1"/>
  <c r="BA406" i="3"/>
  <c r="AZ406" i="3" s="1"/>
  <c r="BA402" i="3"/>
  <c r="AZ402" i="3" s="1"/>
  <c r="BA383" i="3"/>
  <c r="AZ383" i="3" s="1"/>
  <c r="BA379" i="3"/>
  <c r="AZ379" i="3" s="1"/>
  <c r="BA353" i="3"/>
  <c r="AZ353" i="3" s="1"/>
  <c r="BA342" i="3"/>
  <c r="AZ342" i="3" s="1"/>
  <c r="BA338" i="3"/>
  <c r="AZ338" i="3" s="1"/>
  <c r="BA319" i="3"/>
  <c r="AZ319" i="3" s="1"/>
  <c r="BA315" i="3"/>
  <c r="AZ315" i="3" s="1"/>
  <c r="BA289" i="3"/>
  <c r="AZ289" i="3" s="1"/>
  <c r="BA278" i="3"/>
  <c r="BA274" i="3"/>
  <c r="AZ274" i="3" s="1"/>
  <c r="BA255" i="3"/>
  <c r="AZ255" i="3" s="1"/>
  <c r="BA251" i="3"/>
  <c r="AZ251" i="3" s="1"/>
  <c r="BA225" i="3"/>
  <c r="AZ225" i="3" s="1"/>
  <c r="BA214" i="3"/>
  <c r="AZ214" i="3" s="1"/>
  <c r="BA210" i="3"/>
  <c r="AZ210" i="3" s="1"/>
  <c r="BA191" i="3"/>
  <c r="AZ191" i="3" s="1"/>
  <c r="BA187" i="3"/>
  <c r="AZ187" i="3" s="1"/>
  <c r="BA165" i="3"/>
  <c r="BA161" i="3"/>
  <c r="AZ161" i="3" s="1"/>
  <c r="BA150" i="3"/>
  <c r="AZ150" i="3" s="1"/>
  <c r="BA146" i="3"/>
  <c r="AZ146" i="3" s="1"/>
  <c r="BA127" i="3"/>
  <c r="AZ127" i="3" s="1"/>
  <c r="BA123" i="3"/>
  <c r="AZ123" i="3" s="1"/>
  <c r="BA97" i="3"/>
  <c r="AZ97" i="3" s="1"/>
  <c r="BA86" i="3"/>
  <c r="BA82" i="3"/>
  <c r="AZ82" i="3" s="1"/>
  <c r="BA59" i="3"/>
  <c r="AZ59" i="3" s="1"/>
  <c r="BA33" i="3"/>
  <c r="AZ33" i="3" s="1"/>
  <c r="BA22" i="3"/>
  <c r="BA18" i="3"/>
  <c r="AZ18" i="3" s="1"/>
  <c r="BR5" i="3"/>
  <c r="G28" i="6" s="1"/>
  <c r="G30" i="6" s="1"/>
  <c r="G31" i="6" s="1"/>
  <c r="BA470" i="3"/>
  <c r="AZ470" i="3" s="1"/>
  <c r="BA438" i="3"/>
  <c r="AZ438" i="3" s="1"/>
  <c r="BA398" i="3"/>
  <c r="AZ398" i="3" s="1"/>
  <c r="BA371" i="3"/>
  <c r="AZ371" i="3" s="1"/>
  <c r="BA334" i="3"/>
  <c r="AZ334" i="3" s="1"/>
  <c r="BA307" i="3"/>
  <c r="AZ307" i="3" s="1"/>
  <c r="BA270" i="3"/>
  <c r="BA243" i="3"/>
  <c r="AZ243" i="3" s="1"/>
  <c r="BA206" i="3"/>
  <c r="AZ206" i="3" s="1"/>
  <c r="BA179" i="3"/>
  <c r="AZ179" i="3" s="1"/>
  <c r="BA142" i="3"/>
  <c r="BA115" i="3"/>
  <c r="AZ115" i="3" s="1"/>
  <c r="BA78" i="3"/>
  <c r="BA51" i="3"/>
  <c r="AZ51" i="3" s="1"/>
  <c r="BA14" i="3"/>
  <c r="AZ14" i="3" s="1"/>
  <c r="C7" i="39"/>
  <c r="C67" i="39" s="1"/>
  <c r="C42" i="1"/>
  <c r="G23" i="43"/>
  <c r="BA586" i="3"/>
  <c r="AZ586" i="3" s="1"/>
  <c r="BA581" i="3"/>
  <c r="AZ581" i="3" s="1"/>
  <c r="BA569" i="3"/>
  <c r="AZ569" i="3" s="1"/>
  <c r="BA562" i="3"/>
  <c r="AZ562" i="3" s="1"/>
  <c r="BA557" i="3"/>
  <c r="AZ557" i="3" s="1"/>
  <c r="BA551" i="3"/>
  <c r="AZ551" i="3" s="1"/>
  <c r="BA537" i="3"/>
  <c r="AZ537" i="3" s="1"/>
  <c r="BA530" i="3"/>
  <c r="AZ530" i="3" s="1"/>
  <c r="BA519" i="3"/>
  <c r="AZ519" i="3" s="1"/>
  <c r="BA505" i="3"/>
  <c r="AZ505" i="3" s="1"/>
  <c r="BA498" i="3"/>
  <c r="AZ498" i="3" s="1"/>
  <c r="BA493" i="3"/>
  <c r="AZ493" i="3" s="1"/>
  <c r="BA487" i="3"/>
  <c r="AZ487" i="3" s="1"/>
  <c r="BA473" i="3"/>
  <c r="AZ473" i="3" s="1"/>
  <c r="BA466" i="3"/>
  <c r="AZ466" i="3" s="1"/>
  <c r="BA461" i="3"/>
  <c r="AZ461" i="3" s="1"/>
  <c r="BA455" i="3"/>
  <c r="AZ455" i="3" s="1"/>
  <c r="BA441" i="3"/>
  <c r="AZ441" i="3" s="1"/>
  <c r="BA434" i="3"/>
  <c r="AZ434" i="3" s="1"/>
  <c r="BA429" i="3"/>
  <c r="AZ429" i="3" s="1"/>
  <c r="BA423" i="3"/>
  <c r="AZ423" i="3" s="1"/>
  <c r="BA390" i="3"/>
  <c r="AZ390" i="3" s="1"/>
  <c r="BA363" i="3"/>
  <c r="AZ363" i="3" s="1"/>
  <c r="BA326" i="3"/>
  <c r="AZ326" i="3" s="1"/>
  <c r="BA299" i="3"/>
  <c r="AZ299" i="3" s="1"/>
  <c r="BA262" i="3"/>
  <c r="AZ262" i="3" s="1"/>
  <c r="BA235" i="3"/>
  <c r="AZ235" i="3" s="1"/>
  <c r="BA198" i="3"/>
  <c r="BA171" i="3"/>
  <c r="AZ171" i="3" s="1"/>
  <c r="BA134" i="3"/>
  <c r="AZ134" i="3" s="1"/>
  <c r="BA107" i="3"/>
  <c r="AZ107" i="3" s="1"/>
  <c r="BA70" i="3"/>
  <c r="AZ70" i="3" s="1"/>
  <c r="BA43" i="3"/>
  <c r="AZ43" i="3" s="1"/>
  <c r="BA582" i="3"/>
  <c r="AZ582" i="3" s="1"/>
  <c r="BA575" i="3"/>
  <c r="AZ575" i="3" s="1"/>
  <c r="BA558" i="3"/>
  <c r="AZ558" i="3" s="1"/>
  <c r="BA548" i="3"/>
  <c r="AZ548" i="3" s="1"/>
  <c r="BA533" i="3"/>
  <c r="AZ533" i="3" s="1"/>
  <c r="BA526" i="3"/>
  <c r="AZ526" i="3" s="1"/>
  <c r="BA516" i="3"/>
  <c r="AZ516" i="3" s="1"/>
  <c r="BA494" i="3"/>
  <c r="AZ494" i="3" s="1"/>
  <c r="BA484" i="3"/>
  <c r="AZ484" i="3" s="1"/>
  <c r="BA462" i="3"/>
  <c r="AZ462" i="3" s="1"/>
  <c r="BA452" i="3"/>
  <c r="AZ452" i="3" s="1"/>
  <c r="BA430" i="3"/>
  <c r="AZ430" i="3" s="1"/>
  <c r="BA420" i="3"/>
  <c r="AZ420" i="3" s="1"/>
  <c r="BA393" i="3"/>
  <c r="AZ393" i="3" s="1"/>
  <c r="BA382" i="3"/>
  <c r="AZ382" i="3" s="1"/>
  <c r="BA355" i="3"/>
  <c r="AZ355" i="3" s="1"/>
  <c r="BA329" i="3"/>
  <c r="AZ329" i="3" s="1"/>
  <c r="BA318" i="3"/>
  <c r="AZ318" i="3" s="1"/>
  <c r="BA291" i="3"/>
  <c r="AZ291" i="3" s="1"/>
  <c r="BA265" i="3"/>
  <c r="AZ265" i="3" s="1"/>
  <c r="BA254" i="3"/>
  <c r="BA227" i="3"/>
  <c r="AZ227" i="3" s="1"/>
  <c r="BA201" i="3"/>
  <c r="AZ201" i="3" s="1"/>
  <c r="BA190" i="3"/>
  <c r="AZ190" i="3" s="1"/>
  <c r="BA163" i="3"/>
  <c r="AZ163" i="3" s="1"/>
  <c r="BA141" i="3"/>
  <c r="AZ141" i="3" s="1"/>
  <c r="BA137" i="3"/>
  <c r="BA126" i="3"/>
  <c r="AZ126" i="3" s="1"/>
  <c r="BA99" i="3"/>
  <c r="AZ99" i="3" s="1"/>
  <c r="BA73" i="3"/>
  <c r="BA62" i="3"/>
  <c r="AZ62" i="3" s="1"/>
  <c r="BA35" i="3"/>
  <c r="AZ35" i="3" s="1"/>
  <c r="BA585" i="3"/>
  <c r="AZ585" i="3" s="1"/>
  <c r="BA561" i="3"/>
  <c r="AZ561" i="3" s="1"/>
  <c r="BA529" i="3"/>
  <c r="AZ529" i="3" s="1"/>
  <c r="BA497" i="3"/>
  <c r="AZ497" i="3" s="1"/>
  <c r="BA465" i="3"/>
  <c r="AZ465" i="3" s="1"/>
  <c r="BA433" i="3"/>
  <c r="AZ433" i="3" s="1"/>
  <c r="BA411" i="3"/>
  <c r="AZ411" i="3" s="1"/>
  <c r="BA385" i="3"/>
  <c r="AZ385" i="3" s="1"/>
  <c r="BA374" i="3"/>
  <c r="AZ374" i="3" s="1"/>
  <c r="BA347" i="3"/>
  <c r="AZ347" i="3" s="1"/>
  <c r="BA321" i="3"/>
  <c r="AZ321" i="3" s="1"/>
  <c r="BA310" i="3"/>
  <c r="AZ310" i="3" s="1"/>
  <c r="BA283" i="3"/>
  <c r="BA257" i="3"/>
  <c r="AZ257" i="3" s="1"/>
  <c r="BA246" i="3"/>
  <c r="AZ246" i="3" s="1"/>
  <c r="BA219" i="3"/>
  <c r="AZ219" i="3" s="1"/>
  <c r="BA193" i="3"/>
  <c r="AZ193" i="3" s="1"/>
  <c r="BA182" i="3"/>
  <c r="AZ182" i="3" s="1"/>
  <c r="BA155" i="3"/>
  <c r="AZ155" i="3" s="1"/>
  <c r="BA133" i="3"/>
  <c r="BA129" i="3"/>
  <c r="AZ129" i="3" s="1"/>
  <c r="BA118" i="3"/>
  <c r="AZ118" i="3" s="1"/>
  <c r="BA91" i="3"/>
  <c r="AZ91" i="3" s="1"/>
  <c r="BA65" i="3"/>
  <c r="AZ65" i="3" s="1"/>
  <c r="BA54" i="3"/>
  <c r="AZ54" i="3" s="1"/>
  <c r="BA27" i="3"/>
  <c r="AZ27" i="3" s="1"/>
  <c r="BA525" i="3"/>
  <c r="AZ525" i="3" s="1"/>
  <c r="BA518" i="3"/>
  <c r="AZ518" i="3" s="1"/>
  <c r="BA486" i="3"/>
  <c r="AZ486" i="3" s="1"/>
  <c r="BA454" i="3"/>
  <c r="AZ454" i="3" s="1"/>
  <c r="BA422" i="3"/>
  <c r="AZ422" i="3" s="1"/>
  <c r="BA407" i="3"/>
  <c r="AZ407" i="3" s="1"/>
  <c r="BA403" i="3"/>
  <c r="AZ403" i="3" s="1"/>
  <c r="BA366" i="3"/>
  <c r="AZ366" i="3" s="1"/>
  <c r="BA362" i="3"/>
  <c r="AZ362" i="3" s="1"/>
  <c r="BA343" i="3"/>
  <c r="AZ343" i="3" s="1"/>
  <c r="BA339" i="3"/>
  <c r="AZ339" i="3" s="1"/>
  <c r="BA302" i="3"/>
  <c r="AZ302" i="3" s="1"/>
  <c r="BA298" i="3"/>
  <c r="AZ298" i="3" s="1"/>
  <c r="BA279" i="3"/>
  <c r="AZ279" i="3" s="1"/>
  <c r="BA275" i="3"/>
  <c r="AZ275" i="3" s="1"/>
  <c r="BA238" i="3"/>
  <c r="AZ238" i="3" s="1"/>
  <c r="BA234" i="3"/>
  <c r="BA215" i="3"/>
  <c r="AZ215" i="3" s="1"/>
  <c r="BA211" i="3"/>
  <c r="AZ211" i="3" s="1"/>
  <c r="BA174" i="3"/>
  <c r="AZ174" i="3" s="1"/>
  <c r="BA170" i="3"/>
  <c r="AZ170" i="3" s="1"/>
  <c r="BA151" i="3"/>
  <c r="AZ151" i="3" s="1"/>
  <c r="BA147" i="3"/>
  <c r="AZ147" i="3" s="1"/>
  <c r="BA110" i="3"/>
  <c r="AZ110" i="3" s="1"/>
  <c r="BA106" i="3"/>
  <c r="AZ106" i="3" s="1"/>
  <c r="BA87" i="3"/>
  <c r="AZ87" i="3" s="1"/>
  <c r="BA83" i="3"/>
  <c r="AZ83" i="3" s="1"/>
  <c r="BA46" i="3"/>
  <c r="AZ46" i="3" s="1"/>
  <c r="BA42" i="3"/>
  <c r="AZ42" i="3" s="1"/>
  <c r="BA23" i="3"/>
  <c r="AZ23" i="3" s="1"/>
  <c r="BA19" i="3"/>
  <c r="AZ19" i="3" s="1"/>
  <c r="BQ5" i="3"/>
  <c r="F28" i="6" s="1"/>
  <c r="BA574" i="3"/>
  <c r="AZ574" i="3" s="1"/>
  <c r="BA567" i="3"/>
  <c r="BA553" i="3"/>
  <c r="AZ553" i="3" s="1"/>
  <c r="BA546" i="3"/>
  <c r="AZ546" i="3" s="1"/>
  <c r="BA541" i="3"/>
  <c r="AZ541" i="3" s="1"/>
  <c r="BA535" i="3"/>
  <c r="AZ535" i="3" s="1"/>
  <c r="BA521" i="3"/>
  <c r="AZ521" i="3" s="1"/>
  <c r="BA514" i="3"/>
  <c r="AZ514" i="3" s="1"/>
  <c r="BA509" i="3"/>
  <c r="AZ509" i="3" s="1"/>
  <c r="BA503" i="3"/>
  <c r="BA489" i="3"/>
  <c r="AZ489" i="3" s="1"/>
  <c r="BA482" i="3"/>
  <c r="AZ482" i="3" s="1"/>
  <c r="BA477" i="3"/>
  <c r="AZ477" i="3" s="1"/>
  <c r="BA471" i="3"/>
  <c r="AZ471" i="3" s="1"/>
  <c r="BA457" i="3"/>
  <c r="BA450" i="3"/>
  <c r="AZ450" i="3" s="1"/>
  <c r="BA445" i="3"/>
  <c r="BA439" i="3"/>
  <c r="AZ439" i="3" s="1"/>
  <c r="BA425" i="3"/>
  <c r="AZ425" i="3" s="1"/>
  <c r="BA418" i="3"/>
  <c r="AZ418" i="3" s="1"/>
  <c r="BA399" i="3"/>
  <c r="AZ399" i="3" s="1"/>
  <c r="BA395" i="3"/>
  <c r="AZ395" i="3" s="1"/>
  <c r="BA369" i="3"/>
  <c r="AZ369" i="3" s="1"/>
  <c r="BA358" i="3"/>
  <c r="AZ358" i="3" s="1"/>
  <c r="BA354" i="3"/>
  <c r="AZ354" i="3" s="1"/>
  <c r="BA335" i="3"/>
  <c r="AZ335" i="3" s="1"/>
  <c r="BA331" i="3"/>
  <c r="AZ331" i="3" s="1"/>
  <c r="BA305" i="3"/>
  <c r="AZ305" i="3" s="1"/>
  <c r="BA294" i="3"/>
  <c r="AZ294" i="3" s="1"/>
  <c r="BA290" i="3"/>
  <c r="AZ290" i="3" s="1"/>
  <c r="BA271" i="3"/>
  <c r="AZ271" i="3" s="1"/>
  <c r="BA267" i="3"/>
  <c r="AZ267" i="3" s="1"/>
  <c r="BA241" i="3"/>
  <c r="AZ241" i="3" s="1"/>
  <c r="BA230" i="3"/>
  <c r="BA226" i="3"/>
  <c r="AZ226" i="3" s="1"/>
  <c r="BA207" i="3"/>
  <c r="AZ207" i="3" s="1"/>
  <c r="BA203" i="3"/>
  <c r="AZ203" i="3" s="1"/>
  <c r="BA181" i="3"/>
  <c r="AZ181" i="3" s="1"/>
  <c r="BA177" i="3"/>
  <c r="AZ177" i="3" s="1"/>
  <c r="BA166" i="3"/>
  <c r="AZ166" i="3" s="1"/>
  <c r="BA162" i="3"/>
  <c r="AZ162" i="3" s="1"/>
  <c r="BA143" i="3"/>
  <c r="AZ143" i="3" s="1"/>
  <c r="BA139" i="3"/>
  <c r="AZ139" i="3" s="1"/>
  <c r="BA113" i="3"/>
  <c r="BA102" i="3"/>
  <c r="AZ102" i="3" s="1"/>
  <c r="BA98" i="3"/>
  <c r="AZ98" i="3" s="1"/>
  <c r="BA79" i="3"/>
  <c r="AZ79" i="3" s="1"/>
  <c r="BA75" i="3"/>
  <c r="AZ75" i="3" s="1"/>
  <c r="BA53" i="3"/>
  <c r="AZ53" i="3" s="1"/>
  <c r="BA49" i="3"/>
  <c r="AZ49" i="3" s="1"/>
  <c r="BA38" i="3"/>
  <c r="AZ38" i="3" s="1"/>
  <c r="BA34" i="3"/>
  <c r="BA15" i="3"/>
  <c r="AZ15" i="3" s="1"/>
  <c r="BS5" i="3"/>
  <c r="BA577" i="3"/>
  <c r="AZ577" i="3" s="1"/>
  <c r="BA564" i="3"/>
  <c r="AZ564" i="3" s="1"/>
  <c r="BA542" i="3"/>
  <c r="AZ542" i="3" s="1"/>
  <c r="BA532" i="3"/>
  <c r="AZ532" i="3" s="1"/>
  <c r="BA510" i="3"/>
  <c r="AZ510" i="3" s="1"/>
  <c r="BA500" i="3"/>
  <c r="AZ500" i="3" s="1"/>
  <c r="BA478" i="3"/>
  <c r="AZ478" i="3" s="1"/>
  <c r="BA468" i="3"/>
  <c r="BA446" i="3"/>
  <c r="AZ446" i="3" s="1"/>
  <c r="BA414" i="3"/>
  <c r="AZ414" i="3" s="1"/>
  <c r="BA410" i="3"/>
  <c r="AZ410" i="3" s="1"/>
  <c r="BA391" i="3"/>
  <c r="AZ391" i="3" s="1"/>
  <c r="BA387" i="3"/>
  <c r="AZ387" i="3" s="1"/>
  <c r="BA361" i="3"/>
  <c r="AZ361" i="3" s="1"/>
  <c r="BA350" i="3"/>
  <c r="AZ350" i="3" s="1"/>
  <c r="BA346" i="3"/>
  <c r="AZ346" i="3" s="1"/>
  <c r="BA327" i="3"/>
  <c r="AZ327" i="3" s="1"/>
  <c r="BA323" i="3"/>
  <c r="AZ323" i="3" s="1"/>
  <c r="BA297" i="3"/>
  <c r="AZ297" i="3" s="1"/>
  <c r="BA286" i="3"/>
  <c r="BA282" i="3"/>
  <c r="AZ282" i="3" s="1"/>
  <c r="BA263" i="3"/>
  <c r="AZ263" i="3" s="1"/>
  <c r="BA259" i="3"/>
  <c r="AZ259" i="3" s="1"/>
  <c r="BA233" i="3"/>
  <c r="AZ233" i="3" s="1"/>
  <c r="BA222" i="3"/>
  <c r="AZ222" i="3" s="1"/>
  <c r="BA218" i="3"/>
  <c r="AZ218" i="3" s="1"/>
  <c r="BA199" i="3"/>
  <c r="AZ199" i="3" s="1"/>
  <c r="BA195" i="3"/>
  <c r="BA173" i="3"/>
  <c r="AZ173" i="3" s="1"/>
  <c r="BA169" i="3"/>
  <c r="BA158" i="3"/>
  <c r="BA154" i="3"/>
  <c r="AZ154" i="3" s="1"/>
  <c r="BA135" i="3"/>
  <c r="AZ135" i="3" s="1"/>
  <c r="BA131" i="3"/>
  <c r="AZ131" i="3" s="1"/>
  <c r="BA109" i="3"/>
  <c r="BA105" i="3"/>
  <c r="BA94" i="3"/>
  <c r="BA90" i="3"/>
  <c r="AZ90" i="3" s="1"/>
  <c r="BA71" i="3"/>
  <c r="AZ71" i="3" s="1"/>
  <c r="BA67" i="3"/>
  <c r="AZ67" i="3" s="1"/>
  <c r="BA41" i="3"/>
  <c r="AZ41" i="3" s="1"/>
  <c r="BA30" i="3"/>
  <c r="AZ30" i="3" s="1"/>
  <c r="BA26" i="3"/>
  <c r="K6" i="1"/>
  <c r="C1" i="73"/>
  <c r="B8" i="70"/>
  <c r="B10" i="70"/>
  <c r="F63" i="67"/>
  <c r="C62" i="67" s="1"/>
  <c r="C34" i="67"/>
  <c r="B13" i="70"/>
  <c r="N59" i="15"/>
  <c r="M59" i="15"/>
  <c r="L58" i="15"/>
  <c r="L59" i="15"/>
  <c r="B12" i="70"/>
  <c r="B11" i="70"/>
  <c r="B9" i="70"/>
  <c r="B7" i="70"/>
  <c r="J20" i="67"/>
  <c r="F69" i="67"/>
  <c r="J53" i="67"/>
  <c r="I54" i="67"/>
  <c r="J57" i="67"/>
  <c r="J55" i="67" s="1"/>
  <c r="J58" i="67" s="1"/>
  <c r="Q50" i="67" s="1"/>
  <c r="L56" i="67"/>
  <c r="N59" i="67"/>
  <c r="L58" i="67"/>
  <c r="M59" i="67"/>
  <c r="L59" i="67"/>
  <c r="F66" i="67"/>
  <c r="C27" i="67"/>
  <c r="F64" i="67"/>
  <c r="F50" i="67"/>
  <c r="M7" i="67"/>
  <c r="M17" i="67" s="1"/>
  <c r="F71" i="67"/>
  <c r="F51" i="67"/>
  <c r="Q71" i="15"/>
  <c r="F68" i="67"/>
  <c r="Q71" i="67"/>
  <c r="F65" i="67"/>
  <c r="B20" i="31"/>
  <c r="B21" i="31" s="1"/>
  <c r="F31" i="67"/>
  <c r="C6" i="67"/>
  <c r="F68" i="15"/>
  <c r="M7" i="15"/>
  <c r="M17" i="15" s="1"/>
  <c r="F50" i="15"/>
  <c r="C6" i="15"/>
  <c r="F31" i="15"/>
  <c r="C29" i="68"/>
  <c r="D27" i="68" s="1"/>
  <c r="C47" i="68"/>
  <c r="D45" i="68" s="1"/>
  <c r="F45" i="68"/>
  <c r="C9" i="68"/>
  <c r="C27" i="15"/>
  <c r="F66" i="15"/>
  <c r="F65" i="15"/>
  <c r="F64" i="15"/>
  <c r="F51" i="15"/>
  <c r="J57" i="15"/>
  <c r="J55" i="15" s="1"/>
  <c r="J58" i="15" s="1"/>
  <c r="Q50" i="15" s="1"/>
  <c r="J53" i="15"/>
  <c r="L56" i="15"/>
  <c r="L60" i="15"/>
  <c r="I54" i="15"/>
  <c r="L57" i="15"/>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M29" i="15"/>
  <c r="F43" i="15"/>
  <c r="C16" i="67"/>
  <c r="C14" i="67"/>
  <c r="F71" i="15" l="1"/>
  <c r="AZ468" i="3"/>
  <c r="AZ158" i="3"/>
  <c r="P27" i="43"/>
  <c r="B70" i="39" s="1"/>
  <c r="C23" i="43"/>
  <c r="P26" i="43"/>
  <c r="P28" i="43"/>
  <c r="B66" i="40" s="1"/>
  <c r="P25" i="43"/>
  <c r="O23" i="43"/>
  <c r="A1" i="79"/>
  <c r="P29" i="43"/>
  <c r="C49" i="67"/>
  <c r="C61" i="67" s="1"/>
  <c r="AZ169" i="3"/>
  <c r="C13" i="12"/>
  <c r="C48" i="69"/>
  <c r="C30" i="69"/>
  <c r="C77" i="9"/>
  <c r="C74" i="9" s="1"/>
  <c r="C24" i="12"/>
  <c r="C28" i="67"/>
  <c r="AZ165" i="3"/>
  <c r="T12" i="43"/>
  <c r="V12" i="43" s="1"/>
  <c r="T3" i="43"/>
  <c r="V3" i="43" s="1"/>
  <c r="C33" i="43"/>
  <c r="T2" i="43"/>
  <c r="V2" i="43" s="1"/>
  <c r="T11" i="43"/>
  <c r="V11" i="43" s="1"/>
  <c r="T6" i="43"/>
  <c r="V6" i="43" s="1"/>
  <c r="T7" i="43"/>
  <c r="V7" i="43" s="1"/>
  <c r="T8" i="43"/>
  <c r="V8" i="43" s="1"/>
  <c r="T16" i="43"/>
  <c r="V16" i="43" s="1"/>
  <c r="T4" i="43"/>
  <c r="V4" i="43" s="1"/>
  <c r="R25" i="77"/>
  <c r="R5" i="77" s="1"/>
  <c r="U5" i="77" s="1"/>
  <c r="J6" i="67"/>
  <c r="J18" i="67" s="1"/>
  <c r="J1" i="73"/>
  <c r="L1" i="73"/>
  <c r="AZ94" i="3"/>
  <c r="AZ283" i="3"/>
  <c r="AZ254" i="3"/>
  <c r="C69" i="39"/>
  <c r="D67" i="39"/>
  <c r="AZ86" i="3"/>
  <c r="AZ278" i="3"/>
  <c r="AZ559" i="3"/>
  <c r="AZ491" i="3"/>
  <c r="Q66" i="71"/>
  <c r="Q65" i="71"/>
  <c r="S28" i="71"/>
  <c r="B27" i="71"/>
  <c r="B26" i="71" s="1"/>
  <c r="D31" i="71"/>
  <c r="C32" i="71"/>
  <c r="AB26" i="37"/>
  <c r="U26" i="37"/>
  <c r="S14" i="21"/>
  <c r="AA14" i="21"/>
  <c r="W25" i="36"/>
  <c r="AC25" i="36"/>
  <c r="AC24" i="35"/>
  <c r="W24" i="35"/>
  <c r="W33" i="40"/>
  <c r="AC33" i="40"/>
  <c r="S31" i="33"/>
  <c r="AA31" i="33"/>
  <c r="AC35" i="35"/>
  <c r="W35" i="35"/>
  <c r="U14" i="33"/>
  <c r="AB14" i="33"/>
  <c r="F7" i="36"/>
  <c r="C36" i="11"/>
  <c r="J6" i="15"/>
  <c r="J18" i="15" s="1"/>
  <c r="AZ105" i="3"/>
  <c r="AZ503" i="3"/>
  <c r="AZ567" i="3"/>
  <c r="AZ133" i="3"/>
  <c r="P67" i="71"/>
  <c r="E66" i="71"/>
  <c r="AC12" i="36"/>
  <c r="W12" i="36"/>
  <c r="S12" i="36"/>
  <c r="AA12" i="36"/>
  <c r="S25" i="36"/>
  <c r="AA25" i="36"/>
  <c r="S24" i="35"/>
  <c r="AA24" i="35"/>
  <c r="AC31" i="33"/>
  <c r="W31" i="33"/>
  <c r="AC47" i="34"/>
  <c r="W47" i="34"/>
  <c r="AZ34" i="3"/>
  <c r="M6" i="1"/>
  <c r="Q16" i="1"/>
  <c r="H16" i="1"/>
  <c r="G16" i="1"/>
  <c r="AZ195" i="3"/>
  <c r="AZ286" i="3"/>
  <c r="AZ230" i="3"/>
  <c r="AZ26" i="3"/>
  <c r="AZ109" i="3"/>
  <c r="AZ445" i="3"/>
  <c r="AZ234" i="3"/>
  <c r="AZ137" i="3"/>
  <c r="AZ198" i="3"/>
  <c r="AZ270" i="3"/>
  <c r="BA5" i="3"/>
  <c r="E27" i="6" s="1"/>
  <c r="BL5" i="3"/>
  <c r="N67" i="71"/>
  <c r="B66" i="71"/>
  <c r="S12" i="71"/>
  <c r="B11" i="71"/>
  <c r="B10" i="71" s="1"/>
  <c r="B9" i="71" s="1"/>
  <c r="B8" i="71" s="1"/>
  <c r="B7" i="71" s="1"/>
  <c r="B6" i="71" s="1"/>
  <c r="B5" i="71" s="1"/>
  <c r="AB44" i="21"/>
  <c r="U44" i="21"/>
  <c r="AB40" i="40"/>
  <c r="U40" i="40"/>
  <c r="U12" i="21"/>
  <c r="AB12" i="21"/>
  <c r="AB11" i="39"/>
  <c r="U11" i="39"/>
  <c r="I118" i="43"/>
  <c r="J118" i="43" s="1"/>
  <c r="K118" i="43" s="1"/>
  <c r="L118" i="43" s="1"/>
  <c r="M118" i="43" s="1"/>
  <c r="B121" i="43"/>
  <c r="C121" i="43" s="1"/>
  <c r="I121" i="43"/>
  <c r="J121" i="43" s="1"/>
  <c r="K121" i="43" s="1"/>
  <c r="L121" i="43" s="1"/>
  <c r="M121" i="43" s="1"/>
  <c r="B120" i="43"/>
  <c r="C120" i="43" s="1"/>
  <c r="I122" i="43"/>
  <c r="J122" i="43" s="1"/>
  <c r="K122" i="43" s="1"/>
  <c r="L122" i="43" s="1"/>
  <c r="M122" i="43" s="1"/>
  <c r="D119" i="43"/>
  <c r="E119" i="43" s="1"/>
  <c r="F119" i="43" s="1"/>
  <c r="G119" i="43" s="1"/>
  <c r="H119" i="43" s="1"/>
  <c r="D120" i="43"/>
  <c r="E120" i="43" s="1"/>
  <c r="F120" i="43" s="1"/>
  <c r="G120" i="43" s="1"/>
  <c r="H120" i="43" s="1"/>
  <c r="D122" i="43"/>
  <c r="E122" i="43" s="1"/>
  <c r="F122" i="43" s="1"/>
  <c r="G122" i="43" s="1"/>
  <c r="H122" i="43" s="1"/>
  <c r="B118" i="43"/>
  <c r="C118" i="43" s="1"/>
  <c r="B119" i="43"/>
  <c r="C119" i="43" s="1"/>
  <c r="B122" i="43"/>
  <c r="C122" i="43" s="1"/>
  <c r="I120" i="43"/>
  <c r="J120" i="43" s="1"/>
  <c r="K120" i="43" s="1"/>
  <c r="L120" i="43" s="1"/>
  <c r="M120" i="43" s="1"/>
  <c r="D121" i="43"/>
  <c r="E121" i="43" s="1"/>
  <c r="F121" i="43" s="1"/>
  <c r="G121" i="43"/>
  <c r="H121" i="43" s="1"/>
  <c r="I119" i="43"/>
  <c r="J119" i="43" s="1"/>
  <c r="K119" i="43" s="1"/>
  <c r="L119" i="43" s="1"/>
  <c r="M119" i="43" s="1"/>
  <c r="D118" i="43"/>
  <c r="E118" i="43" s="1"/>
  <c r="F118" i="43" s="1"/>
  <c r="G118" i="43" s="1"/>
  <c r="H118" i="43" s="1"/>
  <c r="AB47" i="34"/>
  <c r="U47" i="34"/>
  <c r="F46" i="36"/>
  <c r="G46" i="36" s="1"/>
  <c r="H46" i="36" s="1"/>
  <c r="I46" i="36" s="1"/>
  <c r="J46" i="36" s="1"/>
  <c r="K46" i="36" s="1"/>
  <c r="L46" i="36" s="1"/>
  <c r="M46" i="36" s="1"/>
  <c r="N46" i="36" s="1"/>
  <c r="O46" i="36" s="1"/>
  <c r="E557" i="3"/>
  <c r="W24" i="36"/>
  <c r="AC24" i="36"/>
  <c r="C60" i="71"/>
  <c r="D59" i="71"/>
  <c r="AA40" i="40"/>
  <c r="S40" i="40"/>
  <c r="AC12" i="21"/>
  <c r="W12" i="21"/>
  <c r="AA9" i="34"/>
  <c r="S9" i="34"/>
  <c r="B38" i="72"/>
  <c r="D20" i="53"/>
  <c r="B40" i="72" s="1"/>
  <c r="AA47" i="34"/>
  <c r="S47" i="34"/>
  <c r="H65" i="40"/>
  <c r="I63" i="40"/>
  <c r="W7" i="21"/>
  <c r="AC7" i="21"/>
  <c r="V48" i="21" s="1"/>
  <c r="I48" i="21" s="1"/>
  <c r="AZ457" i="3"/>
  <c r="AZ78" i="3"/>
  <c r="AZ22" i="3"/>
  <c r="E527" i="3"/>
  <c r="AC23" i="35"/>
  <c r="W23" i="35"/>
  <c r="T64" i="71"/>
  <c r="D64" i="71"/>
  <c r="T52" i="71"/>
  <c r="D52" i="71"/>
  <c r="AA12" i="34"/>
  <c r="S12" i="34"/>
  <c r="AA12" i="21"/>
  <c r="S12" i="21"/>
  <c r="AC9" i="34"/>
  <c r="W9" i="34"/>
  <c r="AB38" i="40"/>
  <c r="U38" i="40"/>
  <c r="AB7" i="37"/>
  <c r="T42" i="37" s="1"/>
  <c r="G42" i="37" s="1"/>
  <c r="U7" i="37"/>
  <c r="AC13" i="34"/>
  <c r="W13" i="34"/>
  <c r="S7" i="21"/>
  <c r="AA7" i="21"/>
  <c r="R48" i="21" s="1"/>
  <c r="G48" i="35"/>
  <c r="AA7" i="33"/>
  <c r="R48" i="33" s="1"/>
  <c r="S7" i="33"/>
  <c r="AB7" i="21"/>
  <c r="T48" i="21" s="1"/>
  <c r="G48" i="21" s="1"/>
  <c r="U7" i="21"/>
  <c r="E461" i="3"/>
  <c r="C56" i="71"/>
  <c r="D55" i="71"/>
  <c r="C66" i="71"/>
  <c r="O67" i="71"/>
  <c r="D67" i="71"/>
  <c r="AC26" i="37"/>
  <c r="W26" i="37"/>
  <c r="AB26" i="33"/>
  <c r="U26" i="33"/>
  <c r="T16" i="71"/>
  <c r="C15" i="71"/>
  <c r="D16" i="71"/>
  <c r="U16" i="71" s="1"/>
  <c r="AC38" i="40"/>
  <c r="W38" i="40"/>
  <c r="AC7" i="37"/>
  <c r="V42" i="37" s="1"/>
  <c r="I42" i="37" s="1"/>
  <c r="W7" i="37"/>
  <c r="U13" i="34"/>
  <c r="AB13" i="34"/>
  <c r="AB7" i="33"/>
  <c r="T48" i="33" s="1"/>
  <c r="G48" i="33" s="1"/>
  <c r="U7" i="33"/>
  <c r="W7" i="33"/>
  <c r="AC7" i="33"/>
  <c r="V48" i="33" s="1"/>
  <c r="I48" i="33" s="1"/>
  <c r="AA7" i="37"/>
  <c r="R42" i="37" s="1"/>
  <c r="S7" i="37"/>
  <c r="AZ142" i="3"/>
  <c r="AZ5" i="3" s="1"/>
  <c r="C48" i="68"/>
  <c r="F48" i="68"/>
  <c r="C30" i="68"/>
  <c r="G5" i="3"/>
  <c r="B3" i="3" s="1"/>
  <c r="E583" i="3" s="1"/>
  <c r="E477" i="3"/>
  <c r="G24" i="78"/>
  <c r="F25" i="78"/>
  <c r="G25" i="78" s="1"/>
  <c r="C44" i="71"/>
  <c r="D43" i="71"/>
  <c r="E11" i="71"/>
  <c r="E10" i="71" s="1"/>
  <c r="E9" i="71" s="1"/>
  <c r="E8" i="71" s="1"/>
  <c r="E7" i="71" s="1"/>
  <c r="E6" i="71" s="1"/>
  <c r="E5" i="71" s="1"/>
  <c r="V12" i="71"/>
  <c r="U39" i="40"/>
  <c r="AB39" i="40"/>
  <c r="AC26" i="33"/>
  <c r="W26" i="33"/>
  <c r="AC27" i="37"/>
  <c r="W27" i="37"/>
  <c r="AA33" i="36"/>
  <c r="S33" i="36"/>
  <c r="AA38" i="40"/>
  <c r="S38" i="40"/>
  <c r="E59" i="34"/>
  <c r="D5" i="43"/>
  <c r="AA13" i="34"/>
  <c r="S13" i="34"/>
  <c r="E28" i="6"/>
  <c r="F30" i="6"/>
  <c r="F31" i="6" s="1"/>
  <c r="E511" i="3"/>
  <c r="AZ113" i="3"/>
  <c r="AZ73" i="3"/>
  <c r="E567" i="3"/>
  <c r="D79" i="71"/>
  <c r="C78" i="71"/>
  <c r="D78" i="71" s="1"/>
  <c r="C36" i="71"/>
  <c r="D35" i="71"/>
  <c r="C39" i="71"/>
  <c r="D38" i="71"/>
  <c r="AB25" i="37"/>
  <c r="U25" i="37"/>
  <c r="AB14" i="21"/>
  <c r="U14" i="21"/>
  <c r="U27" i="37"/>
  <c r="AB27" i="37"/>
  <c r="U33" i="40"/>
  <c r="AB33" i="40"/>
  <c r="AB33" i="36"/>
  <c r="U33" i="36"/>
  <c r="AB35" i="35"/>
  <c r="U35" i="35"/>
  <c r="AC14" i="33"/>
  <c r="W14" i="33"/>
  <c r="C31" i="12"/>
  <c r="C49" i="15"/>
  <c r="C61" i="15" s="1"/>
  <c r="C15" i="67"/>
  <c r="C18" i="67"/>
  <c r="F1" i="15"/>
  <c r="Q52" i="15"/>
  <c r="F59" i="15"/>
  <c r="C32" i="67"/>
  <c r="C33" i="67"/>
  <c r="Q74" i="67"/>
  <c r="Q61" i="67"/>
  <c r="Q60" i="67"/>
  <c r="Q73" i="67"/>
  <c r="Q52" i="67"/>
  <c r="F1" i="67"/>
  <c r="Q61" i="15"/>
  <c r="Q74" i="15"/>
  <c r="Q66" i="15"/>
  <c r="Q57" i="15"/>
  <c r="C32" i="15"/>
  <c r="F59" i="67"/>
  <c r="Q73" i="15"/>
  <c r="Q60" i="15"/>
  <c r="C16" i="15"/>
  <c r="AE6" i="1"/>
  <c r="J19" i="15" l="1"/>
  <c r="J19" i="67"/>
  <c r="AY6" i="3"/>
  <c r="E3" i="6"/>
  <c r="H48" i="35"/>
  <c r="N65" i="71"/>
  <c r="N66" i="71"/>
  <c r="E471" i="3"/>
  <c r="E493" i="3"/>
  <c r="I53" i="33"/>
  <c r="J53" i="33" s="1"/>
  <c r="I52" i="33"/>
  <c r="J52" i="33" s="1"/>
  <c r="E543" i="3"/>
  <c r="C40" i="71"/>
  <c r="D39" i="71"/>
  <c r="E447" i="3"/>
  <c r="C39" i="43"/>
  <c r="C38" i="43"/>
  <c r="C40" i="43"/>
  <c r="C37" i="43"/>
  <c r="C41" i="43"/>
  <c r="C42" i="43"/>
  <c r="G53" i="21"/>
  <c r="H53" i="21" s="1"/>
  <c r="G52" i="21"/>
  <c r="H52" i="21" s="1"/>
  <c r="E541" i="3"/>
  <c r="E463" i="3"/>
  <c r="T44" i="71"/>
  <c r="D44" i="71"/>
  <c r="I52" i="21"/>
  <c r="J52" i="21" s="1"/>
  <c r="I46" i="37"/>
  <c r="J46" i="37" s="1"/>
  <c r="G52" i="33"/>
  <c r="H52" i="33" s="1"/>
  <c r="G53" i="33"/>
  <c r="H53" i="33" s="1"/>
  <c r="C14" i="71"/>
  <c r="D15" i="71"/>
  <c r="D66" i="71"/>
  <c r="O65" i="71"/>
  <c r="O66" i="71"/>
  <c r="T60" i="71"/>
  <c r="D60" i="71"/>
  <c r="E495" i="3"/>
  <c r="F10" i="39"/>
  <c r="F10" i="40"/>
  <c r="H10" i="39"/>
  <c r="J10" i="39"/>
  <c r="J10" i="40"/>
  <c r="H10" i="40"/>
  <c r="T36" i="71"/>
  <c r="D36" i="71"/>
  <c r="R49" i="33"/>
  <c r="E48" i="33"/>
  <c r="D116" i="43"/>
  <c r="T15" i="43"/>
  <c r="V15" i="43" s="1"/>
  <c r="T14" i="43"/>
  <c r="V14" i="43" s="1"/>
  <c r="G46" i="37"/>
  <c r="H46" i="37" s="1"/>
  <c r="G47" i="37"/>
  <c r="H47" i="37" s="1"/>
  <c r="E519" i="3"/>
  <c r="E31" i="6"/>
  <c r="F28" i="12"/>
  <c r="C29" i="12" s="1"/>
  <c r="D28" i="12" s="1"/>
  <c r="F27" i="11"/>
  <c r="F27" i="69"/>
  <c r="P65" i="71"/>
  <c r="P66" i="71"/>
  <c r="T5" i="43"/>
  <c r="V5" i="43" s="1"/>
  <c r="T13" i="43"/>
  <c r="V13" i="43" s="1"/>
  <c r="T56" i="71"/>
  <c r="D56" i="71"/>
  <c r="E551" i="3"/>
  <c r="E535" i="3"/>
  <c r="E573" i="3"/>
  <c r="J63" i="40"/>
  <c r="I65" i="40"/>
  <c r="E503" i="3"/>
  <c r="E33" i="43"/>
  <c r="C34" i="43"/>
  <c r="E34" i="43" s="1"/>
  <c r="H7" i="36"/>
  <c r="E42" i="37"/>
  <c r="R43" i="37"/>
  <c r="E67" i="39"/>
  <c r="D69" i="39"/>
  <c r="F59" i="34"/>
  <c r="K14" i="1"/>
  <c r="K19" i="6"/>
  <c r="E30" i="6"/>
  <c r="K25" i="6"/>
  <c r="M25" i="6" s="1"/>
  <c r="I25" i="6" s="1"/>
  <c r="S25" i="6" s="1"/>
  <c r="K20" i="6"/>
  <c r="M20" i="6" s="1"/>
  <c r="I20" i="6" s="1"/>
  <c r="S20" i="6" s="1"/>
  <c r="K26" i="6"/>
  <c r="M26" i="6" s="1"/>
  <c r="I26" i="6" s="1"/>
  <c r="S26" i="6" s="1"/>
  <c r="K21" i="6"/>
  <c r="M21" i="6" s="1"/>
  <c r="I21" i="6" s="1"/>
  <c r="S21" i="6" s="1"/>
  <c r="K23" i="6"/>
  <c r="M23" i="6" s="1"/>
  <c r="I23" i="6" s="1"/>
  <c r="S23" i="6" s="1"/>
  <c r="K22" i="6"/>
  <c r="M22" i="6" s="1"/>
  <c r="I22" i="6" s="1"/>
  <c r="S22" i="6" s="1"/>
  <c r="K24" i="6"/>
  <c r="M24" i="6" s="1"/>
  <c r="I24" i="6" s="1"/>
  <c r="S24" i="6" s="1"/>
  <c r="E510" i="3"/>
  <c r="E539" i="3"/>
  <c r="E148" i="3"/>
  <c r="E199" i="3"/>
  <c r="R6" i="3"/>
  <c r="E442"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52" i="3"/>
  <c r="E157" i="3"/>
  <c r="E313" i="3"/>
  <c r="E529" i="3"/>
  <c r="E438" i="3"/>
  <c r="W6" i="3"/>
  <c r="E54" i="3"/>
  <c r="E208" i="3"/>
  <c r="E357" i="3"/>
  <c r="E93" i="3"/>
  <c r="E196" i="3"/>
  <c r="E145" i="3"/>
  <c r="U6" i="3"/>
  <c r="E548" i="3"/>
  <c r="E367" i="3"/>
  <c r="E403" i="3"/>
  <c r="E71" i="3"/>
  <c r="E126" i="3"/>
  <c r="E291" i="3"/>
  <c r="AM6" i="3"/>
  <c r="E217" i="3"/>
  <c r="E268" i="3"/>
  <c r="AJ6" i="3"/>
  <c r="E579" i="3"/>
  <c r="E247" i="3"/>
  <c r="E311" i="3"/>
  <c r="E570" i="3"/>
  <c r="AB6" i="3"/>
  <c r="E335" i="3"/>
  <c r="E189" i="3"/>
  <c r="E278" i="3"/>
  <c r="E172" i="3"/>
  <c r="E135" i="3"/>
  <c r="E263" i="3"/>
  <c r="AI6" i="3"/>
  <c r="E246" i="3"/>
  <c r="E16" i="3"/>
  <c r="E223" i="3"/>
  <c r="E105" i="3"/>
  <c r="E486" i="3"/>
  <c r="E422" i="3"/>
  <c r="E490" i="3"/>
  <c r="AH6" i="3"/>
  <c r="E498" i="3"/>
  <c r="E483" i="3"/>
  <c r="E25" i="3"/>
  <c r="E178" i="3"/>
  <c r="E202" i="3"/>
  <c r="E226" i="3"/>
  <c r="E346" i="3"/>
  <c r="E372" i="3"/>
  <c r="E60" i="3"/>
  <c r="E540" i="3"/>
  <c r="E15" i="3"/>
  <c r="E79" i="3"/>
  <c r="E100" i="3"/>
  <c r="E137" i="3"/>
  <c r="E234" i="3"/>
  <c r="E299" i="3"/>
  <c r="E325" i="3"/>
  <c r="AQ6" i="3"/>
  <c r="E36" i="3"/>
  <c r="E123" i="3"/>
  <c r="E289" i="3"/>
  <c r="E364" i="3"/>
  <c r="E20" i="3"/>
  <c r="E176" i="3"/>
  <c r="E265" i="3"/>
  <c r="E524" i="3"/>
  <c r="E77" i="3"/>
  <c r="E181" i="3"/>
  <c r="AK6" i="3"/>
  <c r="E277" i="3"/>
  <c r="K6" i="3"/>
  <c r="E472" i="3"/>
  <c r="E465" i="3"/>
  <c r="E577" i="3"/>
  <c r="E454" i="3"/>
  <c r="E146" i="3"/>
  <c r="E214" i="3"/>
  <c r="E362" i="3"/>
  <c r="E227" i="3"/>
  <c r="E89" i="3"/>
  <c r="E327" i="3"/>
  <c r="AO6" i="3"/>
  <c r="E400" i="3"/>
  <c r="E489" i="3"/>
  <c r="E70" i="3"/>
  <c r="E211" i="3"/>
  <c r="E377" i="3"/>
  <c r="E109" i="3"/>
  <c r="E536" i="3"/>
  <c r="E212" i="3"/>
  <c r="E286" i="3"/>
  <c r="E499" i="3"/>
  <c r="E502" i="3"/>
  <c r="E466" i="3"/>
  <c r="E430" i="3"/>
  <c r="E255" i="3"/>
  <c r="AP6" i="3"/>
  <c r="E517" i="3"/>
  <c r="E491" i="3"/>
  <c r="E37" i="3"/>
  <c r="E152" i="3"/>
  <c r="E192" i="3"/>
  <c r="E241" i="3"/>
  <c r="E363" i="3"/>
  <c r="E389" i="3"/>
  <c r="E76" i="3"/>
  <c r="E409" i="3"/>
  <c r="E425" i="3"/>
  <c r="E64" i="3"/>
  <c r="E103" i="3"/>
  <c r="E142" i="3"/>
  <c r="E267" i="3"/>
  <c r="E300" i="3"/>
  <c r="E310" i="3"/>
  <c r="E23" i="3"/>
  <c r="E67" i="3"/>
  <c r="E144" i="3"/>
  <c r="E233" i="3"/>
  <c r="E381" i="3"/>
  <c r="E63" i="3"/>
  <c r="E118" i="3"/>
  <c r="E283" i="3"/>
  <c r="E513" i="3"/>
  <c r="E122" i="3"/>
  <c r="E136" i="3"/>
  <c r="E306" i="3"/>
  <c r="E224" i="3"/>
  <c r="E532" i="3"/>
  <c r="E474" i="3"/>
  <c r="E288" i="3"/>
  <c r="E537" i="3"/>
  <c r="E475" i="3"/>
  <c r="E168" i="3"/>
  <c r="E257" i="3"/>
  <c r="E14" i="3"/>
  <c r="E397" i="3"/>
  <c r="E207" i="3"/>
  <c r="E379" i="3"/>
  <c r="E411" i="3"/>
  <c r="E432" i="3"/>
  <c r="E547" i="3"/>
  <c r="E546" i="3"/>
  <c r="E92" i="3"/>
  <c r="E272" i="3"/>
  <c r="E317" i="3"/>
  <c r="E29" i="3"/>
  <c r="E526" i="3"/>
  <c r="E322" i="3"/>
  <c r="E431" i="3"/>
  <c r="E201" i="3"/>
  <c r="E514" i="3"/>
  <c r="M6" i="3"/>
  <c r="E387" i="3"/>
  <c r="E215" i="3"/>
  <c r="E69" i="3"/>
  <c r="E563" i="3"/>
  <c r="E445" i="3"/>
  <c r="E161" i="3"/>
  <c r="E191" i="3"/>
  <c r="E423" i="3"/>
  <c r="E385" i="3"/>
  <c r="X6"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62" i="3"/>
  <c r="E450" i="3"/>
  <c r="E72" i="3"/>
  <c r="E150" i="3"/>
  <c r="E351" i="3"/>
  <c r="E31" i="3"/>
  <c r="E549" i="3"/>
  <c r="E271" i="3"/>
  <c r="E585" i="3"/>
  <c r="E478" i="3"/>
  <c r="AS6" i="3"/>
  <c r="E162" i="3"/>
  <c r="E210" i="3"/>
  <c r="E384" i="3"/>
  <c r="E441" i="3"/>
  <c r="E125" i="3"/>
  <c r="E553" i="3"/>
  <c r="N6" i="3"/>
  <c r="E516" i="3"/>
  <c r="E396" i="3"/>
  <c r="E151" i="3"/>
  <c r="V6" i="3"/>
  <c r="E320" i="3"/>
  <c r="E230" i="3"/>
  <c r="E114" i="3"/>
  <c r="E395" i="3"/>
  <c r="E550" i="3"/>
  <c r="E290" i="3"/>
  <c r="E245" i="3"/>
  <c r="E578" i="3"/>
  <c r="E293" i="3"/>
  <c r="E116" i="3"/>
  <c r="E552" i="3"/>
  <c r="E451" i="3"/>
  <c r="E419" i="3"/>
  <c r="E90" i="3"/>
  <c r="E281" i="3"/>
  <c r="L6" i="3"/>
  <c r="E521" i="3"/>
  <c r="E190" i="3"/>
  <c r="E339" i="3"/>
  <c r="E24" i="3"/>
  <c r="E370" i="3"/>
  <c r="E218" i="3"/>
  <c r="E568" i="3"/>
  <c r="E45" i="3"/>
  <c r="E424" i="3"/>
  <c r="E106" i="3"/>
  <c r="E318" i="3"/>
  <c r="E164" i="3"/>
  <c r="E345" i="3"/>
  <c r="E27" i="3"/>
  <c r="E30" i="3"/>
  <c r="E175" i="3"/>
  <c r="E305" i="3"/>
  <c r="E574" i="3"/>
  <c r="E97" i="3"/>
  <c r="E380" i="3"/>
  <c r="E185" i="3"/>
  <c r="E213" i="3"/>
  <c r="E221" i="3"/>
  <c r="E382" i="3"/>
  <c r="E124" i="3"/>
  <c r="E173" i="3"/>
  <c r="E427" i="3"/>
  <c r="E459" i="3"/>
  <c r="E452" i="3"/>
  <c r="E108" i="3"/>
  <c r="E297" i="3"/>
  <c r="E42" i="3"/>
  <c r="E195" i="3"/>
  <c r="E383" i="3"/>
  <c r="E112" i="3"/>
  <c r="E341" i="3"/>
  <c r="E287" i="3"/>
  <c r="E238" i="3"/>
  <c r="E205" i="3"/>
  <c r="E393" i="3"/>
  <c r="E464" i="3"/>
  <c r="E556" i="3"/>
  <c r="E401" i="3"/>
  <c r="E131" i="3"/>
  <c r="E332" i="3"/>
  <c r="E43" i="3"/>
  <c r="E47" i="3"/>
  <c r="E220" i="3"/>
  <c r="E392" i="3"/>
  <c r="E87" i="3"/>
  <c r="E102" i="3"/>
  <c r="E365" i="3"/>
  <c r="E545" i="3"/>
  <c r="AE6" i="3"/>
  <c r="E171" i="3"/>
  <c r="AG6" i="3"/>
  <c r="E531" i="3"/>
  <c r="E186" i="3"/>
  <c r="E530" i="3"/>
  <c r="E328" i="3"/>
  <c r="E359" i="3"/>
  <c r="E358" i="3"/>
  <c r="E538" i="3"/>
  <c r="E231" i="3"/>
  <c r="E304" i="3"/>
  <c r="E17" i="3"/>
  <c r="E61" i="3"/>
  <c r="E586" i="3"/>
  <c r="E399" i="3"/>
  <c r="E165" i="3"/>
  <c r="E507" i="3"/>
  <c r="E566" i="3"/>
  <c r="E420" i="3"/>
  <c r="E119" i="3"/>
  <c r="E348" i="3"/>
  <c r="E75" i="3"/>
  <c r="E38" i="3"/>
  <c r="E248" i="3"/>
  <c r="E522" i="3"/>
  <c r="E147" i="3"/>
  <c r="E51" i="3"/>
  <c r="E326" i="3"/>
  <c r="E128" i="3"/>
  <c r="E560" i="3"/>
  <c r="E571" i="3"/>
  <c r="E256" i="3"/>
  <c r="E368" i="3"/>
  <c r="E515" i="3"/>
  <c r="E444" i="3"/>
  <c r="E273" i="3"/>
  <c r="E501" i="3"/>
  <c r="E239" i="3"/>
  <c r="E337" i="3"/>
  <c r="E533" i="3"/>
  <c r="E418" i="3"/>
  <c r="E298" i="3"/>
  <c r="E415" i="3"/>
  <c r="E134" i="3"/>
  <c r="AN6" i="3"/>
  <c r="AA6" i="3"/>
  <c r="E188" i="3"/>
  <c r="AD6" i="3"/>
  <c r="AC6" i="3" s="1"/>
  <c r="E512" i="3"/>
  <c r="J6" i="3"/>
  <c r="E436" i="3"/>
  <c r="E139" i="3"/>
  <c r="E333" i="3"/>
  <c r="E488" i="3"/>
  <c r="E78" i="3"/>
  <c r="E219" i="3"/>
  <c r="E584" i="3"/>
  <c r="E232" i="3"/>
  <c r="E62" i="3"/>
  <c r="E373" i="3"/>
  <c r="E437" i="3"/>
  <c r="E468" i="3"/>
  <c r="E279" i="3"/>
  <c r="E236" i="3"/>
  <c r="E485" i="3"/>
  <c r="E476" i="3"/>
  <c r="E316" i="3"/>
  <c r="E343" i="3"/>
  <c r="E388" i="3"/>
  <c r="E285" i="3"/>
  <c r="S6" i="3"/>
  <c r="E407" i="3"/>
  <c r="E216" i="3"/>
  <c r="E528" i="3"/>
  <c r="E302" i="3"/>
  <c r="E159" i="3"/>
  <c r="E518" i="3"/>
  <c r="E347" i="3"/>
  <c r="E140" i="3"/>
  <c r="E564" i="3"/>
  <c r="E398" i="3"/>
  <c r="E13" i="3"/>
  <c r="E40" i="3"/>
  <c r="E155" i="3"/>
  <c r="E356" i="3"/>
  <c r="E473" i="3"/>
  <c r="E65" i="3"/>
  <c r="E235" i="3"/>
  <c r="E52" i="3"/>
  <c r="E250" i="3"/>
  <c r="E113" i="3"/>
  <c r="E101" i="3"/>
  <c r="E228" i="3"/>
  <c r="E458" i="3"/>
  <c r="E496" i="3"/>
  <c r="E315" i="3"/>
  <c r="E269" i="3"/>
  <c r="P6" i="3"/>
  <c r="E28" i="3"/>
  <c r="E331" i="3"/>
  <c r="E153" i="3"/>
  <c r="O6" i="3"/>
  <c r="E229" i="3"/>
  <c r="AR6" i="3"/>
  <c r="E439" i="3"/>
  <c r="E169" i="3"/>
  <c r="E565" i="3"/>
  <c r="E117" i="3"/>
  <c r="E301" i="3"/>
  <c r="E149" i="3"/>
  <c r="T6" i="3"/>
  <c r="E440" i="3"/>
  <c r="E582" i="3"/>
  <c r="E104" i="3"/>
  <c r="E242" i="3"/>
  <c r="E375" i="3"/>
  <c r="E482" i="3"/>
  <c r="E170" i="3"/>
  <c r="E266" i="3"/>
  <c r="E86" i="3"/>
  <c r="E340" i="3"/>
  <c r="E154" i="3"/>
  <c r="E83" i="3"/>
  <c r="E253" i="3"/>
  <c r="E120" i="3"/>
  <c r="E406" i="3"/>
  <c r="E433" i="3"/>
  <c r="E394" i="3"/>
  <c r="E204" i="3"/>
  <c r="E414" i="3"/>
  <c r="E88" i="3"/>
  <c r="E572" i="3"/>
  <c r="E53" i="3"/>
  <c r="E282" i="3"/>
  <c r="E555" i="3"/>
  <c r="E143" i="3"/>
  <c r="E523" i="3"/>
  <c r="E338" i="3"/>
  <c r="E130" i="3"/>
  <c r="E183" i="3"/>
  <c r="E180" i="3"/>
  <c r="E303" i="3"/>
  <c r="E353" i="3"/>
  <c r="E141" i="3"/>
  <c r="E194" i="3"/>
  <c r="E587" i="3"/>
  <c r="E505" i="3"/>
  <c r="E508" i="3"/>
  <c r="E294" i="3"/>
  <c r="E402" i="3"/>
  <c r="E376" i="3"/>
  <c r="E456" i="3"/>
  <c r="E386" i="3"/>
  <c r="E73" i="3"/>
  <c r="E182" i="3"/>
  <c r="E569" i="3"/>
  <c r="E237" i="3"/>
  <c r="E280" i="3"/>
  <c r="E111" i="3"/>
  <c r="E261" i="3"/>
  <c r="E460" i="3"/>
  <c r="E50" i="3"/>
  <c r="E74" i="3"/>
  <c r="E44" i="3"/>
  <c r="E270" i="3"/>
  <c r="E260" i="3"/>
  <c r="E49" i="3"/>
  <c r="E115" i="3"/>
  <c r="E222" i="3"/>
  <c r="E85" i="3"/>
  <c r="E32" i="3"/>
  <c r="E390" i="3"/>
  <c r="E361" i="3"/>
  <c r="E336" i="3"/>
  <c r="E276" i="3"/>
  <c r="E133" i="3"/>
  <c r="E107" i="3"/>
  <c r="E319" i="3"/>
  <c r="E561" i="3"/>
  <c r="E91" i="3"/>
  <c r="E166" i="3"/>
  <c r="E410" i="3"/>
  <c r="E58" i="3"/>
  <c r="E330" i="3"/>
  <c r="Z6" i="3"/>
  <c r="E366" i="3"/>
  <c r="E506" i="3"/>
  <c r="E254" i="3"/>
  <c r="E329" i="3"/>
  <c r="E18" i="3"/>
  <c r="E457" i="3"/>
  <c r="E558" i="3"/>
  <c r="E426" i="3"/>
  <c r="E321" i="3"/>
  <c r="E350" i="3"/>
  <c r="R49" i="21"/>
  <c r="E48" i="21"/>
  <c r="I53" i="21" s="1"/>
  <c r="J53" i="21" s="1"/>
  <c r="E525" i="3"/>
  <c r="S7" i="36"/>
  <c r="AA7" i="36"/>
  <c r="R36" i="36" s="1"/>
  <c r="E455" i="3"/>
  <c r="E575" i="3"/>
  <c r="E559" i="3"/>
  <c r="J7" i="36"/>
  <c r="E487" i="3"/>
  <c r="E479" i="3"/>
  <c r="T32" i="71"/>
  <c r="D32" i="71"/>
  <c r="E509" i="3"/>
  <c r="T10" i="43"/>
  <c r="V10" i="43" s="1"/>
  <c r="T9" i="43"/>
  <c r="V9" i="43" s="1"/>
  <c r="C19" i="67"/>
  <c r="C20" i="67" s="1"/>
  <c r="C31" i="67"/>
  <c r="J17" i="67"/>
  <c r="D6" i="73"/>
  <c r="F5" i="73"/>
  <c r="F6" i="73"/>
  <c r="D4" i="73"/>
  <c r="D3" i="73"/>
  <c r="F3" i="73"/>
  <c r="F4" i="73"/>
  <c r="D7" i="73"/>
  <c r="D5" i="73"/>
  <c r="F41" i="15"/>
  <c r="F7" i="73"/>
  <c r="I1" i="73" l="1"/>
  <c r="B39" i="1" s="1"/>
  <c r="C49" i="21"/>
  <c r="C48" i="21"/>
  <c r="W10" i="39"/>
  <c r="AC10" i="39"/>
  <c r="G42" i="43"/>
  <c r="I42" i="43" s="1"/>
  <c r="E42" i="43"/>
  <c r="T40" i="71"/>
  <c r="D40" i="71"/>
  <c r="R37" i="36"/>
  <c r="E36" i="36"/>
  <c r="H6" i="3"/>
  <c r="E6" i="3" s="1"/>
  <c r="F67" i="39"/>
  <c r="E69" i="39"/>
  <c r="J65" i="40"/>
  <c r="K63" i="40"/>
  <c r="AB10" i="39"/>
  <c r="U10" i="39"/>
  <c r="E41" i="43"/>
  <c r="G41" i="43"/>
  <c r="I41" i="43" s="1"/>
  <c r="C43" i="37"/>
  <c r="C42" i="37"/>
  <c r="C47" i="69"/>
  <c r="D45" i="69" s="1"/>
  <c r="F45" i="69"/>
  <c r="C29" i="69"/>
  <c r="D27" i="69" s="1"/>
  <c r="E52" i="33"/>
  <c r="F52" i="33" s="1"/>
  <c r="E53" i="33"/>
  <c r="F53" i="33" s="1"/>
  <c r="S10" i="40"/>
  <c r="AA10" i="40"/>
  <c r="G37" i="43"/>
  <c r="I37" i="43" s="1"/>
  <c r="C31" i="43" s="1"/>
  <c r="E37" i="43"/>
  <c r="I48" i="35"/>
  <c r="S6" i="1"/>
  <c r="M19" i="6"/>
  <c r="K27" i="6"/>
  <c r="E47" i="37"/>
  <c r="F47" i="37" s="1"/>
  <c r="E46" i="37"/>
  <c r="F46" i="37" s="1"/>
  <c r="C29" i="11"/>
  <c r="D27" i="11" s="1"/>
  <c r="C47" i="11"/>
  <c r="D45" i="11" s="1"/>
  <c r="C48" i="33"/>
  <c r="C49" i="33"/>
  <c r="AA10" i="39"/>
  <c r="S10" i="39"/>
  <c r="C13" i="71"/>
  <c r="D14" i="71"/>
  <c r="E40" i="43"/>
  <c r="G40" i="43"/>
  <c r="I40" i="43" s="1"/>
  <c r="M14" i="1"/>
  <c r="K16" i="1"/>
  <c r="B29" i="1" s="1"/>
  <c r="C34" i="69"/>
  <c r="AB7" i="36"/>
  <c r="T36" i="36" s="1"/>
  <c r="G36" i="36" s="1"/>
  <c r="U7" i="36"/>
  <c r="G38" i="43"/>
  <c r="I38" i="43" s="1"/>
  <c r="E38" i="43"/>
  <c r="G39" i="43"/>
  <c r="I39" i="43" s="1"/>
  <c r="E39" i="43"/>
  <c r="G59" i="34"/>
  <c r="C30" i="43"/>
  <c r="AB10" i="40"/>
  <c r="U10" i="40"/>
  <c r="B4" i="77"/>
  <c r="D3" i="34"/>
  <c r="B3" i="34" s="1"/>
  <c r="D3" i="37"/>
  <c r="B3" i="37" s="1"/>
  <c r="D19" i="11"/>
  <c r="C19" i="11" s="1"/>
  <c r="D37" i="11"/>
  <c r="C37" i="11" s="1"/>
  <c r="D3" i="33"/>
  <c r="B3" i="33" s="1"/>
  <c r="C17" i="4"/>
  <c r="B4" i="52" s="1"/>
  <c r="B43" i="72" s="1"/>
  <c r="D3" i="21"/>
  <c r="B3" i="21" s="1"/>
  <c r="E6" i="6"/>
  <c r="D14" i="12"/>
  <c r="W7" i="36"/>
  <c r="AC7" i="36"/>
  <c r="V36" i="36" s="1"/>
  <c r="I36" i="36" s="1"/>
  <c r="E53" i="21"/>
  <c r="F53" i="21" s="1"/>
  <c r="E52" i="21"/>
  <c r="F52" i="21" s="1"/>
  <c r="W10" i="40"/>
  <c r="AC10" i="40"/>
  <c r="I47" i="37"/>
  <c r="J47" i="37" s="1"/>
  <c r="D3" i="6"/>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1" i="3"/>
  <c r="AY67" i="3"/>
  <c r="AY115" i="3"/>
  <c r="AY58" i="3"/>
  <c r="AY335" i="3"/>
  <c r="AY261" i="3"/>
  <c r="AY460" i="3"/>
  <c r="AY260" i="3"/>
  <c r="AY420" i="3"/>
  <c r="BE6" i="3"/>
  <c r="AY44" i="3"/>
  <c r="AY133" i="3"/>
  <c r="AY262" i="3"/>
  <c r="AY360" i="3"/>
  <c r="AY166" i="3"/>
  <c r="AY388" i="3"/>
  <c r="AY475" i="3"/>
  <c r="BQ6" i="3"/>
  <c r="BG6" i="3"/>
  <c r="AY387" i="3"/>
  <c r="AY481" i="3"/>
  <c r="AY53" i="3"/>
  <c r="AY302" i="3"/>
  <c r="AY40" i="3"/>
  <c r="AY340" i="3"/>
  <c r="BN6" i="3"/>
  <c r="AY49" i="3"/>
  <c r="AY455" i="3"/>
  <c r="AY478" i="3"/>
  <c r="AY20" i="3"/>
  <c r="AY270" i="3"/>
  <c r="AY29" i="3"/>
  <c r="AY480" i="3"/>
  <c r="AY552" i="3"/>
  <c r="AY80" i="3"/>
  <c r="AY266" i="3"/>
  <c r="AY328" i="3"/>
  <c r="AY410" i="3"/>
  <c r="AY542" i="3"/>
  <c r="AY46" i="3"/>
  <c r="AY249" i="3"/>
  <c r="AY456" i="3"/>
  <c r="AY91" i="3"/>
  <c r="AY128" i="3"/>
  <c r="AY338" i="3"/>
  <c r="AY511" i="3"/>
  <c r="AY218" i="3"/>
  <c r="AY17" i="3"/>
  <c r="AY203" i="3"/>
  <c r="AY440" i="3"/>
  <c r="AY272" i="3"/>
  <c r="AY567" i="3"/>
  <c r="AY337" i="3"/>
  <c r="AY515" i="3"/>
  <c r="AY301" i="3"/>
  <c r="AY547" i="3"/>
  <c r="AY351" i="3"/>
  <c r="AY66" i="3"/>
  <c r="AY59" i="3"/>
  <c r="AY297" i="3"/>
  <c r="AY50" i="3"/>
  <c r="AY284" i="3"/>
  <c r="AY441" i="3"/>
  <c r="AY372" i="3"/>
  <c r="AY401" i="3"/>
  <c r="AY97" i="3"/>
  <c r="AY190" i="3"/>
  <c r="AY125" i="3"/>
  <c r="AY230" i="3"/>
  <c r="AY109" i="3"/>
  <c r="AY145" i="3"/>
  <c r="AY353" i="3"/>
  <c r="AY462" i="3"/>
  <c r="AY585" i="3"/>
  <c r="AY501" i="3"/>
  <c r="AY425" i="3"/>
  <c r="AY404" i="3"/>
  <c r="AY36" i="3"/>
  <c r="AY222" i="3"/>
  <c r="AY150" i="3"/>
  <c r="AY467" i="3"/>
  <c r="AY508" i="3"/>
  <c r="AY191" i="3"/>
  <c r="AY497" i="3"/>
  <c r="AY573" i="3"/>
  <c r="AY193" i="3"/>
  <c r="AY227" i="3"/>
  <c r="AY275" i="3"/>
  <c r="AY438" i="3"/>
  <c r="AY584" i="3"/>
  <c r="AY189" i="3"/>
  <c r="AY223" i="3"/>
  <c r="AY487" i="3"/>
  <c r="AY579" i="3"/>
  <c r="AY570" i="3"/>
  <c r="AY192" i="3"/>
  <c r="AY378" i="3"/>
  <c r="AY437" i="3"/>
  <c r="AY55" i="3"/>
  <c r="AY241" i="3"/>
  <c r="AY490" i="3"/>
  <c r="AY586" i="3"/>
  <c r="AY336" i="3"/>
  <c r="AY575" i="3"/>
  <c r="AY120" i="3"/>
  <c r="AY576" i="3"/>
  <c r="AY375" i="3"/>
  <c r="AY21" i="3"/>
  <c r="AY476" i="3"/>
  <c r="AY545" i="3"/>
  <c r="AY248" i="3"/>
  <c r="AY54" i="3"/>
  <c r="AY477" i="3"/>
  <c r="AY34" i="3"/>
  <c r="AY42" i="3"/>
  <c r="AY236" i="3"/>
  <c r="AY196" i="3"/>
  <c r="AY252" i="3"/>
  <c r="AY106" i="3"/>
  <c r="AY358" i="3"/>
  <c r="AY513" i="3"/>
  <c r="AY77" i="3"/>
  <c r="AY201" i="3"/>
  <c r="AY299" i="3"/>
  <c r="AY392" i="3"/>
  <c r="AY104" i="3"/>
  <c r="AY114" i="3"/>
  <c r="AY317" i="3"/>
  <c r="AY446" i="3"/>
  <c r="AY561" i="3"/>
  <c r="AY171" i="3"/>
  <c r="AY526" i="3"/>
  <c r="AY535" i="3"/>
  <c r="AY178" i="3"/>
  <c r="AY211" i="3"/>
  <c r="AY130" i="3"/>
  <c r="AY422" i="3"/>
  <c r="AY532" i="3"/>
  <c r="AY132" i="3"/>
  <c r="AY229" i="3"/>
  <c r="AY540" i="3"/>
  <c r="AY162" i="3"/>
  <c r="AY368" i="3"/>
  <c r="AY258" i="3"/>
  <c r="AY406" i="3"/>
  <c r="AY582" i="3"/>
  <c r="AY158" i="3"/>
  <c r="AY380" i="3"/>
  <c r="AY468" i="3"/>
  <c r="AY506" i="3"/>
  <c r="AY531" i="3"/>
  <c r="AY167" i="3"/>
  <c r="AY376" i="3"/>
  <c r="AY405" i="3"/>
  <c r="AY27" i="3"/>
  <c r="AY256" i="3"/>
  <c r="AY459" i="3"/>
  <c r="AY205" i="3"/>
  <c r="AY304" i="3"/>
  <c r="AY537" i="3"/>
  <c r="AY216" i="3"/>
  <c r="AY102" i="3"/>
  <c r="AY339" i="3"/>
  <c r="AY113" i="3"/>
  <c r="AY445" i="3"/>
  <c r="BP6" i="3"/>
  <c r="AY315" i="3"/>
  <c r="AY200" i="3"/>
  <c r="AY443" i="3"/>
  <c r="AY311" i="3"/>
  <c r="AY251" i="3"/>
  <c r="BC6" i="3"/>
  <c r="AY522" i="3"/>
  <c r="AY23" i="3"/>
  <c r="AY188" i="3"/>
  <c r="AY225" i="3"/>
  <c r="AY160" i="3"/>
  <c r="AY209" i="3"/>
  <c r="AY26" i="3"/>
  <c r="AY327" i="3"/>
  <c r="AY549" i="3"/>
  <c r="AY61" i="3"/>
  <c r="AY185" i="3"/>
  <c r="AY283" i="3"/>
  <c r="AY397" i="3"/>
  <c r="AY73" i="3"/>
  <c r="AY295" i="3"/>
  <c r="AY348" i="3"/>
  <c r="AY430" i="3"/>
  <c r="AY534" i="3"/>
  <c r="AY90" i="3"/>
  <c r="AY199" i="3"/>
  <c r="AY562" i="3"/>
  <c r="AY146" i="3"/>
  <c r="AY389" i="3"/>
  <c r="AY279" i="3"/>
  <c r="AY435" i="3"/>
  <c r="AY556" i="3"/>
  <c r="AY31" i="3"/>
  <c r="AY212" i="3"/>
  <c r="AY539" i="3"/>
  <c r="AY173" i="3"/>
  <c r="AY507" i="3"/>
  <c r="AY215" i="3"/>
  <c r="AY419" i="3"/>
  <c r="AY519" i="3"/>
  <c r="AY169" i="3"/>
  <c r="AY369" i="3"/>
  <c r="AY453" i="3"/>
  <c r="AY499" i="3"/>
  <c r="AY578" i="3"/>
  <c r="AY135" i="3"/>
  <c r="AY362" i="3"/>
  <c r="AY558" i="3"/>
  <c r="AY184" i="3"/>
  <c r="AY224" i="3"/>
  <c r="AY448" i="3"/>
  <c r="AY142" i="3"/>
  <c r="AY492" i="3"/>
  <c r="AY530" i="3"/>
  <c r="AY383" i="3"/>
  <c r="AY39" i="3"/>
  <c r="AY322" i="3"/>
  <c r="AY267" i="3"/>
  <c r="AY434" i="3"/>
  <c r="AY493" i="3"/>
  <c r="AY485" i="3"/>
  <c r="AY164" i="3"/>
  <c r="AY400" i="3"/>
  <c r="AY124" i="3"/>
  <c r="AY366" i="3"/>
  <c r="AY123" i="3"/>
  <c r="AY245" i="3"/>
  <c r="AY541" i="3"/>
  <c r="AY149" i="3"/>
  <c r="AY231" i="3"/>
  <c r="AY357" i="3"/>
  <c r="AY210" i="3"/>
  <c r="AY510" i="3"/>
  <c r="AY85" i="3"/>
  <c r="AY57" i="3"/>
  <c r="AY516" i="3"/>
  <c r="AY489" i="3"/>
  <c r="AY255" i="3"/>
  <c r="AY483" i="3"/>
  <c r="AY65" i="3"/>
  <c r="AY509" i="3"/>
  <c r="AY280" i="3"/>
  <c r="AY587" i="3"/>
  <c r="AY235" i="3"/>
  <c r="AY288" i="3"/>
  <c r="AY151" i="3"/>
  <c r="AY95" i="3"/>
  <c r="AY207" i="3"/>
  <c r="AY281" i="3"/>
  <c r="AY382" i="3"/>
  <c r="AY139" i="3"/>
  <c r="AY318" i="3"/>
  <c r="AY180" i="3"/>
  <c r="AY342" i="3"/>
  <c r="AY569" i="3"/>
  <c r="AY45" i="3"/>
  <c r="AY170" i="3"/>
  <c r="AY263" i="3"/>
  <c r="AY381" i="3"/>
  <c r="AY41" i="3"/>
  <c r="AY274" i="3"/>
  <c r="AY332" i="3"/>
  <c r="AY414" i="3"/>
  <c r="AY546" i="3"/>
  <c r="AY163" i="3"/>
  <c r="AY269" i="3"/>
  <c r="AY555" i="3"/>
  <c r="AY157" i="3"/>
  <c r="AY365" i="3"/>
  <c r="AY393" i="3"/>
  <c r="AY403" i="3"/>
  <c r="AY496" i="3"/>
  <c r="AY220" i="3"/>
  <c r="AY379" i="3"/>
  <c r="AY105" i="3"/>
  <c r="AY291" i="3"/>
  <c r="BB6" i="3"/>
  <c r="AY370" i="3"/>
  <c r="AY572" i="3"/>
  <c r="AY101" i="3"/>
  <c r="AY137" i="3"/>
  <c r="AY329" i="3"/>
  <c r="AY458" i="3"/>
  <c r="AY14" i="3"/>
  <c r="AY94" i="3"/>
  <c r="AY127" i="3"/>
  <c r="AY331" i="3"/>
  <c r="AY512" i="3"/>
  <c r="AY179" i="3"/>
  <c r="AY213" i="3"/>
  <c r="AY550" i="3"/>
  <c r="AY122" i="3"/>
  <c r="AY461" i="3"/>
  <c r="AY110" i="3"/>
  <c r="AY347" i="3"/>
  <c r="AY22" i="3"/>
  <c r="AY413" i="3"/>
  <c r="AY250" i="3"/>
  <c r="AY402" i="3"/>
  <c r="AY19" i="3"/>
  <c r="AY451" i="3"/>
  <c r="AY143" i="3"/>
  <c r="BT6" i="3"/>
  <c r="AY581" i="3"/>
  <c r="AY326" i="3"/>
  <c r="AY426" i="3"/>
  <c r="AY159" i="3"/>
  <c r="AY30" i="3"/>
  <c r="AY361" i="3"/>
  <c r="AY386" i="3"/>
  <c r="AY176" i="3"/>
  <c r="AY276" i="3"/>
  <c r="AY371" i="3"/>
  <c r="AY289" i="3"/>
  <c r="AY473" i="3"/>
  <c r="AY300" i="3"/>
  <c r="AY310" i="3"/>
  <c r="AY533" i="3"/>
  <c r="AY76" i="3"/>
  <c r="AY154" i="3"/>
  <c r="AY247" i="3"/>
  <c r="AY374" i="3"/>
  <c r="AY56" i="3"/>
  <c r="AY242" i="3"/>
  <c r="AY316" i="3"/>
  <c r="AY398" i="3"/>
  <c r="AY495" i="3"/>
  <c r="AY75" i="3"/>
  <c r="AY244" i="3"/>
  <c r="AY89" i="3"/>
  <c r="AY126" i="3"/>
  <c r="BS6" i="3"/>
  <c r="AY356" i="3"/>
  <c r="AY525" i="3"/>
  <c r="AY577" i="3"/>
  <c r="AY350" i="3"/>
  <c r="AY343" i="3"/>
  <c r="AY100" i="3"/>
  <c r="AY286" i="3"/>
  <c r="AY88" i="3"/>
  <c r="AY341" i="3"/>
  <c r="AY536" i="3"/>
  <c r="AY96" i="3"/>
  <c r="AY129" i="3"/>
  <c r="AY313" i="3"/>
  <c r="AY442" i="3"/>
  <c r="AY524" i="3"/>
  <c r="AY63" i="3"/>
  <c r="AY285" i="3"/>
  <c r="AY346" i="3"/>
  <c r="BL6" i="3"/>
  <c r="AY148" i="3"/>
  <c r="AY391" i="3"/>
  <c r="BD6" i="3"/>
  <c r="AY298" i="3"/>
  <c r="AY450" i="3"/>
  <c r="AY47" i="3"/>
  <c r="AY330" i="3"/>
  <c r="AY195" i="3"/>
  <c r="AY15" i="3"/>
  <c r="AY396" i="3"/>
  <c r="AY415" i="3"/>
  <c r="AY172" i="3"/>
  <c r="AY408" i="3"/>
  <c r="AY293" i="3"/>
  <c r="AY111" i="3"/>
  <c r="AY470" i="3"/>
  <c r="AY452" i="3"/>
  <c r="AY60" i="3"/>
  <c r="AY197" i="3"/>
  <c r="AY491" i="3"/>
  <c r="AY237" i="3"/>
  <c r="AY117" i="3"/>
  <c r="AY325" i="3"/>
  <c r="AY81" i="3"/>
  <c r="AY52" i="3"/>
  <c r="AY72" i="3"/>
  <c r="AY520" i="3"/>
  <c r="AY344" i="3"/>
  <c r="AY78" i="3"/>
  <c r="AY466" i="3"/>
  <c r="AY323" i="3"/>
  <c r="AY399" i="3"/>
  <c r="AY482" i="3"/>
  <c r="AY583" i="3"/>
  <c r="AY500" i="3"/>
  <c r="AY206" i="3"/>
  <c r="AY16" i="3"/>
  <c r="AY82" i="3"/>
  <c r="AY194" i="3"/>
  <c r="AY86" i="3"/>
  <c r="AY208" i="3"/>
  <c r="AY118" i="3"/>
  <c r="AY444" i="3"/>
  <c r="AY412" i="3"/>
  <c r="AY234" i="3"/>
  <c r="AY273" i="3"/>
  <c r="AY64" i="3"/>
  <c r="AY198" i="3"/>
  <c r="AY168" i="3"/>
  <c r="AY246" i="3"/>
  <c r="AY447" i="3"/>
  <c r="AY557" i="3"/>
  <c r="AY312" i="3"/>
  <c r="AY306" i="3"/>
  <c r="AY479" i="3"/>
  <c r="BJ6" i="3"/>
  <c r="AY204" i="3"/>
  <c r="AY407" i="3"/>
  <c r="AY551" i="3"/>
  <c r="AY428" i="3"/>
  <c r="AY177" i="3"/>
  <c r="AY254" i="3"/>
  <c r="AY238" i="3"/>
  <c r="BR6" i="3"/>
  <c r="AY321" i="3"/>
  <c r="AY265" i="3"/>
  <c r="AY395" i="3"/>
  <c r="AY377" i="3"/>
  <c r="AY186" i="3"/>
  <c r="AY121" i="3"/>
  <c r="AY35" i="3"/>
  <c r="AY564" i="3"/>
  <c r="AY71" i="3"/>
  <c r="AY504" i="3"/>
  <c r="AY433" i="3"/>
  <c r="AY457" i="3"/>
  <c r="AY308" i="3"/>
  <c r="AY449" i="3"/>
  <c r="AY221" i="3"/>
  <c r="AY140" i="3"/>
  <c r="AY307" i="3"/>
  <c r="AY553" i="3"/>
  <c r="BM6" i="3"/>
  <c r="AY559" i="3"/>
  <c r="AY543" i="3"/>
  <c r="AY424" i="3"/>
  <c r="AY528" i="3"/>
  <c r="AY68" i="3"/>
  <c r="F69" i="15"/>
  <c r="C36" i="77"/>
  <c r="D39" i="77" s="1"/>
  <c r="C26" i="67"/>
  <c r="G1" i="73"/>
  <c r="D10" i="68"/>
  <c r="E6" i="76"/>
  <c r="C17" i="15"/>
  <c r="B40" i="1" l="1"/>
  <c r="F22" i="11" s="1"/>
  <c r="C24" i="11" s="1"/>
  <c r="D19" i="68"/>
  <c r="D37" i="68" s="1"/>
  <c r="C37" i="68" s="1"/>
  <c r="C10" i="68"/>
  <c r="C8" i="68" s="1"/>
  <c r="E2" i="76"/>
  <c r="I41" i="36"/>
  <c r="J41" i="36" s="1"/>
  <c r="I40" i="36"/>
  <c r="J40" i="36" s="1"/>
  <c r="C20" i="11"/>
  <c r="C28" i="11"/>
  <c r="C27" i="11" s="1"/>
  <c r="H59" i="34"/>
  <c r="C12" i="71"/>
  <c r="D13" i="71"/>
  <c r="F69" i="39"/>
  <c r="G67" i="39"/>
  <c r="D19" i="6"/>
  <c r="H19" i="6"/>
  <c r="H27" i="6" s="1"/>
  <c r="D25" i="6"/>
  <c r="R25" i="6" s="1"/>
  <c r="D8" i="6"/>
  <c r="H22" i="6"/>
  <c r="D13" i="6"/>
  <c r="D15" i="6"/>
  <c r="D14" i="6"/>
  <c r="H21" i="6"/>
  <c r="D28" i="6"/>
  <c r="D30" i="6" s="1"/>
  <c r="H20" i="6"/>
  <c r="D20" i="6"/>
  <c r="R20" i="6" s="1"/>
  <c r="H25" i="6"/>
  <c r="E61" i="40"/>
  <c r="D26" i="6"/>
  <c r="C18" i="4"/>
  <c r="D6" i="6"/>
  <c r="D23" i="6"/>
  <c r="R23" i="6" s="1"/>
  <c r="D9" i="6"/>
  <c r="D5" i="6"/>
  <c r="D22" i="6"/>
  <c r="R22" i="6" s="1"/>
  <c r="D10" i="6"/>
  <c r="D12" i="6"/>
  <c r="H23" i="6"/>
  <c r="D24" i="6"/>
  <c r="R24" i="6" s="1"/>
  <c r="D29" i="6"/>
  <c r="D21" i="6"/>
  <c r="D11" i="6"/>
  <c r="H24" i="6"/>
  <c r="H26" i="6"/>
  <c r="D17" i="12"/>
  <c r="C17" i="12" s="1"/>
  <c r="C14" i="12"/>
  <c r="C16" i="12" s="1"/>
  <c r="G41" i="36"/>
  <c r="H41" i="36" s="1"/>
  <c r="G40" i="36"/>
  <c r="H40" i="36" s="1"/>
  <c r="D10" i="11"/>
  <c r="C10" i="11" s="1"/>
  <c r="D10" i="69"/>
  <c r="D20" i="12"/>
  <c r="C20" i="12" s="1"/>
  <c r="C18" i="12" s="1"/>
  <c r="C38" i="69"/>
  <c r="C35" i="69"/>
  <c r="I19" i="6"/>
  <c r="M27" i="6"/>
  <c r="E41" i="36"/>
  <c r="F41" i="36" s="1"/>
  <c r="E40" i="36"/>
  <c r="F40" i="36" s="1"/>
  <c r="T6" i="1"/>
  <c r="AR6" i="1"/>
  <c r="S16" i="1"/>
  <c r="AQ6" i="1"/>
  <c r="E6" i="70"/>
  <c r="E2" i="70" s="1"/>
  <c r="C37" i="36"/>
  <c r="C36" i="36"/>
  <c r="T16" i="1"/>
  <c r="M16" i="1"/>
  <c r="J48" i="35"/>
  <c r="K65" i="40"/>
  <c r="L63" i="40"/>
  <c r="F11" i="67"/>
  <c r="F11" i="15"/>
  <c r="M11" i="15"/>
  <c r="J10" i="15" s="1"/>
  <c r="J5" i="15" s="1"/>
  <c r="M11" i="67"/>
  <c r="J10" i="67" s="1"/>
  <c r="J5" i="67" s="1"/>
  <c r="B2" i="43"/>
  <c r="F22" i="68"/>
  <c r="L36" i="43"/>
  <c r="F24" i="67"/>
  <c r="F36" i="77"/>
  <c r="E39" i="77"/>
  <c r="C14" i="15"/>
  <c r="B6" i="76"/>
  <c r="C34" i="68"/>
  <c r="F24" i="15" l="1"/>
  <c r="C24" i="15" s="1"/>
  <c r="F25" i="12"/>
  <c r="C26" i="12" s="1"/>
  <c r="D25" i="12" s="1"/>
  <c r="F22" i="69"/>
  <c r="C26" i="69" s="1"/>
  <c r="D22" i="69" s="1"/>
  <c r="C21" i="12"/>
  <c r="B2" i="76"/>
  <c r="B3" i="76" s="1"/>
  <c r="C35" i="68"/>
  <c r="C38" i="68"/>
  <c r="C18" i="15"/>
  <c r="C15" i="15"/>
  <c r="R26" i="6"/>
  <c r="A10" i="51"/>
  <c r="B9" i="72" s="1"/>
  <c r="A7" i="51"/>
  <c r="B7" i="72" s="1"/>
  <c r="C4" i="52"/>
  <c r="B45" i="72" s="1"/>
  <c r="J24" i="67"/>
  <c r="J26" i="67"/>
  <c r="J29" i="67" s="1"/>
  <c r="I27" i="6"/>
  <c r="L18" i="9"/>
  <c r="S19" i="6"/>
  <c r="S27" i="6" s="1"/>
  <c r="M19" i="9"/>
  <c r="C118" i="9" s="1"/>
  <c r="C14" i="74" s="1"/>
  <c r="B2" i="74" s="1"/>
  <c r="R19" i="6"/>
  <c r="D27" i="6"/>
  <c r="D31" i="6" s="1"/>
  <c r="L19" i="9"/>
  <c r="B3" i="43"/>
  <c r="G69" i="39"/>
  <c r="H67" i="39"/>
  <c r="C23" i="11"/>
  <c r="C26" i="11"/>
  <c r="D22" i="11" s="1"/>
  <c r="C44" i="11"/>
  <c r="D41" i="11" s="1"/>
  <c r="K48" i="35"/>
  <c r="C24" i="67"/>
  <c r="C23" i="67"/>
  <c r="J24" i="15"/>
  <c r="J26" i="15"/>
  <c r="J29" i="15" s="1"/>
  <c r="N16" i="1"/>
  <c r="L16" i="1"/>
  <c r="C34" i="11"/>
  <c r="C10" i="69"/>
  <c r="C8" i="69" s="1"/>
  <c r="C5" i="69" s="1"/>
  <c r="D19" i="69"/>
  <c r="T12" i="71"/>
  <c r="D12" i="71"/>
  <c r="U12" i="71" s="1"/>
  <c r="C11" i="71"/>
  <c r="C25" i="11"/>
  <c r="L65" i="40"/>
  <c r="M63" i="40"/>
  <c r="R21" i="6"/>
  <c r="D16" i="6"/>
  <c r="C22" i="12"/>
  <c r="C30" i="12" s="1"/>
  <c r="C28" i="12" s="1"/>
  <c r="Q36" i="43"/>
  <c r="L37" i="43"/>
  <c r="N36" i="43"/>
  <c r="O36" i="43"/>
  <c r="M36" i="43"/>
  <c r="P36" i="43"/>
  <c r="C10" i="15"/>
  <c r="C5" i="15" s="1"/>
  <c r="C38" i="15" s="1"/>
  <c r="C53" i="15"/>
  <c r="C48" i="15" s="1"/>
  <c r="C44" i="68"/>
  <c r="D41" i="68" s="1"/>
  <c r="C26" i="68"/>
  <c r="D22" i="68" s="1"/>
  <c r="F41" i="68"/>
  <c r="C24" i="68"/>
  <c r="C10" i="67"/>
  <c r="C5" i="67" s="1"/>
  <c r="C38" i="67" s="1"/>
  <c r="C53" i="67"/>
  <c r="C48" i="67" s="1"/>
  <c r="I59" i="34"/>
  <c r="C27" i="12" l="1"/>
  <c r="C25" i="12" s="1"/>
  <c r="C32" i="12" s="1"/>
  <c r="B2" i="12" s="1"/>
  <c r="B3" i="12" s="1"/>
  <c r="F41" i="69"/>
  <c r="C44" i="69"/>
  <c r="D41" i="69" s="1"/>
  <c r="C19" i="15"/>
  <c r="C20" i="15" s="1"/>
  <c r="C26" i="15" s="1"/>
  <c r="C33" i="68"/>
  <c r="C29" i="67"/>
  <c r="C36" i="67" s="1"/>
  <c r="C38" i="11"/>
  <c r="C35" i="11"/>
  <c r="C33" i="11" s="1"/>
  <c r="L48" i="35"/>
  <c r="I6" i="6"/>
  <c r="I5" i="6"/>
  <c r="R6" i="1"/>
  <c r="R27" i="6"/>
  <c r="N63" i="40"/>
  <c r="M65" i="40"/>
  <c r="F50" i="69"/>
  <c r="F50" i="11"/>
  <c r="F50" i="68"/>
  <c r="D8" i="74"/>
  <c r="D7" i="74"/>
  <c r="C23" i="69"/>
  <c r="P37" i="43"/>
  <c r="Q37" i="43"/>
  <c r="N37" i="43"/>
  <c r="M37" i="43"/>
  <c r="O37" i="43"/>
  <c r="C10" i="71"/>
  <c r="D11" i="71"/>
  <c r="C22" i="11"/>
  <c r="C31" i="11" s="1"/>
  <c r="C39" i="68"/>
  <c r="C42" i="68"/>
  <c r="J59" i="34"/>
  <c r="C66" i="15"/>
  <c r="C60" i="15"/>
  <c r="I67" i="39"/>
  <c r="H69" i="39"/>
  <c r="C60" i="67"/>
  <c r="C59" i="67" s="1"/>
  <c r="C66" i="67"/>
  <c r="C19" i="69"/>
  <c r="C24" i="69" s="1"/>
  <c r="D37" i="69"/>
  <c r="C37" i="69" s="1"/>
  <c r="C33" i="69" s="1"/>
  <c r="F35" i="15"/>
  <c r="M21" i="15"/>
  <c r="J14" i="67" l="1"/>
  <c r="C57" i="67"/>
  <c r="C64" i="67" s="1"/>
  <c r="Q49" i="67"/>
  <c r="J59" i="67"/>
  <c r="J60" i="67" s="1"/>
  <c r="Q48" i="67" s="1"/>
  <c r="C13" i="67"/>
  <c r="Q70" i="67" s="1"/>
  <c r="C23" i="15"/>
  <c r="C29" i="15" s="1"/>
  <c r="C36" i="15" s="1"/>
  <c r="J20" i="15"/>
  <c r="J17" i="15" s="1"/>
  <c r="F63" i="15"/>
  <c r="C62" i="15" s="1"/>
  <c r="C59" i="15" s="1"/>
  <c r="C34" i="15"/>
  <c r="C39" i="11"/>
  <c r="C42" i="11"/>
  <c r="C46" i="68"/>
  <c r="C45" i="68" s="1"/>
  <c r="C43" i="68"/>
  <c r="C41" i="68" s="1"/>
  <c r="J67" i="39"/>
  <c r="I69" i="39"/>
  <c r="J13" i="67"/>
  <c r="J23" i="67" s="1"/>
  <c r="J22" i="67"/>
  <c r="C39" i="69"/>
  <c r="C42" i="69"/>
  <c r="O63" i="40"/>
  <c r="O65" i="40" s="1"/>
  <c r="N65" i="40"/>
  <c r="C9" i="71"/>
  <c r="D10" i="71"/>
  <c r="C20" i="69"/>
  <c r="C25" i="69" s="1"/>
  <c r="C22" i="69" s="1"/>
  <c r="R16" i="1"/>
  <c r="M48" i="35"/>
  <c r="K59" i="34"/>
  <c r="C56" i="67" l="1"/>
  <c r="C65" i="67" s="1"/>
  <c r="C58" i="67" s="1"/>
  <c r="C67" i="67" s="1"/>
  <c r="C68" i="67" s="1"/>
  <c r="C71" i="67" s="1"/>
  <c r="J59" i="15"/>
  <c r="J60" i="15" s="1"/>
  <c r="C33" i="15"/>
  <c r="C31" i="15" s="1"/>
  <c r="C13" i="15"/>
  <c r="D13" i="77"/>
  <c r="D12" i="77" s="1"/>
  <c r="D11" i="77" s="1"/>
  <c r="L46" i="67"/>
  <c r="C75" i="67"/>
  <c r="C37" i="67"/>
  <c r="C30" i="67" s="1"/>
  <c r="C39" i="67" s="1"/>
  <c r="C40" i="67" s="1"/>
  <c r="Q49" i="15"/>
  <c r="J14" i="15"/>
  <c r="J13" i="15" s="1"/>
  <c r="J23" i="15" s="1"/>
  <c r="C57" i="15"/>
  <c r="C64" i="15" s="1"/>
  <c r="C49" i="68"/>
  <c r="C51" i="68" s="1"/>
  <c r="J16" i="67"/>
  <c r="J25" i="67" s="1"/>
  <c r="C46" i="69"/>
  <c r="C45" i="69" s="1"/>
  <c r="C43" i="69"/>
  <c r="C41" i="69" s="1"/>
  <c r="C28" i="69"/>
  <c r="C27" i="69" s="1"/>
  <c r="C31" i="69" s="1"/>
  <c r="L46" i="15"/>
  <c r="E2" i="77" s="1"/>
  <c r="Q48" i="15"/>
  <c r="J69" i="39"/>
  <c r="K67" i="39"/>
  <c r="C37" i="15"/>
  <c r="C75" i="15"/>
  <c r="Q70" i="15"/>
  <c r="C56" i="15"/>
  <c r="C65" i="15" s="1"/>
  <c r="C58" i="15" s="1"/>
  <c r="C67" i="15" s="1"/>
  <c r="C68" i="15" s="1"/>
  <c r="L59" i="34"/>
  <c r="C8" i="71"/>
  <c r="D9" i="71"/>
  <c r="C46" i="11"/>
  <c r="C45" i="11" s="1"/>
  <c r="C43" i="11"/>
  <c r="C41" i="11" s="1"/>
  <c r="C49" i="11" s="1"/>
  <c r="C51" i="11" s="1"/>
  <c r="N48" i="35"/>
  <c r="E11" i="77"/>
  <c r="E7" i="77" s="1"/>
  <c r="C27" i="77" s="1"/>
  <c r="D7" i="77"/>
  <c r="C26" i="77" s="1"/>
  <c r="C32" i="77" s="1"/>
  <c r="C38" i="77" s="1"/>
  <c r="C39" i="77" s="1"/>
  <c r="C40" i="77" s="1"/>
  <c r="H7" i="40"/>
  <c r="F7" i="40"/>
  <c r="J7" i="40"/>
  <c r="L51" i="67"/>
  <c r="C30" i="15" l="1"/>
  <c r="C39" i="15" s="1"/>
  <c r="Q69" i="67"/>
  <c r="Q68" i="67" s="1"/>
  <c r="J22" i="15"/>
  <c r="J16" i="15" s="1"/>
  <c r="J25" i="15" s="1"/>
  <c r="C80" i="67"/>
  <c r="C79" i="67" s="1"/>
  <c r="Q67" i="67"/>
  <c r="L57" i="67"/>
  <c r="L60" i="67" s="1"/>
  <c r="Q69" i="15"/>
  <c r="Q68" i="15" s="1"/>
  <c r="C40" i="15"/>
  <c r="C46" i="15" s="1"/>
  <c r="C52" i="11"/>
  <c r="B2" i="11" s="1"/>
  <c r="B3" i="11" s="1"/>
  <c r="B2" i="77"/>
  <c r="C41" i="77"/>
  <c r="K69" i="39"/>
  <c r="L67" i="39"/>
  <c r="D8" i="71"/>
  <c r="C7" i="71"/>
  <c r="O48" i="35"/>
  <c r="H7" i="35"/>
  <c r="M59" i="34"/>
  <c r="N59" i="34" s="1"/>
  <c r="O59" i="34" s="1"/>
  <c r="F7" i="34"/>
  <c r="W7" i="40"/>
  <c r="AC7" i="40"/>
  <c r="V42" i="40" s="1"/>
  <c r="I42" i="40" s="1"/>
  <c r="C71" i="15"/>
  <c r="C45" i="67"/>
  <c r="C46" i="67" s="1"/>
  <c r="Q56" i="67"/>
  <c r="Q47" i="67"/>
  <c r="Q53" i="67" s="1"/>
  <c r="C43" i="67"/>
  <c r="C83" i="67"/>
  <c r="C82" i="67" s="1"/>
  <c r="D2" i="67"/>
  <c r="Q65" i="67"/>
  <c r="S7" i="40"/>
  <c r="AA7" i="40"/>
  <c r="R42" i="40" s="1"/>
  <c r="U7" i="40"/>
  <c r="AB7" i="40"/>
  <c r="T42" i="40" s="1"/>
  <c r="G42" i="40" s="1"/>
  <c r="C80" i="15"/>
  <c r="C79" i="15" s="1"/>
  <c r="C49" i="69"/>
  <c r="C51" i="69" s="1"/>
  <c r="D19" i="9"/>
  <c r="L51" i="15"/>
  <c r="Q67" i="15" l="1"/>
  <c r="D102" i="9"/>
  <c r="D21" i="9"/>
  <c r="U7" i="35"/>
  <c r="AB7" i="35"/>
  <c r="T38" i="35" s="1"/>
  <c r="G38" i="35" s="1"/>
  <c r="R43" i="40"/>
  <c r="E42" i="40"/>
  <c r="J7" i="35"/>
  <c r="F7" i="35"/>
  <c r="D7" i="71"/>
  <c r="C6" i="71"/>
  <c r="C56" i="11"/>
  <c r="C57" i="11" s="1"/>
  <c r="C43" i="15"/>
  <c r="Q56" i="15"/>
  <c r="Q62" i="15" s="1"/>
  <c r="Q65" i="15"/>
  <c r="Q75" i="15" s="1"/>
  <c r="C83" i="15"/>
  <c r="C82" i="15" s="1"/>
  <c r="Q47" i="15"/>
  <c r="Q53" i="15" s="1"/>
  <c r="B2" i="15"/>
  <c r="B3" i="67"/>
  <c r="B2" i="67"/>
  <c r="I46" i="40"/>
  <c r="J46" i="40" s="1"/>
  <c r="I47" i="40"/>
  <c r="J47" i="40" s="1"/>
  <c r="M67" i="39"/>
  <c r="L69" i="39"/>
  <c r="S7" i="34"/>
  <c r="AA7" i="34"/>
  <c r="R49" i="34" s="1"/>
  <c r="C52" i="69"/>
  <c r="B2" i="69" s="1"/>
  <c r="B3" i="69" s="1"/>
  <c r="G47" i="40"/>
  <c r="H47" i="40" s="1"/>
  <c r="G46" i="40"/>
  <c r="H46" i="40" s="1"/>
  <c r="H7" i="34"/>
  <c r="J7" i="34"/>
  <c r="B3" i="77"/>
  <c r="Q57" i="67"/>
  <c r="Q62" i="67" s="1"/>
  <c r="Q66" i="67"/>
  <c r="Q75" i="67" s="1"/>
  <c r="AO6" i="1"/>
  <c r="D20" i="9"/>
  <c r="D103" i="9" l="1"/>
  <c r="B6" i="70"/>
  <c r="B2" i="70" s="1"/>
  <c r="B3" i="70" s="1"/>
  <c r="E47" i="40"/>
  <c r="F47" i="40" s="1"/>
  <c r="E46" i="40"/>
  <c r="F46" i="40" s="1"/>
  <c r="U7" i="34"/>
  <c r="AB7" i="34"/>
  <c r="T49" i="34" s="1"/>
  <c r="G49" i="34" s="1"/>
  <c r="C42" i="40"/>
  <c r="C43" i="40"/>
  <c r="W7" i="34"/>
  <c r="AC7" i="34"/>
  <c r="V49" i="34" s="1"/>
  <c r="I49" i="34" s="1"/>
  <c r="N67" i="39"/>
  <c r="M69" i="39"/>
  <c r="C57" i="69"/>
  <c r="C56" i="69" s="1"/>
  <c r="G42" i="35"/>
  <c r="H42" i="35" s="1"/>
  <c r="R50" i="34"/>
  <c r="E49" i="34"/>
  <c r="AC7" i="35"/>
  <c r="V38" i="35" s="1"/>
  <c r="I38" i="35" s="1"/>
  <c r="G43" i="35" s="1"/>
  <c r="H43" i="35" s="1"/>
  <c r="W7" i="35"/>
  <c r="B3" i="15"/>
  <c r="D6" i="71"/>
  <c r="C5" i="71"/>
  <c r="S7" i="35"/>
  <c r="AA7" i="35"/>
  <c r="R38" i="35" s="1"/>
  <c r="C49" i="34" l="1"/>
  <c r="C50" i="34"/>
  <c r="B54" i="40"/>
  <c r="F54" i="40" s="1"/>
  <c r="B56" i="40"/>
  <c r="F56" i="40" s="1"/>
  <c r="F61" i="40"/>
  <c r="B2" i="40" s="1"/>
  <c r="B3" i="40" s="1"/>
  <c r="B60" i="40"/>
  <c r="F60" i="40" s="1"/>
  <c r="B53" i="40"/>
  <c r="F53" i="40" s="1"/>
  <c r="B57" i="40"/>
  <c r="F57" i="40" s="1"/>
  <c r="B51" i="40"/>
  <c r="F51" i="40" s="1"/>
  <c r="B52" i="40"/>
  <c r="F52" i="40" s="1"/>
  <c r="B58" i="40"/>
  <c r="F58" i="40" s="1"/>
  <c r="B59" i="40"/>
  <c r="F59" i="40" s="1"/>
  <c r="D5" i="71"/>
  <c r="M24" i="43"/>
  <c r="G53" i="34"/>
  <c r="H53" i="34" s="1"/>
  <c r="G54" i="34"/>
  <c r="H54" i="34" s="1"/>
  <c r="R39" i="35"/>
  <c r="E38" i="35"/>
  <c r="N69" i="39"/>
  <c r="O67" i="39"/>
  <c r="O69" i="39" s="1"/>
  <c r="I42" i="35"/>
  <c r="J42" i="35" s="1"/>
  <c r="I43" i="35"/>
  <c r="J43" i="35" s="1"/>
  <c r="I53" i="34"/>
  <c r="J53" i="34" s="1"/>
  <c r="I54" i="34"/>
  <c r="J54" i="34" s="1"/>
  <c r="E54" i="34"/>
  <c r="F54" i="34" s="1"/>
  <c r="E53" i="34"/>
  <c r="F53" i="34" s="1"/>
  <c r="F7" i="39" l="1"/>
  <c r="J7" i="39"/>
  <c r="H7" i="39"/>
  <c r="E42" i="35"/>
  <c r="F42" i="35" s="1"/>
  <c r="E43" i="35"/>
  <c r="F43" i="35" s="1"/>
  <c r="C38" i="35"/>
  <c r="C39" i="35"/>
  <c r="M3" i="35" s="1"/>
  <c r="AB7" i="39" l="1"/>
  <c r="T47" i="39" s="1"/>
  <c r="G47" i="39" s="1"/>
  <c r="U7" i="39"/>
  <c r="W7" i="39"/>
  <c r="AC7" i="39"/>
  <c r="V47" i="39" s="1"/>
  <c r="I47" i="39" s="1"/>
  <c r="AA7" i="39"/>
  <c r="R47" i="39" s="1"/>
  <c r="S7" i="39"/>
  <c r="I51" i="39" l="1"/>
  <c r="J51" i="39" s="1"/>
  <c r="E47" i="39"/>
  <c r="R48" i="39"/>
  <c r="G51" i="39"/>
  <c r="H51" i="39" s="1"/>
  <c r="G52" i="39"/>
  <c r="H52" i="39" s="1"/>
  <c r="C48" i="39" l="1"/>
  <c r="C47" i="39"/>
  <c r="E51" i="39"/>
  <c r="F51" i="39" s="1"/>
  <c r="E52" i="39"/>
  <c r="F52" i="39" s="1"/>
  <c r="I52" i="39"/>
  <c r="J52" i="39" s="1"/>
  <c r="B58" i="39" l="1"/>
  <c r="F58" i="39" s="1"/>
  <c r="B63" i="39"/>
  <c r="F63" i="39" s="1"/>
  <c r="B59" i="39"/>
  <c r="F59" i="39" s="1"/>
  <c r="B61" i="39"/>
  <c r="F61" i="39" s="1"/>
  <c r="B60" i="39"/>
  <c r="F60" i="39" s="1"/>
  <c r="B56" i="39"/>
  <c r="F56" i="39" s="1"/>
  <c r="B64" i="39"/>
  <c r="F64" i="39" s="1"/>
  <c r="B62" i="39"/>
  <c r="F62" i="39" s="1"/>
  <c r="B57" i="39"/>
  <c r="F57" i="39" s="1"/>
  <c r="F65" i="39" l="1"/>
  <c r="B2" i="39" s="1"/>
  <c r="B3" i="39" s="1"/>
  <c r="C6" i="68"/>
  <c r="C7" i="68" l="1"/>
  <c r="C5" i="68" s="1"/>
  <c r="C20" i="68" l="1"/>
  <c r="C25" i="68" s="1"/>
  <c r="C23" i="68"/>
  <c r="C22" i="68" l="1"/>
  <c r="C28" i="68"/>
  <c r="C27" i="68" s="1"/>
  <c r="C31" i="68" s="1"/>
  <c r="C52" i="68" s="1"/>
  <c r="B2" i="68" l="1"/>
  <c r="C57" i="68"/>
  <c r="C56" i="68" s="1"/>
  <c r="C19" i="9"/>
  <c r="C21" i="9" l="1"/>
  <c r="C102" i="9"/>
  <c r="D22" i="9"/>
  <c r="G19" i="9"/>
  <c r="B3" i="68"/>
  <c r="D35" i="9"/>
  <c r="D34" i="9"/>
  <c r="C20" i="9"/>
  <c r="C103" i="9" l="1"/>
  <c r="G20" i="9"/>
  <c r="G21" i="9"/>
  <c r="C32" i="9"/>
  <c r="H118" i="9" l="1"/>
  <c r="C35" i="9"/>
  <c r="F118" i="9" s="1"/>
  <c r="F119" i="9" l="1"/>
  <c r="F5" i="52" s="1"/>
  <c r="B53" i="72" s="1"/>
  <c r="F4" i="52"/>
  <c r="B51" i="72" s="1"/>
  <c r="G118" i="9"/>
  <c r="G4" i="52" s="1"/>
  <c r="B52" i="72" s="1"/>
  <c r="C34" i="9"/>
  <c r="D118" i="9" s="1"/>
  <c r="C104" i="9"/>
  <c r="D14" i="74"/>
  <c r="I118" i="9"/>
  <c r="H119" i="9"/>
  <c r="H5" i="52" s="1"/>
  <c r="H4" i="52"/>
  <c r="H101" i="9"/>
  <c r="G14" i="74" l="1"/>
  <c r="E14" i="74"/>
  <c r="F14" i="74"/>
  <c r="D119" i="9"/>
  <c r="D5" i="52" s="1"/>
  <c r="B49" i="72" s="1"/>
  <c r="D4" i="52"/>
  <c r="B47" i="72" s="1"/>
  <c r="H102" i="9"/>
  <c r="D7" i="53" s="1"/>
  <c r="B21" i="72" s="1"/>
  <c r="I4" i="52"/>
  <c r="C105" i="9"/>
  <c r="E118" i="9"/>
  <c r="E4" i="52" s="1"/>
  <c r="B48" i="72" s="1"/>
  <c r="H107" i="9"/>
  <c r="D5" i="53"/>
  <c r="D45" i="9"/>
  <c r="M48" i="9"/>
  <c r="C78" i="9" l="1"/>
  <c r="C73" i="9" s="1"/>
  <c r="C85" i="9"/>
  <c r="C64" i="9"/>
  <c r="C63" i="9" s="1"/>
  <c r="C67" i="9" s="1"/>
  <c r="C72" i="9"/>
  <c r="D55" i="9"/>
  <c r="M53" i="9" s="1"/>
  <c r="D53" i="9"/>
  <c r="C93" i="9"/>
  <c r="C86" i="9" s="1"/>
  <c r="D52" i="9"/>
  <c r="D13" i="53"/>
  <c r="H108" i="9"/>
  <c r="D15" i="53" s="1"/>
  <c r="B31" i="72" s="1"/>
  <c r="M49" i="9"/>
  <c r="D122" i="9"/>
  <c r="D6" i="53"/>
  <c r="B22" i="72" s="1"/>
  <c r="B20" i="72"/>
  <c r="K14" i="74"/>
  <c r="C79" i="9" l="1"/>
  <c r="L63" i="9"/>
  <c r="M63" i="9" s="1"/>
  <c r="L67" i="9"/>
  <c r="M67" i="9" s="1"/>
  <c r="L64" i="9"/>
  <c r="M64" i="9" s="1"/>
  <c r="L65" i="9"/>
  <c r="M65" i="9" s="1"/>
  <c r="L66" i="9"/>
  <c r="M66" i="9" s="1"/>
  <c r="L68" i="9"/>
  <c r="M68" i="9" s="1"/>
  <c r="C80" i="9"/>
  <c r="E80" i="9" s="1"/>
  <c r="E81" i="9" s="1"/>
  <c r="D8" i="52"/>
  <c r="D123" i="9"/>
  <c r="D9" i="52" s="1"/>
  <c r="D14" i="53"/>
  <c r="B32" i="72" s="1"/>
  <c r="B30" i="72"/>
  <c r="D59" i="9"/>
  <c r="M55" i="9" s="1"/>
  <c r="C68" i="9"/>
  <c r="D54" i="9" s="1"/>
  <c r="C95" i="9"/>
  <c r="C96" i="9" l="1"/>
  <c r="E96" i="9" s="1"/>
  <c r="E97" i="9" s="1"/>
  <c r="C97" i="9"/>
  <c r="D58" i="9" s="1"/>
  <c r="D56" i="9" s="1"/>
  <c r="M54" i="9" s="1"/>
  <c r="N57" i="9" s="1"/>
  <c r="C81" i="9"/>
  <c r="M69" i="9"/>
  <c r="N69" i="9" s="1"/>
  <c r="N58" i="9" l="1"/>
  <c r="P57" i="9"/>
  <c r="N59" i="9"/>
  <c r="N60" i="9" l="1"/>
  <c r="N61" i="9"/>
  <c r="D15" i="74" l="1"/>
  <c r="G15" i="74" l="1"/>
  <c r="F15" i="74"/>
  <c r="E15" i="74"/>
  <c r="B5" i="74"/>
  <c r="D5" i="74" l="1"/>
  <c r="C5" i="74"/>
  <c r="K15" i="74"/>
  <c r="B6" i="74"/>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2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<sst xmlns="http://schemas.openxmlformats.org/spreadsheetml/2006/main" count="8434" uniqueCount="3627">
  <si>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</si>
  <si>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</si>
  <si>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</si>
  <si>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</si>
  <si>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</si>
  <si>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</si>
  <si>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</si>
  <si>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</si>
  <si>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</si>
  <si>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</si>
  <si>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</si>
  <si>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</si>
  <si>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</si>
  <si>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</si>
  <si>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</si>
  <si>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</si>
  <si>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</si>
  <si>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</si>
  <si>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</si>
  <si>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</si>
  <si>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</si>
  <si>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</si>
  <si>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</si>
  <si>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</si>
  <si>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</si>
  <si>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</si>
  <si>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</si>
  <si>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</si>
  <si>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</si>
  <si>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</si>
  <si>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</si>
  <si>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</si>
  <si>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</si>
  <si>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</si>
  <si>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</si>
  <si>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</si>
  <si>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</si>
  <si>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</si>
  <si>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</si>
  <si>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</si>
  <si>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</si>
  <si>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</si>
  <si>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</si>
  <si>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</si>
  <si>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</si>
  <si>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</si>
  <si>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</si>
  <si>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</si>
  <si>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</si>
  <si>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</si>
  <si>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</si>
  <si>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</si>
  <si>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</si>
  <si>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</si>
  <si>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</si>
  <si>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</si>
  <si>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</si>
  <si>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</si>
  <si>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</si>
  <si>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</si>
  <si>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</si>
  <si>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</si>
  <si>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</si>
  <si>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</si>
  <si>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</si>
  <si>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</si>
  <si>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</si>
  <si>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</si>
  <si>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</si>
  <si>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</si>
  <si>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</si>
  <si>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</si>
  <si>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</si>
  <si>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</si>
  <si>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</si>
  <si>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</si>
  <si>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</si>
  <si>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</si>
  <si>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</si>
  <si>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</si>
  <si>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</si>
  <si>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</si>
  <si>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</si>
  <si>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</si>
  <si>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</si>
  <si>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</si>
  <si>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</si>
  <si>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</si>
  <si>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</si>
  <si>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</si>
  <si>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</si>
  <si>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</si>
  <si>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</si>
  <si>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</si>
  <si>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</si>
  <si>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</si>
  <si>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</si>
  <si>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</si>
  <si>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</si>
  <si>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</si>
  <si>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</si>
  <si>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</si>
  <si>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</si>
  <si>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</si>
  <si>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</si>
  <si>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</si>
  <si>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</si>
  <si>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</si>
  <si>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</si>
  <si>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</si>
  <si>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</si>
  <si>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</si>
  <si>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</si>
  <si>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</si>
  <si>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</si>
  <si>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</si>
  <si>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</si>
  <si>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</si>
  <si>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</si>
  <si>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</si>
  <si>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</si>
  <si>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</si>
  <si>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</si>
  <si>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</si>
  <si>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</si>
  <si>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</si>
  <si>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</si>
  <si>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</si>
  <si>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</si>
  <si>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</si>
  <si>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</si>
  <si>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</si>
  <si>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</si>
  <si>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</si>
  <si>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</si>
  <si>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</si>
  <si>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</si>
  <si>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</si>
  <si>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</si>
  <si>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</si>
  <si>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</si>
  <si>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</si>
  <si>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</si>
  <si>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</si>
  <si>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</si>
  <si>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</si>
  <si>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</si>
  <si>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</si>
  <si>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</si>
  <si>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</si>
  <si>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</si>
  <si>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</si>
  <si>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</si>
  <si>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</si>
  <si>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</si>
  <si>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</si>
  <si>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</si>
  <si>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</si>
  <si>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</si>
  <si>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</si>
  <si>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</si>
  <si>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</si>
  <si>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</si>
  <si>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</si>
  <si>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</si>
  <si>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</si>
  <si>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</si>
  <si>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</si>
  <si>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</si>
  <si>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</si>
  <si>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</si>
  <si>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</si>
  <si>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</si>
  <si>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</si>
  <si>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</si>
  <si>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</si>
  <si>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</si>
  <si>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</si>
  <si>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</si>
  <si>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</si>
  <si>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</si>
  <si>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</si>
  <si>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</si>
  <si>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</si>
  <si>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</si>
  <si>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</si>
  <si>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</si>
  <si>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</si>
  <si>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</si>
  <si>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</si>
  <si>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</si>
  <si>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</si>
  <si>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</si>
  <si>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</si>
  <si>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</si>
  <si>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</si>
  <si>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</si>
  <si>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</si>
  <si>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</si>
  <si>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</si>
  <si>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</si>
  <si>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</si>
  <si>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</si>
  <si>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</si>
  <si>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</si>
  <si>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</si>
  <si>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</si>
  <si>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</si>
  <si>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</si>
  <si>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</si>
  <si>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</si>
  <si>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</si>
  <si>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</si>
  <si>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</si>
  <si>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</si>
  <si>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</si>
  <si>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</si>
  <si>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</si>
  <si>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</si>
  <si>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</si>
  <si>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</si>
  <si>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</si>
  <si>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</si>
  <si>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</si>
  <si>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</si>
  <si>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</si>
  <si>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</si>
  <si>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</si>
  <si>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</si>
  <si>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</si>
  <si>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</si>
  <si>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</si>
  <si>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</si>
  <si>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</si>
  <si>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</si>
  <si>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</si>
  <si>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</si>
  <si>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</si>
  <si>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</si>
  <si>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</si>
  <si>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</si>
  <si>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</si>
  <si>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</si>
  <si>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</si>
  <si>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</si>
  <si>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</si>
  <si>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</si>
  <si>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</si>
  <si>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</si>
  <si>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</si>
  <si>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</si>
  <si>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</si>
  <si>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</si>
  <si>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</si>
  <si>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</si>
  <si>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</si>
  <si>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</si>
  <si>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</si>
  <si>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</si>
  <si>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</si>
  <si>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</si>
  <si>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</si>
  <si>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</si>
  <si>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</si>
  <si>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</si>
  <si>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</si>
  <si>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</si>
  <si>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</si>
  <si>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</si>
  <si>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</si>
  <si>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</si>
  <si>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</si>
  <si>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</si>
  <si>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</si>
  <si>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</si>
  <si>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</si>
  <si>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</si>
  <si>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</si>
  <si>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</si>
  <si>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</si>
  <si>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</si>
  <si>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</si>
  <si>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</si>
  <si>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</si>
  <si>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</si>
  <si>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</si>
  <si>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</si>
  <si>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</si>
  <si>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</si>
  <si>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</si>
  <si>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</si>
  <si>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</si>
  <si>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</si>
  <si>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</si>
  <si>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</si>
  <si>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</si>
  <si>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</si>
  <si>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</si>
  <si>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</si>
  <si>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</si>
  <si>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</si>
  <si>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</si>
  <si>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</si>
  <si>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</si>
  <si>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</si>
  <si>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</si>
  <si>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</si>
  <si>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</si>
  <si>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</si>
  <si>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</si>
  <si>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</si>
  <si>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</si>
  <si>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</si>
  <si>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</si>
  <si>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</si>
  <si>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</si>
  <si>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</si>
  <si>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</si>
  <si>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</si>
  <si>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</si>
  <si>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</si>
  <si>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</si>
  <si>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</si>
  <si>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</si>
  <si>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</si>
  <si>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</si>
  <si>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</si>
  <si>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</si>
  <si>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</si>
  <si>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</si>
  <si>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</si>
  <si>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</si>
  <si>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</si>
  <si>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</si>
  <si>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</si>
  <si>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</si>
  <si>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</si>
  <si>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</si>
  <si>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</si>
  <si>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</si>
  <si>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</si>
  <si>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</si>
  <si>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</si>
  <si>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</si>
  <si>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</si>
  <si>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</si>
  <si>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</si>
  <si>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</si>
  <si>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</si>
  <si>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</si>
  <si>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</si>
  <si>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</si>
  <si>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</si>
  <si>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</si>
  <si>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</si>
  <si>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</si>
  <si>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</si>
  <si>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</si>
  <si>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</si>
  <si>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</si>
  <si>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</si>
  <si>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</si>
  <si>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</si>
  <si>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</si>
  <si>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</si>
  <si>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</si>
  <si>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</si>
  <si>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</si>
  <si>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</si>
  <si>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</si>
  <si>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</si>
  <si>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</si>
  <si>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</si>
  <si>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</si>
  <si>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</si>
  <si>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</si>
  <si>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</si>
  <si>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</si>
  <si>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</si>
  <si>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</si>
  <si>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</si>
  <si>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</si>
  <si>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</si>
  <si>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</si>
  <si>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</si>
  <si>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</si>
  <si>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</si>
  <si>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</si>
  <si>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</si>
  <si>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</si>
  <si>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</si>
  <si>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</si>
  <si>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</si>
  <si>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</si>
  <si>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</si>
  <si>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</si>
  <si>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</si>
  <si>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</si>
  <si>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</si>
  <si>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</si>
  <si>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</si>
  <si>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</si>
  <si>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</si>
  <si>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</si>
  <si>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</si>
  <si>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</si>
  <si>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</si>
  <si>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</si>
  <si>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</si>
  <si>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</si>
  <si>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</si>
  <si>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</si>
  <si>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</si>
  <si>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</si>
  <si>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</si>
  <si>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</si>
  <si>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</si>
  <si>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</si>
  <si>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</si>
  <si>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</si>
  <si>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</si>
  <si>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</si>
  <si>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</si>
  <si>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</si>
  <si>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</si>
  <si>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</si>
  <si>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</si>
  <si>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</si>
  <si>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</si>
  <si>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</si>
  <si>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</si>
  <si>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</si>
  <si>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</si>
  <si>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</si>
  <si>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</si>
  <si>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</si>
  <si>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</si>
  <si>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</si>
  <si>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</si>
  <si>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</si>
  <si>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</si>
  <si>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</si>
  <si>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</si>
  <si>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</si>
  <si>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</si>
  <si>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</si>
  <si>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</si>
  <si>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</si>
  <si>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</si>
  <si>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</si>
  <si>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</si>
  <si>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</si>
  <si>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</si>
  <si>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</si>
  <si>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</si>
  <si>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</si>
  <si>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</si>
  <si>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</si>
  <si>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</si>
  <si>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</si>
  <si>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</si>
  <si>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</si>
  <si>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</si>
  <si>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</si>
  <si>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</si>
  <si>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</si>
  <si>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</si>
  <si>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</si>
  <si>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</si>
  <si>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</si>
  <si>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</si>
  <si>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</si>
  <si>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</si>
  <si>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</si>
  <si>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</si>
  <si>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</si>
  <si>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</si>
  <si>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</si>
  <si>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</si>
  <si>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</si>
  <si>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</si>
  <si>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</si>
  <si>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</si>
  <si>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</si>
  <si>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</si>
  <si>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</si>
  <si>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</si>
  <si>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</si>
  <si>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</si>
  <si>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</si>
  <si>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</si>
  <si>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</si>
  <si>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</si>
  <si>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</si>
  <si>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</si>
  <si>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</si>
  <si>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</si>
  <si>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</si>
  <si>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</si>
  <si>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</si>
  <si>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</si>
  <si>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</si>
  <si>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</si>
  <si>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</si>
  <si>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</si>
  <si>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</si>
  <si>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</si>
  <si>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</si>
  <si>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</si>
  <si>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</si>
  <si>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</si>
  <si>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</si>
  <si>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</si>
  <si>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</si>
  <si>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</si>
  <si>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</si>
  <si>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</si>
  <si>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</si>
  <si>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</si>
  <si>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</si>
  <si>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</si>
  <si>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</si>
  <si>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</si>
  <si>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</si>
  <si>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</si>
  <si>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</si>
  <si>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</si>
  <si>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</si>
  <si>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</si>
  <si>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</si>
  <si>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</si>
  <si>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</si>
  <si>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</si>
  <si>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</si>
  <si>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</si>
  <si>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</si>
  <si>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</si>
  <si>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</si>
  <si>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</si>
  <si>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</si>
  <si>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</si>
  <si>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</si>
  <si>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</si>
  <si>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</si>
  <si>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</si>
  <si>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</si>
  <si>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</si>
  <si>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</si>
  <si>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</si>
  <si>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</si>
  <si>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</si>
  <si>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</si>
  <si>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</si>
  <si>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</si>
  <si>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</si>
  <si>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</si>
  <si>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</si>
  <si>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</si>
  <si>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</si>
  <si>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</si>
  <si>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</si>
  <si>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</si>
  <si>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</si>
  <si>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</si>
  <si>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</si>
  <si>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</si>
  <si>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</si>
  <si>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</si>
  <si>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</si>
  <si>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</si>
  <si>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</si>
  <si>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</si>
  <si>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</si>
  <si>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</si>
  <si>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</si>
  <si>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</si>
  <si>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</si>
  <si>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</si>
  <si>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</si>
  <si>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</si>
  <si>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</si>
  <si>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</si>
  <si>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</si>
  <si>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</si>
  <si>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</si>
  <si>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</si>
  <si>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</si>
  <si>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</si>
  <si>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</si>
  <si>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</si>
  <si>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</si>
  <si>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</si>
  <si>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</si>
  <si>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</si>
  <si>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</si>
  <si>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</si>
  <si>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</si>
  <si>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</si>
  <si>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</si>
  <si>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</si>
  <si>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</si>
  <si>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</si>
  <si>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</si>
  <si>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</si>
  <si>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</si>
  <si>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</si>
  <si>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</si>
  <si>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</si>
  <si>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</si>
  <si>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</si>
  <si>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</si>
  <si>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</si>
  <si>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</si>
  <si>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</si>
  <si>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</si>
  <si>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</si>
  <si>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</si>
  <si>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</si>
  <si>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</si>
  <si>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</si>
  <si>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</si>
  <si>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</si>
  <si>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</si>
  <si>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</si>
  <si>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</si>
  <si>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</si>
  <si>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</si>
  <si>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</si>
  <si>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</si>
  <si>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</si>
  <si>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</si>
  <si>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</si>
  <si>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</si>
  <si>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</si>
  <si>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</si>
  <si>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</si>
  <si>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</si>
  <si>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</si>
  <si>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</si>
  <si>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</si>
  <si>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</si>
  <si>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</si>
  <si>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</si>
  <si>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</si>
  <si>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</si>
  <si>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</si>
  <si>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</si>
  <si>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</si>
  <si>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</si>
  <si>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</si>
  <si>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</si>
  <si>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</si>
  <si>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</si>
  <si>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</si>
  <si>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</si>
  <si>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</si>
  <si>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</si>
  <si>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</si>
  <si>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</si>
  <si>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</si>
  <si>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</si>
  <si>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</si>
  <si>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</si>
  <si>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</si>
  <si>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</si>
  <si>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</si>
  <si>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</si>
  <si>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</si>
  <si>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</si>
  <si>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</si>
  <si>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</si>
  <si>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</si>
  <si>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</si>
  <si>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</si>
  <si>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</si>
  <si>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</si>
  <si>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</si>
  <si>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</si>
  <si>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</si>
  <si>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</si>
  <si>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</si>
  <si>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</si>
  <si>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</si>
  <si>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</si>
  <si>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</si>
  <si>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</si>
  <si>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</si>
  <si>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</si>
  <si>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</si>
  <si>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</si>
  <si>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</si>
  <si>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</si>
  <si>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</si>
  <si>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</si>
  <si>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</si>
  <si>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</si>
  <si>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</si>
  <si>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</si>
  <si>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</si>
  <si>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</si>
  <si>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</si>
  <si>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</si>
  <si>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</si>
  <si>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</si>
  <si>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</si>
  <si>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</si>
  <si>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</si>
  <si>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</si>
  <si>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</si>
  <si>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</si>
  <si>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</si>
  <si>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</si>
  <si>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</si>
  <si>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</si>
  <si>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</si>
  <si>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</si>
  <si>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</si>
  <si>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</si>
  <si>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</si>
  <si>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</si>
  <si>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</si>
  <si>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</si>
  <si>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</si>
  <si>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</si>
  <si>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</si>
  <si>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</si>
  <si>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</si>
  <si>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</si>
  <si>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</si>
  <si>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</si>
  <si>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</si>
  <si>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</si>
  <si>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</si>
  <si>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</si>
  <si>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</si>
  <si>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</si>
  <si>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</si>
  <si>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</si>
  <si>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</si>
  <si>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</si>
  <si>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</si>
  <si>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</si>
  <si>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</si>
  <si>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</si>
  <si>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</si>
  <si>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</si>
  <si>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</si>
  <si>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</si>
  <si>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</si>
  <si>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</si>
  <si>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</si>
  <si>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</si>
  <si>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</si>
  <si>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</si>
  <si>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</si>
  <si>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</si>
  <si>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</si>
  <si>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</si>
  <si>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</si>
  <si>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</si>
  <si>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</si>
  <si>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</si>
  <si>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</si>
  <si>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</si>
  <si>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</si>
  <si>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</si>
  <si>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</si>
  <si>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</si>
  <si>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</si>
  <si>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</si>
  <si>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</si>
  <si>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</si>
  <si>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</si>
  <si>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</si>
  <si>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</si>
  <si>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</si>
  <si>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</si>
  <si>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</si>
  <si>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</si>
  <si>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</si>
  <si>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</si>
  <si>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</si>
  <si>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</si>
  <si>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</si>
  <si>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</si>
  <si>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</si>
  <si>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</si>
  <si>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</si>
  <si>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</si>
  <si>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</si>
  <si>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</si>
  <si>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</si>
  <si>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</si>
  <si>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</si>
  <si>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</si>
  <si>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</si>
  <si>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</si>
  <si>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</si>
  <si>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</si>
  <si>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</si>
  <si>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</si>
  <si>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</si>
  <si>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</si>
  <si>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</si>
  <si>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</si>
  <si>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</si>
  <si>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</si>
  <si>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</si>
  <si>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</si>
  <si>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</si>
  <si>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</si>
  <si>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</si>
  <si>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</si>
  <si>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</si>
  <si>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</si>
  <si>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</si>
  <si>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</si>
  <si>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</si>
  <si>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</si>
  <si>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</si>
  <si>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</si>
  <si>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</si>
  <si>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</si>
  <si>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</si>
  <si>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</si>
  <si>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</si>
  <si>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</si>
  <si>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</si>
  <si>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</si>
  <si>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</si>
  <si>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</si>
  <si>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</si>
  <si>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</si>
  <si>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</si>
  <si>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</si>
  <si>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</si>
  <si>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</si>
  <si>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</si>
  <si>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</si>
  <si>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</si>
  <si>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</si>
  <si>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</si>
  <si>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</si>
  <si>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</si>
  <si>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</si>
  <si>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</si>
  <si>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</si>
  <si>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</si>
  <si>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</si>
  <si>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</si>
  <si>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</si>
  <si>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</si>
  <si>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</si>
  <si>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</si>
  <si>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</si>
  <si>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</si>
  <si>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</si>
  <si>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</si>
  <si>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</si>
  <si>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</si>
  <si>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</si>
  <si>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</si>
  <si>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</si>
  <si>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</si>
  <si>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</si>
  <si>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</si>
  <si>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</si>
  <si>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</si>
  <si>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</si>
  <si>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</si>
  <si>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</si>
  <si>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</si>
  <si>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</si>
  <si>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</si>
  <si>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</si>
  <si>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</si>
  <si>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</si>
  <si>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</si>
  <si>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</si>
  <si>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</si>
  <si>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</si>
  <si>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</si>
  <si>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</si>
  <si>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</si>
  <si>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</si>
  <si>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</si>
  <si>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</si>
  <si>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</si>
  <si>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</si>
  <si>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</si>
  <si>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</si>
  <si>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</si>
  <si>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</si>
  <si>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</si>
  <si>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</si>
  <si>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</si>
  <si>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</si>
  <si>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</si>
  <si>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</si>
  <si>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</si>
  <si>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</si>
  <si>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</si>
  <si>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</si>
  <si>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</si>
  <si>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</si>
  <si>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</si>
  <si>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</si>
  <si>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</si>
  <si>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</si>
  <si>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</si>
  <si>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</si>
  <si>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</si>
  <si>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</si>
  <si>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</si>
  <si>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</si>
  <si>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</si>
  <si>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</si>
  <si>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</si>
  <si>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</si>
  <si>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</si>
  <si>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</si>
  <si>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</si>
  <si>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</si>
  <si>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</si>
  <si>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</si>
  <si>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</si>
  <si>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</si>
  <si>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</si>
  <si>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</si>
  <si>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</si>
  <si>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</si>
  <si>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</si>
  <si>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</si>
  <si>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</si>
  <si>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</si>
  <si>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</si>
  <si>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</si>
  <si>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</si>
  <si>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</si>
  <si>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</si>
  <si>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</si>
  <si>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</si>
  <si>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</si>
  <si>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</si>
  <si>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</si>
  <si>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</si>
  <si>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</si>
  <si>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</si>
  <si>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</si>
  <si>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</si>
  <si>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</si>
  <si>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</si>
  <si>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</si>
  <si>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</si>
  <si>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</si>
  <si>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</si>
  <si>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</si>
  <si>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</si>
  <si>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</si>
  <si>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</si>
  <si>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</si>
  <si>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</si>
  <si>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</si>
  <si>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</si>
  <si>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</si>
  <si>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</si>
  <si>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</si>
  <si>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</si>
  <si>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</si>
  <si>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</si>
  <si>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</si>
  <si>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</si>
  <si>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</si>
  <si>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</si>
  <si>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</si>
  <si>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</si>
  <si>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</si>
  <si>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</si>
  <si>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</si>
  <si>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</si>
  <si>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</si>
  <si>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</si>
  <si>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</si>
  <si>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</si>
  <si>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</si>
  <si>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</si>
  <si>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</si>
  <si>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</si>
  <si>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</si>
  <si>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</si>
  <si>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</si>
  <si>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</si>
  <si>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</si>
  <si>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</si>
  <si>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</si>
  <si>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</si>
  <si>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</si>
  <si>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</si>
  <si>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</si>
  <si>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</si>
  <si>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</si>
  <si>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</si>
  <si>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</si>
  <si>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</si>
  <si>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</si>
  <si>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</si>
  <si>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</si>
  <si>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</si>
  <si>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</si>
  <si>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</si>
  <si>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</si>
  <si>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</si>
  <si>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</si>
  <si>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</si>
  <si>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</si>
  <si>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</si>
  <si>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</si>
  <si>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</si>
  <si>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</si>
  <si>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</si>
  <si>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</si>
  <si>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</si>
  <si>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</si>
  <si>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</si>
  <si>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</si>
  <si>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</si>
  <si>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</si>
  <si>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</si>
  <si>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</si>
  <si>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</si>
  <si>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</si>
  <si>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</si>
  <si>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</si>
  <si>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</si>
  <si>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</si>
  <si>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</si>
  <si>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</si>
  <si>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</si>
  <si>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</si>
  <si>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</si>
  <si>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</si>
  <si>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</si>
  <si>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</si>
  <si>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</si>
  <si>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</si>
  <si>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</si>
  <si>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</si>
  <si>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</si>
  <si>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</si>
  <si>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</si>
  <si>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</si>
  <si>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</si>
  <si>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</si>
  <si>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</si>
  <si>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</si>
  <si>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</si>
  <si>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</si>
  <si>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</si>
  <si>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</si>
  <si>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</si>
  <si>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</si>
  <si>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</si>
  <si>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</si>
  <si>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</si>
  <si>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</si>
  <si>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</si>
  <si>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</si>
  <si>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</si>
  <si>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</si>
  <si>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</si>
  <si>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</si>
  <si>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</si>
  <si>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</si>
  <si>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</si>
  <si>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</si>
  <si>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</si>
  <si>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</si>
  <si>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</si>
  <si>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</si>
  <si>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</si>
  <si>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</si>
  <si>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</si>
  <si>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</si>
  <si>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</si>
  <si>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</si>
  <si>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</si>
  <si>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</si>
  <si>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</si>
  <si>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</si>
  <si>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</si>
  <si>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</si>
  <si>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</si>
  <si>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</si>
  <si>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</si>
  <si>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</si>
  <si>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</si>
  <si>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</si>
  <si>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</si>
  <si>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</si>
  <si>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</si>
  <si>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</si>
  <si>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</si>
  <si>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</si>
  <si>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</si>
  <si>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</si>
  <si>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</si>
  <si>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</si>
  <si>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</si>
  <si>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</si>
  <si>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</si>
  <si>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</si>
  <si>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</si>
  <si>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</si>
  <si>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</si>
  <si>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</si>
  <si>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</si>
  <si>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</si>
  <si>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</si>
  <si>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</si>
  <si>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</si>
  <si>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</si>
  <si>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</si>
  <si>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</si>
  <si>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</si>
  <si>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</si>
  <si>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</si>
  <si>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</si>
  <si>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</si>
  <si>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</si>
  <si>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</si>
  <si>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</si>
  <si>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</si>
  <si>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</si>
  <si>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</si>
  <si>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</si>
  <si>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</si>
  <si>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</si>
  <si>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</si>
  <si>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</si>
  <si>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</si>
  <si>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</si>
  <si>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</si>
  <si>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</si>
  <si>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</si>
  <si>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</si>
  <si>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</si>
  <si>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</si>
  <si>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</si>
  <si>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</si>
  <si>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</si>
  <si>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</si>
  <si>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</si>
  <si>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</si>
  <si>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</si>
  <si>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</si>
  <si>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</si>
  <si>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</si>
  <si>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</si>
  <si>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</si>
  <si>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</si>
  <si>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</si>
  <si>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</si>
  <si>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</si>
  <si>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</si>
  <si>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</si>
  <si>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</si>
  <si>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</si>
  <si>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</si>
  <si>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</si>
  <si>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</si>
  <si>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</si>
  <si>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</si>
  <si>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</si>
  <si>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</si>
  <si>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</si>
  <si>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</si>
  <si>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</si>
  <si>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</si>
  <si>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</si>
  <si>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</si>
  <si>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</si>
  <si>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</si>
  <si>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</si>
  <si>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</si>
  <si>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</si>
  <si>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</si>
  <si>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</si>
  <si>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</si>
  <si>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</si>
  <si>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</si>
  <si>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</si>
  <si>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</si>
  <si>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</si>
  <si>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</si>
  <si>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</si>
  <si>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</si>
  <si>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</si>
  <si>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</si>
  <si>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</si>
  <si>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</si>
  <si>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</si>
  <si>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</si>
  <si>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</si>
  <si>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</si>
  <si>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</si>
  <si>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</si>
  <si>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</si>
  <si>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</si>
  <si>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</si>
  <si>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</si>
  <si>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</si>
  <si>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</si>
  <si>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</si>
  <si>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</si>
  <si>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</si>
  <si>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</si>
  <si>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</si>
  <si>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</si>
  <si>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</si>
  <si>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</si>
  <si>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</si>
  <si>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</si>
  <si>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</si>
  <si>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</si>
  <si>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</si>
  <si>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</si>
  <si>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</si>
  <si>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</si>
  <si>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</si>
  <si>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</si>
  <si>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</si>
  <si>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</si>
  <si>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</si>
  <si>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</si>
  <si>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</si>
  <si>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</si>
  <si>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</si>
  <si>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</si>
  <si>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</si>
  <si>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</si>
  <si>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</si>
  <si>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</si>
  <si>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</si>
  <si>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</si>
  <si>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</si>
  <si>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</si>
  <si>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</si>
  <si>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</si>
  <si>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</si>
  <si>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</si>
  <si>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</si>
  <si>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</si>
  <si>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</si>
  <si>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</si>
  <si>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</si>
  <si>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</si>
  <si>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</si>
  <si>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</si>
  <si>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</si>
  <si>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</si>
  <si>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</si>
  <si>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</si>
  <si>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</si>
  <si>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</si>
  <si>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</si>
  <si>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</si>
  <si>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</si>
  <si>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</si>
  <si>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</si>
  <si>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</si>
  <si>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</si>
  <si>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</si>
  <si>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</si>
  <si>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</si>
  <si>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</si>
  <si>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</si>
  <si>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</si>
  <si>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</si>
  <si>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</si>
  <si>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</si>
  <si>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</si>
  <si>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</si>
  <si>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</si>
  <si>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</si>
  <si>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</si>
  <si>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</si>
  <si>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</si>
  <si>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</si>
  <si>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</si>
  <si>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</si>
  <si>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</si>
  <si>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</si>
  <si>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</si>
  <si>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</si>
  <si>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</si>
  <si>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</si>
  <si>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</si>
  <si>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</si>
  <si>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</si>
  <si>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</si>
  <si>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</si>
  <si>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</si>
  <si>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</si>
  <si>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</si>
  <si>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</si>
  <si>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</si>
  <si>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</si>
  <si>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</si>
  <si>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</si>
  <si>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</si>
  <si>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</si>
  <si>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</si>
  <si>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</si>
  <si>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</si>
  <si>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</si>
  <si>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</si>
  <si>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</si>
  <si>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</si>
  <si>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</si>
  <si>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</si>
  <si>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</si>
  <si>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</si>
  <si>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</si>
  <si>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</si>
  <si>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</si>
  <si>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</si>
  <si>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</si>
  <si>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</si>
  <si>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</si>
  <si>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</si>
  <si>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</si>
  <si>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</si>
  <si>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</si>
  <si>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</si>
  <si>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</si>
  <si>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</si>
  <si>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</si>
  <si>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</si>
  <si>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</si>
  <si>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</si>
  <si>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</si>
  <si>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</si>
  <si>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</si>
  <si>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</si>
  <si>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</si>
  <si>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</si>
  <si>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</si>
  <si>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</si>
  <si>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</si>
  <si>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</si>
  <si>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</si>
  <si>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</si>
  <si>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</si>
  <si>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</si>
  <si>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</si>
  <si>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</si>
  <si>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</si>
  <si>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</si>
  <si>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</si>
  <si>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</si>
  <si>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</si>
  <si>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</si>
  <si>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</si>
  <si>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</si>
  <si>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</si>
  <si>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</si>
  <si>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</si>
  <si>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</si>
  <si>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</si>
  <si>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</si>
  <si>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</si>
  <si>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</si>
  <si>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</si>
  <si>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</si>
  <si>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</si>
  <si>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</si>
  <si>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</si>
  <si>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</si>
  <si>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</si>
  <si>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</si>
  <si>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</si>
  <si>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</si>
  <si>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</si>
  <si>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</si>
  <si>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</si>
  <si>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</si>
  <si>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</si>
  <si>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</si>
  <si>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</si>
  <si>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</si>
  <si>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</si>
  <si>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</si>
  <si>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</si>
  <si>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</si>
  <si>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</si>
  <si>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</si>
  <si>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</si>
  <si>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</si>
  <si>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</si>
  <si>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</si>
  <si>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</si>
  <si>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</si>
  <si>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</si>
  <si>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</si>
  <si>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</si>
  <si>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</si>
  <si>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</si>
  <si>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</si>
  <si>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</si>
  <si>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</si>
  <si>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</si>
  <si>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</si>
  <si>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</si>
  <si>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</si>
  <si>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</si>
  <si>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</si>
  <si>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</si>
  <si>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</si>
  <si>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</si>
  <si>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</si>
  <si>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</si>
  <si>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</si>
  <si>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</si>
  <si>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</si>
  <si>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</si>
  <si>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</si>
  <si>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</si>
  <si>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</si>
  <si>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</si>
  <si>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</si>
  <si>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</si>
  <si>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</si>
  <si>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</si>
  <si>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</si>
  <si>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</si>
  <si>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</si>
  <si>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</si>
  <si>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</si>
  <si>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</si>
  <si>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</si>
  <si>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</si>
  <si>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</si>
  <si>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</si>
  <si>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</si>
  <si>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</si>
  <si>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</si>
  <si>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</si>
  <si>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</si>
  <si>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</si>
  <si>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</si>
  <si>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</si>
  <si>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</si>
  <si>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</si>
  <si>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</si>
  <si>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</si>
  <si>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</si>
  <si>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</si>
  <si>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</si>
  <si>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</si>
  <si>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</si>
  <si>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</si>
  <si>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</si>
  <si>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</si>
  <si>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</si>
  <si>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</si>
  <si>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</si>
  <si>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</si>
  <si>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</si>
  <si>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</si>
  <si>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</si>
  <si>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</si>
  <si>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</si>
  <si>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</si>
  <si>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</si>
  <si>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</si>
  <si>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</si>
  <si>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</si>
  <si>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</si>
  <si>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</si>
  <si>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</si>
  <si>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</si>
  <si>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</si>
  <si>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</si>
  <si>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</si>
  <si>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</si>
  <si>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</si>
  <si>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</si>
  <si>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</si>
  <si>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</si>
  <si>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</si>
  <si>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</si>
  <si>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</si>
  <si>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</si>
  <si>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</si>
  <si>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</si>
  <si>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</si>
  <si>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</si>
  <si>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</si>
  <si>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</si>
  <si>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</si>
  <si>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</si>
  <si>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</si>
  <si>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</si>
  <si>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</si>
  <si>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</si>
  <si>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</si>
  <si>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</si>
  <si>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</si>
  <si>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</si>
  <si>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</si>
  <si>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</si>
  <si>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</si>
  <si>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</si>
  <si>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</si>
  <si>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</si>
  <si>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</si>
  <si>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</si>
  <si>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</si>
  <si>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</si>
  <si>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</si>
  <si>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</si>
  <si>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</si>
  <si>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</si>
  <si>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</si>
  <si>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</si>
  <si>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</si>
  <si>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</si>
  <si>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</si>
  <si>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</si>
  <si>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</si>
  <si>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</si>
  <si>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</si>
  <si>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</si>
  <si>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</si>
  <si>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</si>
  <si>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</si>
  <si>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</si>
  <si>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</si>
  <si>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</si>
  <si>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</si>
  <si>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</si>
  <si>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</si>
  <si>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</si>
  <si>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</si>
  <si>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</si>
  <si>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</si>
  <si>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</si>
  <si>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</si>
  <si>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</si>
  <si>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</si>
  <si>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</si>
  <si>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</si>
  <si>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</si>
  <si>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</si>
  <si>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</si>
  <si>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</si>
  <si>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</si>
  <si>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</si>
  <si>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</si>
  <si>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</si>
  <si>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</si>
  <si>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</si>
  <si>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</si>
  <si>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</si>
  <si>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</si>
  <si>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</si>
  <si>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</si>
  <si>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</si>
  <si>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</si>
  <si>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</si>
  <si>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</si>
  <si>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</si>
  <si>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</si>
  <si>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</si>
  <si>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</si>
  <si>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</si>
  <si>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</si>
  <si>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</si>
  <si>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</si>
  <si>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</si>
  <si>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</si>
  <si>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</si>
  <si>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</si>
  <si>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</si>
  <si>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</si>
  <si>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</si>
  <si>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</si>
  <si>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</si>
  <si>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</si>
  <si>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</si>
  <si>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</si>
  <si>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</si>
  <si>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</si>
  <si>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</si>
  <si>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</si>
  <si>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</si>
  <si>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</si>
  <si>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</si>
  <si>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</si>
  <si>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</si>
  <si>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</si>
  <si>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</si>
  <si>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</si>
  <si>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</si>
  <si>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</si>
  <si>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</si>
  <si>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</si>
  <si>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</si>
  <si>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</si>
  <si>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</si>
  <si>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</si>
  <si>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</si>
  <si>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</si>
  <si>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</si>
  <si>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</si>
  <si>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</si>
  <si>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</si>
  <si>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</si>
  <si>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</si>
  <si>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</si>
  <si>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</si>
  <si>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</si>
  <si>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</si>
  <si>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</si>
  <si>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</si>
  <si>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</si>
  <si>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</si>
  <si>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</si>
  <si>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</si>
  <si>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</si>
  <si>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</si>
  <si>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</si>
  <si>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</si>
  <si>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</si>
  <si>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</si>
  <si>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</si>
  <si>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</si>
  <si>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</si>
  <si>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</si>
  <si>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</si>
  <si>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</si>
  <si>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</si>
  <si>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</si>
  <si>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</si>
  <si>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</si>
  <si>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</si>
  <si>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</si>
  <si>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</si>
  <si>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</si>
  <si>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</si>
  <si>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</si>
  <si>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</si>
  <si>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</si>
  <si>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</si>
  <si>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</si>
  <si>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</si>
  <si>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</si>
  <si>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</si>
  <si>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</si>
  <si>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</si>
  <si>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</si>
  <si>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</si>
  <si>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</si>
  <si>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</si>
  <si>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</si>
  <si>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</si>
  <si>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</si>
  <si>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</si>
  <si>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</si>
  <si>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</si>
  <si>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</si>
  <si>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</si>
  <si>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</si>
  <si>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</si>
  <si>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</si>
  <si>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</si>
  <si>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</si>
  <si>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</si>
  <si>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</si>
  <si>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</si>
  <si>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</si>
  <si>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</si>
  <si>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</si>
  <si>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</si>
  <si>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</si>
  <si>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</si>
  <si>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</si>
  <si>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</si>
  <si>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</si>
  <si>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</si>
  <si>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</si>
  <si>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</si>
  <si>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</si>
  <si>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</si>
  <si>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</si>
  <si>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</si>
  <si>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</si>
  <si>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</si>
  <si>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</si>
  <si>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</si>
  <si>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</si>
  <si>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</si>
  <si>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</si>
  <si>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</si>
  <si>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</si>
  <si>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</si>
  <si>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</si>
  <si>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</si>
  <si>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</si>
  <si>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</si>
  <si>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</si>
  <si>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</si>
  <si>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</si>
  <si>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</si>
  <si>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</si>
  <si>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</si>
  <si>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</si>
  <si>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</si>
  <si>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</si>
  <si>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</si>
  <si>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</si>
  <si>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</si>
  <si>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</si>
  <si>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</si>
  <si>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</si>
  <si>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</si>
  <si>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</si>
  <si>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</si>
  <si>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</si>
  <si>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</si>
  <si>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</si>
  <si>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</si>
  <si>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</si>
  <si>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</si>
  <si>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</si>
  <si>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</si>
  <si>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</si>
  <si>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</si>
  <si>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</si>
  <si>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</si>
  <si>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</si>
  <si>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</si>
  <si>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</si>
  <si>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</si>
  <si>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</si>
  <si>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</si>
  <si>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</si>
  <si>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</si>
  <si>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</si>
  <si>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</si>
  <si>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</si>
  <si>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</si>
  <si>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</si>
  <si>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</si>
  <si>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</si>
  <si>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</si>
  <si>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</si>
  <si>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</si>
  <si>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</si>
  <si>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</si>
  <si>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</si>
  <si>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</si>
  <si>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</si>
  <si>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</si>
  <si>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</si>
  <si>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</si>
  <si>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</si>
  <si>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</si>
  <si>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</si>
  <si>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</si>
  <si>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</si>
  <si>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</si>
  <si>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</si>
  <si>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</si>
  <si>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</si>
  <si>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</si>
  <si>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</si>
  <si>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</si>
  <si>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</si>
  <si>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</si>
  <si>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</si>
  <si>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</si>
  <si>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</si>
  <si>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</si>
  <si>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</si>
  <si>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</si>
  <si>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</si>
  <si>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</si>
  <si>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</si>
  <si>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</si>
  <si>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</si>
  <si>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</si>
  <si>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</si>
  <si>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</si>
  <si>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</si>
  <si>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</si>
  <si>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</si>
  <si>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</si>
  <si>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</si>
  <si>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</si>
  <si>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</si>
  <si>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</si>
  <si>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</si>
  <si>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</si>
  <si>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</si>
  <si>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</si>
  <si>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</si>
  <si>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</si>
  <si>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</si>
  <si>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</si>
  <si>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</si>
  <si>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</si>
  <si>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</si>
  <si>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</si>
  <si>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</si>
  <si>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</si>
  <si>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</si>
  <si>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</si>
  <si>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</si>
  <si>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</si>
  <si>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</si>
  <si>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</si>
  <si>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</si>
  <si>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</si>
  <si>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</si>
  <si>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</si>
  <si>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</si>
  <si>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</si>
  <si>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</si>
  <si>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</si>
  <si>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</si>
  <si>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</si>
  <si>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</si>
  <si>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</si>
  <si>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</si>
  <si>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</si>
  <si>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</si>
  <si>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</si>
  <si>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</si>
  <si>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</si>
  <si>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</si>
  <si>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</si>
  <si>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</si>
  <si>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</si>
  <si>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</si>
  <si>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</si>
  <si>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</si>
  <si>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</si>
  <si>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</si>
  <si>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</si>
  <si>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</si>
  <si>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</si>
  <si>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</si>
  <si>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</si>
  <si>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</si>
  <si>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</si>
  <si>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</si>
  <si>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</si>
  <si>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</si>
  <si>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</si>
  <si>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</si>
  <si>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</si>
  <si>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</si>
  <si>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</si>
  <si>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</si>
  <si>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</si>
  <si>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</si>
  <si>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</si>
  <si>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</si>
  <si>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</si>
  <si>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</si>
  <si>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</si>
  <si>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</si>
  <si>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</si>
  <si>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</si>
  <si>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</si>
  <si>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</si>
  <si>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</si>
  <si>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</si>
  <si>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</si>
  <si>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</si>
  <si>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</si>
  <si>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</si>
  <si>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</si>
  <si>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</si>
  <si>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</si>
  <si>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</si>
  <si>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</si>
  <si>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</si>
  <si>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</si>
  <si>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</si>
  <si>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</si>
  <si>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</si>
  <si>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</si>
  <si>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</si>
  <si>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</si>
  <si>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</si>
  <si>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</si>
  <si>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</si>
  <si>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</si>
  <si>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</si>
  <si>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</si>
  <si>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</si>
  <si>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</si>
  <si>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</si>
  <si>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</si>
  <si>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</si>
  <si>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</si>
  <si>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</si>
  <si>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</si>
  <si>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</si>
  <si>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</si>
  <si>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</si>
  <si>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</si>
  <si>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</si>
  <si>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</si>
  <si>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</si>
  <si>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</si>
  <si>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</si>
  <si>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</si>
  <si>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</si>
  <si>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</si>
  <si>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</si>
  <si>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</si>
  <si>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</si>
  <si>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</si>
  <si>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</si>
  <si>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</si>
  <si>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</si>
  <si>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</si>
  <si>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</si>
  <si>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</si>
  <si>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</si>
  <si>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</si>
  <si>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</si>
  <si>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</si>
  <si>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</si>
  <si>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</si>
  <si>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</si>
  <si>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</si>
  <si>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</si>
  <si>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</si>
  <si>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</si>
  <si>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</si>
  <si>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</si>
  <si>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</si>
  <si>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</si>
  <si>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</si>
  <si>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</si>
  <si>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</si>
  <si>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</si>
  <si>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</si>
  <si>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</si>
  <si>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</si>
  <si>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</si>
  <si>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</si>
  <si>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</si>
  <si>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</si>
  <si>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</si>
  <si>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</si>
  <si>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</si>
  <si>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</si>
  <si>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</si>
  <si>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</si>
  <si>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</si>
  <si>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</si>
  <si>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</si>
  <si>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</si>
  <si>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</si>
  <si>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</si>
  <si>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</si>
  <si>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</si>
  <si>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</si>
  <si>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</si>
  <si>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</si>
  <si>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</si>
  <si>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</si>
  <si>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</si>
  <si>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</si>
  <si>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</si>
  <si>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</si>
  <si>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</si>
  <si>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</si>
  <si>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</si>
  <si>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</si>
  <si>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</si>
  <si>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</si>
  <si>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</si>
  <si>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</si>
  <si>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</si>
  <si>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</si>
  <si>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</si>
  <si>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</si>
  <si>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</si>
  <si>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</si>
  <si>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</si>
  <si>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</si>
  <si>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</si>
  <si>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</si>
  <si>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</si>
  <si>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</si>
  <si>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</si>
  <si>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</si>
  <si>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</si>
  <si>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</si>
  <si>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</si>
  <si>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</si>
  <si>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</si>
  <si>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</si>
  <si>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</si>
  <si>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</si>
  <si>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</si>
  <si>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</si>
  <si>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</si>
  <si>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</si>
  <si>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</si>
  <si>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</si>
  <si>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</si>
  <si>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</si>
  <si>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</si>
  <si>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</si>
  <si>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</si>
  <si>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</si>
  <si>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</si>
  <si>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</si>
  <si>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</si>
  <si>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</si>
  <si>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</si>
  <si>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</si>
  <si>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</si>
  <si>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</si>
  <si>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</si>
  <si>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</si>
  <si>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</si>
  <si>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</si>
  <si>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</si>
  <si>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</si>
  <si>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</si>
  <si>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</si>
  <si>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</si>
  <si>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</si>
  <si>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</si>
  <si>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</si>
  <si>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</si>
  <si>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</si>
  <si>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</si>
  <si>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</si>
  <si>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</si>
  <si>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</si>
  <si>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</si>
  <si>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</si>
  <si>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</si>
  <si>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</si>
  <si>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</si>
  <si>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</si>
  <si>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</si>
  <si>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</si>
  <si>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</si>
  <si>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</si>
  <si>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</si>
  <si>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</si>
  <si>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</si>
  <si>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</si>
  <si>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</si>
  <si>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</si>
  <si>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</si>
  <si>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</si>
  <si>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</si>
  <si>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</si>
  <si>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</si>
  <si>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</si>
  <si>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</si>
  <si>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</si>
  <si>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</si>
  <si>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</si>
  <si>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</si>
  <si>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</si>
  <si>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</si>
  <si>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</si>
  <si>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</si>
  <si>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</si>
  <si>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</si>
  <si>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</si>
  <si>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</si>
  <si>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</si>
  <si>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</si>
  <si>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</si>
  <si>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</si>
  <si>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</si>
  <si>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</si>
  <si>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</si>
  <si>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</si>
  <si>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</si>
  <si>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</si>
  <si>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</si>
  <si>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</si>
  <si>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</si>
  <si>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</si>
  <si>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</si>
  <si>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</si>
  <si>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</si>
  <si>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</si>
  <si>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</si>
  <si>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</si>
  <si>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</si>
  <si>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</si>
  <si>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</si>
  <si>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</si>
  <si>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</si>
  <si>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</si>
  <si>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</si>
  <si>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</si>
  <si>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</si>
  <si>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</si>
  <si>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</si>
  <si>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</si>
  <si>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</si>
  <si>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</si>
  <si>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</si>
  <si>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</si>
  <si>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</si>
  <si>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</si>
  <si>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</si>
  <si>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</si>
  <si>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</si>
  <si>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</si>
  <si>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</si>
  <si>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</si>
  <si>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</si>
  <si>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</si>
  <si>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</si>
  <si>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</si>
  <si>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</si>
  <si>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</si>
  <si>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</si>
  <si>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</si>
  <si>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</si>
  <si>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</si>
  <si>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</si>
  <si>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</si>
  <si>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</si>
  <si>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</si>
  <si>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</si>
  <si>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</si>
  <si>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</si>
  <si>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</si>
  <si>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</si>
  <si>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</si>
  <si>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</si>
  <si>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</si>
  <si>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</si>
  <si>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</si>
  <si>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</si>
  <si>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</si>
  <si>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</si>
  <si>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</si>
  <si>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</si>
  <si>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</si>
  <si>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</si>
  <si>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</si>
  <si>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</si>
  <si>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</si>
  <si>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</si>
  <si>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</si>
  <si>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</si>
  <si>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</si>
  <si>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</si>
  <si>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</si>
  <si>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</si>
  <si>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</si>
  <si>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</si>
  <si>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</si>
  <si>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</si>
  <si>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</si>
  <si>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</si>
  <si>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</si>
  <si>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</si>
  <si>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</si>
  <si>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</si>
  <si>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</si>
  <si>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</si>
  <si>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</si>
  <si>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</si>
  <si>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</si>
  <si>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</si>
  <si>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</si>
  <si>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</si>
  <si>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</si>
  <si>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</si>
  <si>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</si>
  <si>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</si>
  <si>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</si>
  <si>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</si>
  <si>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</si>
  <si>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</si>
  <si>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</si>
  <si>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</si>
  <si>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</si>
  <si>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</si>
  <si>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</si>
  <si>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</si>
  <si>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</si>
  <si>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</si>
  <si>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</si>
  <si>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</si>
  <si>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</si>
  <si>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</si>
  <si>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</si>
  <si>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</si>
  <si>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</si>
  <si>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</si>
  <si>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</si>
  <si>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</si>
  <si>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</si>
  <si>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</si>
  <si>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</si>
  <si>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</si>
  <si>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</si>
  <si>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</si>
  <si>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</si>
  <si>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</si>
  <si>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</si>
  <si>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</si>
  <si>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</si>
  <si>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</si>
  <si>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</si>
  <si>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</si>
  <si>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</si>
  <si>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</si>
  <si>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</si>
  <si>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</si>
  <si>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</si>
  <si>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</si>
  <si>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</si>
  <si>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</si>
  <si>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</si>
  <si>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</si>
  <si>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</si>
  <si>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</si>
  <si>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</si>
  <si>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</si>
  <si>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</si>
  <si>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</si>
  <si>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</si>
  <si>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</si>
  <si>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</si>
  <si>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</si>
  <si>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</si>
  <si>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</si>
  <si>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</si>
  <si>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</si>
  <si>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</si>
  <si>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</si>
  <si>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</si>
  <si>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</si>
  <si>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</si>
  <si>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</si>
  <si>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</si>
  <si>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</si>
  <si>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</si>
  <si>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</si>
  <si>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</si>
  <si>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</si>
  <si>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</si>
  <si>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</si>
  <si>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</si>
  <si>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</si>
  <si>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</si>
  <si>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</si>
  <si>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</si>
  <si>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</si>
  <si>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</si>
  <si>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</si>
  <si>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</si>
  <si>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</si>
  <si>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</si>
  <si>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</si>
  <si>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</si>
  <si>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</si>
  <si>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</si>
  <si>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</si>
  <si>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</si>
  <si>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</si>
  <si>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</si>
  <si>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</si>
  <si>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</si>
  <si>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</si>
  <si>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</si>
  <si>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</si>
  <si>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</si>
  <si>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</si>
  <si>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</si>
  <si>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</si>
  <si>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</si>
  <si>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</si>
  <si>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</si>
  <si>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</si>
  <si>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</si>
  <si>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</si>
  <si>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</si>
  <si>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</si>
  <si>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</si>
  <si>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</si>
  <si>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</si>
  <si>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</si>
  <si>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</si>
  <si>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</si>
  <si>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</si>
  <si>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</si>
  <si>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</si>
  <si>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</si>
  <si>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</si>
  <si>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</si>
  <si>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</si>
  <si>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</si>
  <si>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</si>
  <si>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</si>
  <si>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</si>
  <si>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</si>
  <si>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</si>
  <si>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</si>
  <si>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</si>
  <si>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</si>
  <si>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</si>
  <si>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</si>
  <si>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</si>
  <si>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</si>
  <si>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</si>
  <si>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</si>
  <si>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</si>
  <si>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</si>
  <si>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</si>
  <si>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</si>
  <si>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</si>
  <si>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</si>
  <si>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</si>
  <si>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</si>
  <si>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</si>
  <si>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</si>
  <si>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</si>
  <si>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</si>
  <si>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</si>
  <si>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</si>
  <si>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</si>
  <si>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</si>
  <si>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</si>
  <si>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</si>
  <si>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</si>
  <si>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</si>
  <si>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</si>
  <si>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</si>
  <si>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</si>
  <si>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</si>
  <si>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</si>
  <si>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</si>
  <si>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</si>
  <si>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</si>
  <si>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</si>
  <si>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</si>
  <si>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</si>
  <si>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</si>
  <si>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</si>
  <si>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</si>
  <si>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</si>
  <si>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</si>
  <si>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</si>
  <si>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</si>
  <si>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</si>
  <si>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</si>
  <si>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</si>
  <si>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</si>
  <si>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</si>
  <si>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</si>
  <si>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</si>
  <si>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</si>
  <si>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</si>
  <si>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</si>
  <si>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</si>
  <si>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</si>
  <si>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</si>
  <si>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</si>
  <si>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</si>
  <si>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</si>
  <si>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</si>
  <si>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</si>
  <si>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</si>
  <si>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</si>
  <si>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</si>
  <si>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</si>
  <si>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</si>
  <si>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</si>
  <si>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</si>
  <si>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</si>
  <si>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</si>
  <si>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</si>
  <si>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</si>
  <si>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</si>
  <si>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</si>
  <si>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</si>
  <si>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</si>
  <si>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</si>
  <si>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</si>
  <si>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</si>
  <si>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</si>
  <si>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</si>
  <si>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</si>
  <si>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</si>
  <si>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</si>
  <si>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</si>
  <si>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</si>
  <si>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</si>
  <si>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</si>
  <si>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</si>
  <si>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</si>
  <si>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</si>
  <si>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</si>
  <si>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</si>
  <si>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</si>
  <si>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</si>
  <si>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</si>
  <si>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</si>
  <si>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</si>
  <si>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</si>
  <si>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</si>
  <si>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</si>
  <si>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</si>
  <si>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</si>
  <si>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</si>
  <si>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</si>
  <si>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</si>
  <si>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</si>
  <si>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</si>
  <si>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</si>
  <si>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</si>
  <si>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</si>
  <si>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</si>
  <si>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</si>
  <si>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</si>
  <si>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</si>
  <si>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</si>
  <si>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</si>
  <si>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</si>
  <si>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</si>
  <si>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</si>
  <si>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</si>
  <si>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</si>
  <si>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</si>
  <si>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</si>
  <si>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</si>
  <si>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</si>
  <si>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</si>
  <si>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</si>
  <si>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</si>
  <si>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</si>
  <si>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</si>
  <si>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</si>
  <si>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</si>
  <si>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</si>
  <si>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</si>
  <si>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</si>
  <si>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</si>
  <si>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</si>
  <si>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</si>
  <si>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</si>
  <si>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</si>
  <si>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</si>
  <si>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</si>
  <si>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</si>
  <si>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</si>
  <si>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</si>
  <si>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</si>
  <si>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</si>
  <si>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</si>
  <si>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</si>
  <si>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</si>
  <si>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</si>
  <si>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</si>
  <si>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</si>
  <si>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</si>
  <si>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</si>
  <si>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</si>
  <si>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</si>
  <si>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</si>
  <si>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</si>
  <si>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</si>
  <si>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</si>
  <si>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</si>
  <si>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</si>
  <si>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</si>
  <si>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</si>
  <si>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</si>
  <si>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</si>
  <si>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</si>
  <si>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</si>
  <si>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</si>
  <si>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</si>
  <si>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</si>
  <si>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</si>
  <si>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</si>
  <si>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</si>
  <si>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</si>
  <si>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</si>
  <si>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</si>
  <si>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</si>
  <si>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</si>
  <si>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</si>
  <si>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</si>
  <si>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</si>
  <si>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</si>
  <si>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</si>
  <si>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</si>
  <si>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</si>
  <si>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</si>
  <si>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</si>
  <si>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</si>
  <si>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</si>
  <si>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</si>
  <si>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</si>
  <si>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</si>
  <si>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</si>
  <si>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</si>
  <si>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</si>
  <si>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</si>
  <si>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</si>
  <si>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</si>
  <si>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</si>
  <si>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</si>
  <si>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</si>
  <si>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</si>
  <si>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</si>
  <si>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</si>
  <si>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</si>
  <si>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</si>
  <si>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</si>
  <si>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</si>
  <si>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</si>
  <si>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</si>
  <si>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</si>
  <si>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</si>
  <si>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</si>
  <si>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</si>
  <si>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</si>
  <si>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</si>
  <si>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</si>
  <si>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</si>
  <si>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</si>
  <si>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</si>
  <si>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</si>
  <si>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</si>
  <si>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</si>
  <si>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</si>
  <si>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</si>
  <si>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</si>
  <si>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</si>
  <si>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</si>
  <si>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</si>
  <si>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</si>
  <si>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</si>
  <si>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</si>
  <si>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</si>
  <si>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</si>
  <si>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</si>
  <si>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</si>
  <si>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</si>
  <si>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</si>
  <si>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</si>
  <si>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</si>
  <si>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</si>
  <si>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</si>
  <si>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</si>
  <si>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</si>
  <si>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</si>
  <si>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</si>
  <si>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</si>
  <si>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</si>
  <si>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</si>
  <si>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</si>
  <si>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</si>
  <si>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</si>
  <si>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</si>
  <si>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</si>
  <si>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</si>
  <si>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</si>
  <si>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</si>
  <si>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</si>
  <si>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</si>
  <si>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</si>
  <si>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</si>
  <si>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</si>
  <si>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</si>
  <si>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</si>
  <si>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</si>
  <si>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</si>
  <si>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</si>
  <si>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</si>
  <si>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</si>
  <si>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</si>
  <si>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</si>
  <si>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</si>
  <si>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</si>
  <si>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</si>
  <si>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</si>
  <si>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</si>
  <si>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</si>
  <si>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</si>
  <si>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</si>
  <si>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</si>
  <si>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</si>
  <si>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</si>
  <si>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</si>
  <si>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</si>
  <si>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</si>
  <si>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</si>
  <si>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</si>
  <si>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</si>
  <si>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</si>
  <si>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</si>
  <si>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</si>
  <si>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</si>
  <si>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</si>
  <si>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</si>
  <si>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</si>
  <si>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</si>
  <si>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</si>
  <si>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</si>
  <si>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</si>
  <si>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</si>
  <si>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</si>
  <si>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</si>
  <si>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</si>
  <si>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</si>
  <si>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</si>
  <si>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</si>
  <si>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</si>
  <si>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</si>
  <si>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</si>
  <si>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</si>
  <si>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</si>
  <si>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</si>
  <si>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</si>
  <si>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</si>
  <si>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</si>
  <si>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</si>
  <si>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</si>
  <si>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</si>
  <si>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</si>
  <si>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</si>
  <si>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</si>
  <si>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</si>
  <si>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</si>
  <si>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</si>
  <si>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</si>
  <si>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</si>
  <si>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</si>
  <si>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</si>
  <si>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</si>
  <si>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</si>
  <si>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</si>
  <si>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</si>
  <si>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</si>
  <si>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</si>
  <si>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</si>
  <si>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</si>
  <si>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</si>
  <si>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</si>
  <si>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</si>
  <si>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</si>
  <si>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</si>
  <si>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</si>
  <si>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</si>
  <si>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</si>
  <si>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</si>
  <si>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</si>
  <si>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</si>
  <si>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</si>
  <si>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</si>
  <si>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</si>
  <si>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</si>
  <si>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</si>
  <si>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</si>
  <si>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</si>
  <si>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</si>
  <si>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</si>
  <si>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</si>
  <si>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</si>
  <si>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</si>
  <si>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</si>
  <si>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</si>
  <si>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</si>
  <si>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</si>
  <si>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</si>
  <si>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</si>
  <si>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</si>
  <si>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</si>
  <si>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</si>
  <si>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</si>
  <si>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</si>
  <si>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</si>
  <si>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</si>
  <si>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</si>
  <si>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</si>
  <si>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</si>
  <si>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</si>
  <si>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</si>
  <si>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</si>
  <si>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</si>
  <si>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</si>
  <si>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</si>
  <si>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</si>
  <si>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</si>
  <si>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</si>
  <si>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</si>
  <si>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</si>
  <si>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</si>
  <si>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</si>
  <si>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</si>
  <si>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</si>
  <si>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</si>
  <si>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</si>
  <si>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</si>
  <si>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</si>
  <si>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</si>
  <si>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</si>
  <si>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</si>
  <si>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</si>
  <si>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</si>
  <si>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</si>
  <si>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</si>
  <si>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</si>
  <si>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</si>
  <si>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</si>
  <si>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</si>
  <si>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</si>
  <si>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</si>
  <si>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</si>
  <si>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</si>
  <si>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</si>
  <si>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</si>
  <si>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</si>
  <si>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</si>
  <si>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</si>
  <si>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</si>
  <si>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</si>
  <si>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</si>
  <si>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</si>
  <si>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</si>
  <si>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</si>
  <si>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</si>
  <si>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</si>
  <si>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</si>
  <si>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</si>
  <si>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</si>
  <si>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</si>
  <si>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</si>
  <si>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</si>
  <si>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</si>
  <si>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</si>
  <si>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</si>
  <si>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</si>
  <si>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</si>
  <si>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</si>
  <si>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</si>
  <si>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</si>
  <si>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</si>
  <si>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</si>
  <si>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</si>
  <si>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</si>
  <si>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</si>
  <si>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</si>
  <si>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</si>
  <si>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</si>
  <si>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</si>
  <si>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</si>
  <si>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</si>
  <si>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</si>
  <si>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</si>
  <si>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</si>
  <si>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</si>
  <si>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</si>
  <si>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</si>
  <si>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</si>
  <si>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</si>
  <si>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</si>
  <si>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</si>
  <si>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</si>
  <si>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</si>
  <si>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</si>
  <si>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</si>
  <si>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</si>
  <si>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</si>
  <si>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</si>
  <si>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</si>
  <si>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</si>
  <si>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</si>
  <si>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</si>
  <si>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</si>
  <si>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</si>
  <si>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</si>
  <si>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</si>
  <si>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</si>
  <si>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</si>
  <si>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</si>
  <si>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</si>
  <si>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</si>
  <si>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</si>
  <si>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</si>
  <si>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</si>
  <si>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</si>
  <si>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</si>
  <si>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</si>
  <si>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</si>
  <si>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</si>
  <si>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</si>
  <si>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</si>
  <si>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</si>
  <si>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</si>
  <si>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</si>
  <si>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</si>
  <si>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</si>
  <si>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</si>
  <si>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</si>
  <si>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</si>
  <si>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</si>
  <si>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</si>
  <si>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</si>
  <si>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</si>
  <si>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</si>
  <si>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</si>
  <si>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</si>
  <si>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</si>
  <si>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</si>
  <si>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</si>
  <si>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</si>
  <si>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</si>
  <si>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</si>
  <si>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</si>
  <si>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</si>
  <si>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</si>
  <si>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</si>
  <si>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</si>
  <si>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</si>
  <si>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</si>
  <si>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</si>
  <si>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</si>
  <si>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</si>
  <si>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</si>
  <si>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</si>
  <si>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</si>
  <si>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</si>
  <si>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</si>
  <si>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</si>
  <si>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</si>
  <si>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</si>
  <si>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</si>
  <si>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</si>
  <si>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</si>
  <si>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</si>
  <si>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</si>
  <si>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</si>
  <si>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</si>
  <si>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</si>
  <si>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</si>
  <si>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</si>
  <si>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</si>
  <si>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</si>
  <si>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</si>
  <si>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</si>
  <si>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</si>
  <si>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</si>
  <si>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</si>
  <si>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</si>
  <si>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</si>
  <si>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</si>
  <si>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</si>
  <si>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</si>
  <si>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</si>
  <si>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</si>
  <si>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</si>
  <si>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</si>
  <si>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</si>
  <si>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</si>
  <si>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</si>
  <si>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</si>
  <si>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</si>
  <si>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</si>
  <si>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</si>
  <si>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</si>
  <si>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</si>
  <si>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</si>
  <si>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</si>
  <si>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</si>
  <si>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</si>
  <si>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</si>
  <si>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</si>
  <si>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</si>
  <si>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</si>
  <si>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</si>
  <si>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</si>
  <si>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</si>
  <si>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</si>
  <si>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</si>
  <si>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</si>
  <si>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</si>
  <si>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</si>
  <si>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</si>
  <si>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</si>
  <si>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</si>
  <si>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</si>
  <si>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</si>
  <si>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</si>
  <si>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</si>
  <si>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</si>
  <si>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</si>
  <si>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</si>
  <si>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</si>
  <si>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</si>
  <si>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</si>
  <si>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</si>
  <si>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</si>
  <si>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</si>
  <si>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</si>
  <si>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</si>
  <si>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</si>
  <si>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</si>
  <si>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</si>
  <si>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</si>
  <si>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</si>
  <si>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</si>
  <si>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</si>
  <si>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</si>
  <si>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</si>
  <si>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</si>
  <si>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</si>
  <si>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</si>
  <si>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</si>
  <si>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</si>
  <si>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</si>
  <si>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</si>
  <si>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</si>
  <si>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</si>
  <si>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</si>
  <si>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</si>
  <si>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</si>
  <si>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</si>
  <si>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</si>
  <si>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</si>
  <si>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</si>
  <si>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</si>
  <si>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</si>
  <si>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</si>
  <si>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</si>
  <si>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</si>
  <si>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</si>
  <si>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</si>
  <si>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</si>
  <si>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</si>
  <si>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</si>
  <si>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</si>
  <si>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</si>
  <si>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</si>
  <si>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</si>
  <si>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</si>
  <si>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</si>
  <si>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</si>
  <si>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</si>
  <si>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</si>
  <si>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</si>
  <si>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</si>
  <si>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</si>
  <si>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</si>
  <si>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</si>
  <si>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</si>
  <si>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</si>
  <si>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</si>
  <si>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</si>
  <si>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</si>
  <si>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</si>
  <si>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</si>
  <si>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</si>
  <si>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</si>
  <si>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</si>
  <si>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</si>
  <si>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</si>
  <si>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</si>
  <si>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</si>
  <si>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</si>
  <si>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</si>
  <si>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</si>
  <si>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</si>
  <si>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</si>
  <si>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</si>
  <si>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</si>
  <si>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</si>
  <si>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</si>
  <si>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</si>
  <si>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</si>
  <si>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</si>
  <si>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</si>
  <si>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</si>
  <si>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</si>
  <si>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</si>
  <si>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</si>
  <si>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</si>
  <si>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</si>
  <si>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</si>
  <si>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</si>
  <si>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</si>
  <si>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</si>
  <si>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</si>
  <si>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</si>
  <si>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</si>
  <si>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</si>
  <si>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</si>
  <si>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</si>
  <si>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</si>
  <si>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</si>
  <si>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</si>
  <si>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</si>
  <si>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</si>
  <si>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</si>
  <si>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</si>
  <si>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</si>
  <si>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</si>
  <si>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</si>
  <si>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</si>
  <si>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</si>
  <si>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</si>
  <si>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</si>
  <si>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</si>
  <si>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</si>
  <si>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</si>
  <si>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</si>
  <si>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</si>
  <si>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</si>
  <si>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</si>
  <si>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</si>
  <si>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</si>
  <si>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</si>
  <si>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</si>
  <si>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</si>
  <si>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</si>
  <si>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</si>
  <si>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</si>
  <si>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</si>
  <si>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</si>
  <si>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</si>
  <si>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</si>
  <si>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</si>
  <si>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</si>
  <si>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</si>
  <si>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</si>
  <si>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</si>
  <si>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</si>
  <si>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</si>
  <si>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</si>
  <si>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</si>
  <si>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</si>
  <si>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</si>
  <si>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</si>
  <si>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</si>
  <si>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</si>
  <si>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</si>
  <si>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</si>
  <si>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</si>
  <si>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</si>
  <si>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</si>
  <si>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</si>
  <si>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</si>
  <si>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</si>
  <si>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</si>
  <si>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</si>
  <si>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</si>
  <si>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</si>
  <si>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</si>
  <si>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</si>
  <si>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</si>
  <si>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</si>
  <si>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</si>
  <si>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</si>
  <si>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</si>
  <si>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</si>
  <si>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</si>
  <si>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</si>
  <si>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</si>
  <si>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</si>
  <si>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</si>
  <si>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</si>
  <si>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</si>
  <si>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</si>
  <si>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</si>
  <si>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</si>
  <si>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</si>
  <si>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</si>
  <si>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</si>
  <si>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</si>
  <si>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</si>
  <si>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</si>
  <si>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</si>
  <si>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</si>
  <si>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</si>
  <si>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</si>
  <si>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</si>
  <si>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</si>
  <si>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</si>
  <si>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</si>
  <si>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</si>
  <si>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</si>
  <si>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</si>
  <si>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</si>
  <si>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</si>
  <si>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</si>
  <si>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</si>
  <si>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</si>
  <si>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</si>
  <si>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</si>
  <si>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</si>
  <si>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</si>
  <si>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</si>
  <si>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</si>
  <si>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</si>
  <si>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</si>
  <si>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</si>
  <si>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</si>
  <si>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</si>
  <si>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</si>
  <si>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</si>
  <si>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</si>
  <si>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</si>
  <si>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</si>
  <si>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</si>
  <si>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</si>
  <si>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</si>
  <si>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</si>
  <si>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</si>
  <si>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</si>
  <si>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</si>
  <si>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</si>
  <si>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</si>
  <si>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</si>
  <si>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</si>
  <si>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</si>
  <si>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</si>
  <si>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</si>
  <si>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</si>
  <si>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</si>
  <si>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</si>
  <si>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</si>
  <si>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</si>
  <si>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</si>
  <si>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</si>
  <si>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</si>
  <si>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</si>
  <si>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</si>
  <si>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</si>
  <si>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</si>
  <si>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</si>
  <si>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</si>
  <si>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</si>
  <si>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</si>
  <si>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</si>
  <si>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</si>
  <si>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</si>
  <si>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</si>
  <si>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</si>
  <si>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</si>
  <si>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</si>
  <si>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</si>
  <si>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</si>
  <si>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</si>
  <si>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</si>
  <si>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</si>
  <si>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</si>
  <si>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</si>
  <si>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</si>
  <si>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</si>
  <si>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</si>
  <si>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</si>
  <si>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</si>
  <si>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</si>
  <si>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</si>
  <si>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</si>
  <si>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</si>
  <si>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</si>
  <si>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</si>
  <si>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</si>
  <si>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</si>
  <si>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</si>
  <si>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</si>
  <si>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</si>
  <si>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</si>
  <si>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</si>
  <si>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</si>
  <si>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</si>
  <si>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</si>
  <si>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</si>
  <si>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</si>
  <si>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</si>
  <si>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</si>
  <si>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</si>
  <si>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</si>
  <si>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</si>
  <si>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</si>
  <si>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</si>
  <si>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</si>
  <si>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</si>
  <si>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</si>
  <si>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</si>
  <si>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</si>
  <si>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</si>
  <si>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</si>
  <si>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</si>
  <si>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</si>
  <si>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</si>
  <si>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</si>
  <si>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</si>
  <si>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</si>
  <si>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</si>
  <si>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</si>
  <si>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</si>
  <si>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</si>
  <si>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</si>
  <si>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</si>
  <si>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</si>
  <si>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</si>
  <si>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</si>
  <si>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</si>
  <si>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</si>
  <si>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</si>
  <si>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</si>
  <si>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</si>
  <si>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</si>
  <si>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</si>
  <si>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</si>
  <si>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</si>
  <si>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</si>
  <si>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</si>
  <si>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</si>
  <si>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</si>
  <si>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</si>
  <si>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</si>
  <si>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</si>
  <si>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</si>
  <si>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</si>
  <si>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</si>
  <si>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</si>
  <si>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</si>
  <si>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</si>
  <si>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</si>
  <si>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</si>
  <si>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</si>
  <si>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</si>
  <si>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</si>
  <si>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</si>
  <si>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</si>
  <si>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</si>
  <si>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</si>
  <si>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</si>
  <si>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</si>
  <si>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</si>
  <si>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</si>
  <si>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</si>
  <si>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</si>
  <si>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</si>
  <si>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</si>
  <si>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</si>
  <si>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</si>
  <si>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</si>
  <si>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</si>
  <si>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</si>
  <si>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</si>
  <si>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</si>
  <si>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</si>
  <si>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</si>
  <si>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</si>
  <si>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</si>
  <si>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</si>
  <si>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</si>
  <si>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</si>
  <si>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</si>
  <si>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</si>
  <si>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</si>
  <si>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</si>
  <si>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</si>
  <si>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</si>
  <si>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</si>
  <si>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</si>
  <si>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</si>
  <si>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</si>
  <si>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</si>
  <si>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</si>
  <si>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</si>
  <si>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</si>
  <si>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</si>
  <si>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</si>
  <si>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</si>
  <si>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</si>
  <si>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</si>
  <si>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</si>
  <si>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</si>
  <si>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</si>
  <si>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</si>
  <si>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</si>
  <si>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</si>
  <si>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</si>
  <si>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</si>
  <si>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</si>
  <si>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</si>
  <si>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</si>
  <si>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</si>
  <si>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</si>
  <si>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</si>
  <si>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</si>
  <si>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</si>
  <si>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</si>
  <si>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</si>
  <si>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</si>
  <si>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</si>
  <si>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</si>
  <si>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</si>
  <si>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</si>
  <si>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</si>
  <si>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</si>
  <si>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</si>
  <si>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</si>
  <si>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</si>
  <si>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</si>
  <si>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</si>
  <si>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</si>
  <si>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</si>
  <si>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</si>
  <si>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</si>
  <si>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</si>
  <si>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</si>
  <si>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</si>
  <si>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</si>
  <si>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</si>
  <si>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</si>
  <si>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</si>
  <si>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</si>
  <si>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</si>
  <si>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</si>
  <si>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</si>
  <si>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</si>
  <si>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</si>
  <si>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</si>
  <si>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</si>
  <si>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</si>
  <si>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</si>
  <si>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</si>
  <si>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</si>
  <si>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</si>
  <si>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</si>
  <si>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</si>
  <si>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</si>
  <si>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</si>
  <si>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</si>
  <si>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</si>
  <si>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</si>
  <si>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</si>
  <si>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</si>
  <si>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</si>
  <si>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</si>
  <si>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</si>
  <si>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</si>
  <si>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</si>
  <si>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</si>
  <si>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</si>
  <si>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</si>
  <si>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</si>
  <si>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</si>
  <si>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</si>
  <si>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</si>
  <si>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</si>
  <si>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</si>
  <si>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</si>
  <si>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</si>
  <si>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</si>
  <si>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</si>
  <si>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</si>
  <si>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</si>
  <si>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</si>
  <si>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</si>
  <si>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</si>
  <si>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</si>
  <si>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</si>
  <si>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</si>
  <si>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</si>
  <si>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</si>
  <si>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</si>
  <si>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</si>
  <si>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</si>
  <si>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</si>
  <si>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</si>
  <si>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</si>
  <si>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</si>
  <si>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</si>
  <si>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</si>
  <si>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</si>
  <si>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</si>
  <si>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</si>
  <si>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</si>
  <si>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</si>
  <si>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</si>
  <si>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</si>
  <si>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</si>
  <si>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</si>
  <si>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</si>
  <si>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</si>
  <si>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</si>
  <si>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</si>
  <si>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</si>
  <si>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</si>
  <si>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</si>
  <si>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</si>
  <si>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</si>
  <si>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</si>
  <si>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</si>
  <si>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</si>
  <si>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</si>
  <si>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</si>
  <si>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</si>
  <si>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</si>
  <si>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</si>
  <si>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</si>
  <si>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</si>
  <si>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</si>
  <si>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</si>
  <si>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</si>
  <si>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</si>
  <si>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</si>
  <si>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</si>
  <si>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</si>
  <si>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</si>
  <si>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</si>
  <si>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</si>
  <si>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</si>
  <si>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</si>
  <si>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</si>
  <si>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</si>
  <si>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</si>
  <si>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</si>
  <si>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</si>
  <si>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</si>
  <si>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</si>
  <si>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</si>
  <si>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</si>
  <si>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</si>
  <si>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</si>
  <si>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</si>
  <si>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</si>
  <si>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</si>
  <si>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</si>
  <si>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</si>
  <si>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</si>
  <si>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</si>
  <si>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</si>
  <si>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</si>
  <si>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</si>
  <si>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</si>
  <si>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</si>
  <si>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</si>
  <si>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</si>
  <si>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</si>
  <si>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</si>
  <si>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</si>
  <si>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</si>
  <si>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</si>
  <si>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</si>
  <si>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</si>
  <si>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</si>
  <si>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</si>
  <si>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</si>
  <si>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</si>
  <si>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</si>
  <si>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</si>
  <si>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</si>
  <si>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</si>
  <si>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</si>
  <si>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</si>
  <si>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</si>
  <si>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</si>
  <si>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</si>
  <si>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</si>
  <si>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</si>
  <si>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</si>
  <si>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</si>
  <si>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</si>
  <si>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</si>
  <si>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</si>
  <si>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</si>
  <si>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</si>
  <si>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</si>
  <si>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</si>
  <si>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</si>
  <si>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</si>
  <si>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</si>
  <si>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</si>
  <si>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</si>
  <si>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</si>
  <si>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</si>
  <si>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</si>
  <si>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</si>
  <si>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</si>
  <si>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</si>
  <si>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</si>
  <si>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</si>
  <si>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</si>
  <si>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</si>
  <si>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</si>
  <si>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</si>
  <si>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</si>
  <si>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</si>
  <si>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</si>
  <si>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</si>
  <si>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</si>
  <si>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</si>
  <si>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</si>
  <si>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</si>
  <si>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</si>
  <si>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</si>
  <si>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</si>
  <si>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</si>
  <si>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</si>
  <si>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</si>
  <si>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</si>
  <si>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</si>
  <si>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</si>
  <si>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</si>
  <si>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</si>
  <si>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</si>
  <si>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</si>
  <si>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</si>
  <si>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</si>
  <si>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</si>
  <si>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</si>
  <si>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</si>
  <si>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</si>
  <si>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</si>
  <si>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</si>
  <si>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</si>
  <si>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</si>
  <si>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</si>
  <si>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</si>
  <si>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</si>
  <si>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</si>
  <si>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</si>
  <si>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</si>
  <si>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</si>
  <si>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</si>
  <si>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</si>
  <si>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</si>
  <si>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</si>
  <si>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</si>
  <si>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</si>
  <si>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</si>
  <si>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</si>
  <si>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</si>
  <si>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</si>
  <si>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</si>
  <si>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</si>
  <si>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</si>
  <si>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</si>
  <si>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</si>
  <si>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</si>
  <si>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</si>
  <si>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</si>
  <si>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</si>
  <si>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</si>
  <si>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</si>
  <si>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</si>
  <si>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</si>
  <si>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</si>
  <si>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</si>
  <si>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</si>
  <si>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</si>
  <si>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</si>
  <si>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</si>
  <si>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</si>
  <si>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</si>
  <si>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</si>
  <si>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</si>
  <si>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</si>
  <si>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</si>
  <si>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</si>
  <si>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</si>
  <si>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</si>
  <si>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</si>
  <si>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</si>
  <si>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</si>
  <si>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</si>
  <si>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</si>
  <si>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</si>
  <si>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</si>
  <si>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</si>
  <si>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</si>
  <si>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</si>
  <si>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</si>
  <si>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</si>
  <si>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</si>
  <si>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</si>
  <si>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</si>
  <si>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</si>
  <si>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</si>
  <si>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</si>
  <si>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</si>
  <si>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</si>
  <si>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</si>
  <si>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</si>
  <si>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</si>
  <si>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</si>
  <si>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</si>
  <si>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</si>
  <si>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</si>
  <si>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</si>
  <si>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</si>
  <si>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</si>
  <si>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</si>
  <si>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</si>
  <si>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</si>
  <si>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</si>
  <si>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</si>
  <si>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按房产原值计税</t>
  </si>
  <si>
    <t>否</t>
  </si>
  <si>
    <t>未包含在土地购买价格中</t>
  </si>
  <si>
    <t>全部缴纳</t>
  </si>
  <si>
    <t>已包含在土地取得成本中</t>
  </si>
  <si>
    <t>收益法-酒店模型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</si>
</sst>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39" fillId="0" borderId="34" xfId="4"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35780;&#20272;\&#36149;&#38451;&#20013;&#22825;&#39033;&#30446;2023&#24180;\2023-1-0824-&#23545;&#20844;&#20107;&#19994;&#37096;&#8212;&#30005;&#31639;&#34920;-&#23637;&#39302;5&#21495;.xlsx" TargetMode="External"/><Relationship Id="rId1" Type="http://schemas.openxmlformats.org/officeDocument/2006/relationships/externalLinkPath" Target="2023-1-0824-&#23545;&#20844;&#20107;&#19994;&#37096;&#8212;&#30005;&#31639;&#34920;-&#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11657.060000000001</v>
          </cell>
          <cell r="D14">
            <v>7788</v>
          </cell>
          <cell r="J14">
            <v>8211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04" customWidth="1"/>
    <col min="2" max="2" width="81" style="1120" customWidth="1"/>
    <col min="3" max="16384" width="9" style="1113"/>
  </cols>
  <sheetData>
    <row r="1" spans="1:2" s="1107" customFormat="1" ht="16" thickBot="1">
      <c r="A1" s="1106" t="s">
        <v>521</v>
      </c>
      <c r="B1" s="1105" t="s">
        <v>600</v>
      </c>
    </row>
    <row r="2" spans="1:2" s="1110" customFormat="1" ht="15.5" thickTop="1">
      <c r="A2" s="1108" t="s">
        <v>522</v>
      </c>
      <c r="B2" s="1109" t="str">
        <f>'预评函-封皮'!B37:I37</f>
        <v>北京市房地产抵押价值预评估</v>
      </c>
    </row>
    <row r="3" spans="1:2">
      <c r="A3" s="1111" t="s">
        <v>523</v>
      </c>
      <c r="B3" s="1112">
        <f>'预评函-封皮'!B40</f>
        <v>0</v>
      </c>
    </row>
    <row r="4" spans="1:2">
      <c r="A4" s="1111" t="s">
        <v>524</v>
      </c>
      <c r="B4" s="1112" t="str">
        <f>'预评函-封皮'!B46</f>
        <v>（注册号：0)、（注册号：0)</v>
      </c>
    </row>
    <row r="5" spans="1:2" s="1107" customFormat="1" ht="15.5" thickBot="1">
      <c r="A5" s="1114" t="s">
        <v>525</v>
      </c>
      <c r="B5" s="1115" t="str">
        <f>'预评函-封皮'!B49</f>
        <v>康正预评字号</v>
      </c>
    </row>
    <row r="6" spans="1:2" s="1110" customFormat="1" ht="15.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估价对象为北京市房地产，为所有。根据《国有土地使用证》[]，估价对象（分摊）出让国有建设用地使用权面积为0平方米，建筑面积为41819.96平方米。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估价对象为北京市房地产,为开发建设的，该项目尚在开发建设中。根据《国有土地使用证》[]，估价对象（分摊）出让国有建设用地使用权面积为0平方米，规划建筑面积为41819.96平方米。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2023年11月8日（评估专业人员实地查勘之日）</v>
      </c>
    </row>
    <row r="13" spans="1:2">
      <c r="A13" s="1111" t="s">
        <v>529</v>
      </c>
      <c r="B13" s="1112"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5" thickBot="1">
      <c r="A18" s="1114" t="s">
        <v>534</v>
      </c>
      <c r="B18" s="1115" t="str">
        <f>'预评函-1'!A24</f>
        <v>本次评估采用的主估价方法为成本法和收益法。</v>
      </c>
    </row>
    <row r="19" spans="1:2" s="1110" customFormat="1" ht="15.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69432</v>
      </c>
    </row>
    <row r="21" spans="1:2">
      <c r="A21" s="1111" t="s">
        <v>537</v>
      </c>
      <c r="B21" s="1112">
        <f ca="1">'预评函-2'!D7</f>
        <v>16603</v>
      </c>
    </row>
    <row r="22" spans="1:2">
      <c r="A22" s="1111" t="s">
        <v>538</v>
      </c>
      <c r="B22" s="1112" t="str">
        <f ca="1">'预评函-2'!D6</f>
        <v>陆亿玖仟肆佰叁拾贰万元整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69432</v>
      </c>
    </row>
    <row r="31" spans="1:2">
      <c r="A31" s="1111" t="s">
        <v>576</v>
      </c>
      <c r="B31" s="1112">
        <f ca="1">'预评函-2'!D15</f>
        <v>16603</v>
      </c>
    </row>
    <row r="32" spans="1:2">
      <c r="A32" s="1111" t="s">
        <v>543</v>
      </c>
      <c r="B32" s="1112" t="str">
        <f ca="1">'预评函-2'!D14</f>
        <v>陆亿玖仟肆佰叁拾贰万元整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ht="30">
      <c r="A42" s="1111" t="s">
        <v>590</v>
      </c>
      <c r="B42" s="1112" t="str">
        <f>'预评函-3'!B2</f>
        <v>建筑面积</v>
      </c>
    </row>
    <row r="43" spans="1:2">
      <c r="A43" s="1111" t="s">
        <v>591</v>
      </c>
      <c r="B43" s="1112">
        <f>'预评函-3'!B4</f>
        <v>41819.959999999992</v>
      </c>
    </row>
    <row r="44" spans="1:2" ht="30">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11803</v>
      </c>
    </row>
    <row r="48" spans="1:2">
      <c r="A48" s="1111" t="s">
        <v>549</v>
      </c>
      <c r="B48" s="1112">
        <f ca="1">'预评函-3'!E4</f>
        <v>2823</v>
      </c>
    </row>
    <row r="49" spans="1:2">
      <c r="A49" s="1111" t="s">
        <v>550</v>
      </c>
      <c r="B49" s="1112" t="str">
        <f ca="1">'预评函-3'!D5</f>
        <v>壹亿壹仟捌佰零叁万元整</v>
      </c>
    </row>
    <row r="50" spans="1:2">
      <c r="A50" s="1111" t="s">
        <v>574</v>
      </c>
      <c r="B50" s="1112" t="str">
        <f>'预评函-3'!F2</f>
        <v>在建建筑物价值</v>
      </c>
    </row>
    <row r="51" spans="1:2">
      <c r="A51" s="1111" t="s">
        <v>551</v>
      </c>
      <c r="B51" s="1112">
        <f ca="1">'预评函-3'!F4</f>
        <v>57629</v>
      </c>
    </row>
    <row r="52" spans="1:2">
      <c r="A52" s="1111" t="s">
        <v>552</v>
      </c>
      <c r="B52" s="1112">
        <f ca="1">'预评函-3'!G4</f>
        <v>13780</v>
      </c>
    </row>
    <row r="53" spans="1:2">
      <c r="A53" s="1111" t="s">
        <v>580</v>
      </c>
      <c r="B53" s="1112" t="str">
        <f ca="1">'预评函-3'!F5</f>
        <v>伍亿柒仟陆佰贰拾玖万元整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5" thickBot="1">
      <c r="A57" s="1114" t="s">
        <v>599</v>
      </c>
      <c r="B57" s="1115" t="str">
        <f>'预评函-3'!A6</f>
        <v>估价师知悉的法定优先受偿款</v>
      </c>
    </row>
    <row r="58" spans="1:2" s="1110" customFormat="1" ht="15.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5" thickBot="1">
      <c r="A69" s="1114" t="s">
        <v>561</v>
      </c>
      <c r="B69" s="1116">
        <f>'预评函-4'!C31</f>
        <v>42551</v>
      </c>
    </row>
    <row r="70" spans="1:2" ht="15.5" thickTop="1">
      <c r="A70" s="1117" t="s">
        <v>562</v>
      </c>
      <c r="B70" s="1118">
        <f>'预评函-4'!A4</f>
        <v>0</v>
      </c>
    </row>
    <row r="71" spans="1:2">
      <c r="A71" s="1111" t="s">
        <v>563</v>
      </c>
      <c r="B71" s="1112">
        <f>'预评函-4'!B4</f>
        <v>0</v>
      </c>
    </row>
    <row r="72" spans="1:2">
      <c r="A72" s="1111" t="s">
        <v>564</v>
      </c>
      <c r="B72" s="1119">
        <f>'预评函-4'!A5</f>
        <v>0</v>
      </c>
    </row>
    <row r="73" spans="1:2" s="1107" customFormat="1" ht="15.5" thickBot="1">
      <c r="A73" s="1114" t="s">
        <v>565</v>
      </c>
      <c r="B73" s="1115">
        <f>'预评函-4'!B5</f>
        <v>0</v>
      </c>
    </row>
    <row r="74" spans="1:2" ht="15.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
  <cols>
    <col min="1" max="1" width="13.453125" style="1440" customWidth="1"/>
    <col min="2" max="2" width="23.26953125" style="1397" customWidth="1"/>
    <col min="3" max="3" width="13" style="1437" customWidth="1"/>
    <col min="4" max="4" width="5.7265625" style="1435" customWidth="1"/>
    <col min="5" max="5" width="7.08984375" style="1435" customWidth="1"/>
    <col min="6" max="6" width="10.6328125" style="1435" customWidth="1"/>
    <col min="7" max="7" width="7.453125" style="1435" customWidth="1"/>
    <col min="8" max="8" width="11.90625" style="1437" customWidth="1"/>
    <col min="9" max="9" width="11.6328125" style="1437" customWidth="1"/>
    <col min="10" max="10" width="9" style="1437" customWidth="1"/>
    <col min="11" max="19" width="9" style="1435" customWidth="1"/>
    <col min="20" max="23" width="9" style="1437" customWidth="1"/>
    <col min="24" max="24" width="21.08984375" style="1397" customWidth="1"/>
    <col min="25" max="16384" width="9" style="1397"/>
  </cols>
  <sheetData>
    <row r="1" spans="1:23" s="1432" customFormat="1" ht="42">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09"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39" t="s">
        <v>385</v>
      </c>
      <c r="C54" s="1437" t="s">
        <v>583</v>
      </c>
    </row>
    <row r="55" spans="1:4">
      <c r="A55" s="3209"/>
      <c r="B55" s="1439" t="s">
        <v>386</v>
      </c>
      <c r="C55" s="1437" t="s">
        <v>584</v>
      </c>
    </row>
    <row r="56" spans="1:4">
      <c r="A56" s="3209"/>
      <c r="B56" s="1439" t="s">
        <v>387</v>
      </c>
      <c r="C56" s="1437" t="s">
        <v>588</v>
      </c>
    </row>
    <row r="57" spans="1:4">
      <c r="A57" s="3209"/>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35" sqref="B35"/>
    </sheetView>
  </sheetViews>
  <sheetFormatPr defaultColWidth="15.26953125" defaultRowHeight="14"/>
  <cols>
    <col min="1" max="7" width="15.26953125" style="2747"/>
    <col min="8" max="8" width="5.453125" style="2747" customWidth="1"/>
    <col min="9" max="13" width="9.453125" style="2788" customWidth="1"/>
    <col min="14" max="18" width="9.453125" style="2747" customWidth="1"/>
    <col min="19" max="16384" width="15.269531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0" t="s">
        <v>2575</v>
      </c>
      <c r="J2" s="3210"/>
      <c r="K2" s="3210"/>
      <c r="L2" s="3210"/>
      <c r="M2" s="3210"/>
      <c r="N2" s="3210"/>
      <c r="O2" s="3210"/>
      <c r="P2" s="3210"/>
      <c r="Q2" s="3210"/>
      <c r="R2" s="3210"/>
    </row>
    <row r="3" spans="1:18">
      <c r="A3" s="2751" t="s">
        <v>2496</v>
      </c>
      <c r="B3" s="2752">
        <f>项目基本情况!D3</f>
        <v>45238</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3.11</v>
      </c>
      <c r="D5" s="2756">
        <f>IF(ISERROR(ROUND(POWER(1+E5,A5-C5)*(POWER(1+E5,C5)-1)/(POWER(1+E5,A5)-1),3)),0,ROUND(POWER(1+E5,A5-C5)*(POWER(1+E5,C5)-1)/(POWER(1+E5,A5)-1),4))</f>
        <v>0.14499999999999999</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13.12</v>
      </c>
      <c r="D6" s="2756">
        <f>IF(ISERROR(ROUND(POWER(1+E6,A6-C6)*(POWER(1+E6,C6)-1)/(POWER(1+E6,A6)-1),3)),0,ROUND(POWER(1+E6,A6-C6)*(POWER(1+E6,C6)-1)/(POWER(1+E6,A6)-1),4))</f>
        <v>0.46810000000000002</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33.130000000000003</v>
      </c>
      <c r="D7" s="2756">
        <f>IF(ISERROR(ROUND(POWER(1+E7,A7-C7)*(POWER(1+E7,C7)-1)/(POWER(1+E7,A7)-1),3)),0,ROUND(POWER(1+E7,A7-C7)*(POWER(1+E7,C7)-1)/(POWER(1+E7,A7)-1),4))</f>
        <v>0.7772</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5" thickBot="1">
      <c r="A18" s="2761" t="s">
        <v>2511</v>
      </c>
      <c r="B18" s="2762">
        <f>ROUND(B17*F11/F12,2)</f>
        <v>5541.87</v>
      </c>
      <c r="C18" s="2762">
        <f>ROUND(F11/F12,4)</f>
        <v>1.1521999999999999</v>
      </c>
      <c r="D18" s="2763"/>
      <c r="E18" s="2763"/>
      <c r="F18" s="2764"/>
    </row>
    <row r="19" spans="1:13" ht="14.5" thickBot="1"/>
    <row r="20" spans="1:13" s="2797" customFormat="1" ht="14.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5"/>
  <cols>
    <col min="1" max="1" width="16.90625" style="1609" customWidth="1"/>
    <col min="2" max="2" width="10" style="1609" customWidth="1"/>
    <col min="3" max="3" width="11.453125" style="1609" customWidth="1"/>
    <col min="4" max="4" width="10" style="1609" customWidth="1"/>
    <col min="5" max="5" width="12.6328125" style="1609" customWidth="1"/>
    <col min="6" max="6" width="10" style="1609" customWidth="1"/>
    <col min="7" max="7" width="10.7265625" style="1609" customWidth="1"/>
    <col min="8" max="8" width="10" style="1609" customWidth="1"/>
    <col min="9" max="9" width="11.0898437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ht="13">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ht="13">
      <c r="A3" s="288" t="s">
        <v>2170</v>
      </c>
      <c r="B3" s="2176">
        <v>45238</v>
      </c>
      <c r="C3" s="2177" t="s">
        <v>2171</v>
      </c>
      <c r="D3" s="2176">
        <f>B3</f>
        <v>45238</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c r="C4" s="2179">
        <f>SUMIF(注册房地产估价师,B4,估价师及机构信息!B3:B24)</f>
        <v>0</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CONCATENATE(B4,"（注册号：",C4,")、",D4,"（注册号：",E4,")")</f>
        <v>（注册号：0)、（注册号：0)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ht="13">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ht="13">
      <c r="A7" s="2185" t="s">
        <v>2175</v>
      </c>
      <c r="B7" s="2189"/>
      <c r="C7" s="2187"/>
      <c r="D7" s="2188"/>
      <c r="E7" s="2430"/>
      <c r="F7" s="2431"/>
      <c r="G7" s="2431"/>
      <c r="H7" s="2431"/>
      <c r="I7" s="2431"/>
      <c r="J7" s="2236"/>
      <c r="K7" s="2392"/>
      <c r="L7" s="2389"/>
      <c r="M7" s="2389"/>
      <c r="N7" s="2236"/>
      <c r="O7" s="1661"/>
      <c r="P7" s="2236"/>
      <c r="Q7" s="2236"/>
      <c r="R7" s="2236"/>
    </row>
    <row r="8" spans="1:30" ht="13">
      <c r="A8" s="2190" t="s">
        <v>2176</v>
      </c>
      <c r="B8" s="2191" t="s">
        <v>3374</v>
      </c>
      <c r="C8" s="2192"/>
      <c r="D8" s="3214"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15"/>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ht="13">
      <c r="A11" s="2203" t="s">
        <v>2181</v>
      </c>
      <c r="B11" s="2204"/>
      <c r="C11" s="2205"/>
      <c r="D11" s="2206"/>
      <c r="E11" s="2173"/>
      <c r="F11" s="2173"/>
      <c r="G11" s="2173"/>
      <c r="H11" s="2173"/>
      <c r="I11" s="2173"/>
      <c r="J11" s="2790"/>
      <c r="K11" s="2389"/>
      <c r="L11" s="2389"/>
      <c r="M11" s="2389"/>
      <c r="N11" s="2236"/>
      <c r="O11" s="1661"/>
      <c r="P11" s="2236"/>
      <c r="Q11" s="2236"/>
      <c r="R11" s="2236"/>
    </row>
    <row r="12" spans="1:30" ht="13">
      <c r="A12" s="2207" t="s">
        <v>2182</v>
      </c>
      <c r="B12" s="309" t="s">
        <v>2183</v>
      </c>
      <c r="C12" s="2208" t="s">
        <v>2184</v>
      </c>
      <c r="D12" s="2208" t="s">
        <v>2185</v>
      </c>
      <c r="E12" s="2208" t="s">
        <v>2186</v>
      </c>
      <c r="F12" s="2208" t="s">
        <v>2187</v>
      </c>
      <c r="G12" s="2208" t="s">
        <v>2188</v>
      </c>
      <c r="H12" s="2208" t="s">
        <v>2189</v>
      </c>
      <c r="I12" s="2789" t="s">
        <v>2571</v>
      </c>
      <c r="J12" s="2791"/>
      <c r="K12" s="2389"/>
      <c r="L12" s="2389"/>
      <c r="M12" s="2236"/>
      <c r="N12" s="1661"/>
      <c r="O12" s="2236"/>
      <c r="P12" s="2236"/>
      <c r="Q12" s="2236"/>
      <c r="AD12" s="1609"/>
    </row>
    <row r="13" spans="1:30" ht="15">
      <c r="A13" s="3110" t="s">
        <v>3327</v>
      </c>
      <c r="B13" s="2209" t="s">
        <v>2190</v>
      </c>
      <c r="C13" s="796"/>
      <c r="D13" s="3133">
        <v>54415</v>
      </c>
      <c r="E13" s="3133">
        <v>54415</v>
      </c>
      <c r="F13" s="3133">
        <v>54415</v>
      </c>
      <c r="G13" s="796"/>
      <c r="H13" s="796"/>
      <c r="I13" s="796"/>
      <c r="J13" s="2791"/>
      <c r="K13" s="2389"/>
      <c r="L13" s="2389"/>
      <c r="M13" s="2236"/>
      <c r="N13" s="1661"/>
      <c r="O13" s="2236"/>
      <c r="P13" s="2236"/>
      <c r="Q13" s="2236"/>
      <c r="AD13" s="1609"/>
    </row>
    <row r="14" spans="1:30" ht="13">
      <c r="A14" s="1011"/>
      <c r="B14" s="2209" t="s">
        <v>2191</v>
      </c>
      <c r="C14" s="2210"/>
      <c r="D14" s="2210">
        <v>40</v>
      </c>
      <c r="E14" s="2210">
        <v>40</v>
      </c>
      <c r="F14" s="2210">
        <v>40</v>
      </c>
      <c r="G14" s="2210"/>
      <c r="H14" s="2210"/>
      <c r="I14" s="2210"/>
      <c r="J14" s="2792"/>
      <c r="K14" s="2389"/>
      <c r="L14" s="2389"/>
      <c r="M14" s="2236"/>
      <c r="N14" s="1661"/>
      <c r="O14" s="2236"/>
      <c r="P14" s="2236"/>
      <c r="Q14" s="2236"/>
      <c r="AD14" s="1609"/>
    </row>
    <row r="15" spans="1:30" ht="13">
      <c r="A15" s="306"/>
      <c r="B15" s="2211" t="s">
        <v>2192</v>
      </c>
      <c r="C15" s="2212" t="str">
        <f>IF(A13="出让",IF(C13="","",ROUNDDOWN(MIN((C13-$D$3)/365,C14),2)),C14)</f>
        <v/>
      </c>
      <c r="D15" s="2212">
        <f>IF(A13="出让",IF(D13="","",ROUNDDOWN(MIN((D13-$D$3)/365,D14),2)),D14)</f>
        <v>25.14</v>
      </c>
      <c r="E15" s="2212">
        <f>IF(A13="出让",IF(E13="","",ROUNDDOWN(MIN((E13-$D$3)/365,E14),2)),E14)</f>
        <v>25.14</v>
      </c>
      <c r="F15" s="2212">
        <f>IF(A13="出让",IF(F13="","",ROUNDDOWN(MIN((F13-$D$3)/365,F14),2)),F14)</f>
        <v>25.14</v>
      </c>
      <c r="G15" s="2212" t="str">
        <f>IF(A13="出让",IF(G13="","",ROUNDDOWN(MIN((G13-$D$3)/365,G14),2)),G14)</f>
        <v/>
      </c>
      <c r="H15" s="2212" t="str">
        <f>IF(A13="出让",IF(H13="","",ROUNDDOWN(MIN((H13-$D$3)/365,H14),2)),H14)</f>
        <v/>
      </c>
      <c r="I15" s="2212" t="str">
        <f>IF(A13="出让",IF(I13="","",ROUNDDOWN(MIN((I13-$D$3)/365,I14),2)),I14)</f>
        <v/>
      </c>
      <c r="J15" s="2793"/>
      <c r="K15" s="1661"/>
      <c r="L15" s="1661"/>
      <c r="M15" s="2236"/>
      <c r="N15" s="1661"/>
      <c r="O15" s="2236"/>
      <c r="P15" s="2236"/>
      <c r="Q15" s="2236"/>
      <c r="AD15" s="1609"/>
    </row>
    <row r="16" spans="1:30" ht="13">
      <c r="A16" s="2202" t="s">
        <v>2193</v>
      </c>
      <c r="B16" s="3221"/>
      <c r="C16" s="3222"/>
      <c r="D16" s="3223"/>
      <c r="E16" s="2213" t="s">
        <v>2194</v>
      </c>
      <c r="F16" s="3224"/>
      <c r="G16" s="3225"/>
      <c r="H16" s="3225"/>
      <c r="I16" s="3226"/>
      <c r="J16" s="2236"/>
      <c r="K16" s="2393"/>
      <c r="L16" s="1661"/>
      <c r="M16" s="1661"/>
      <c r="N16" s="2236"/>
      <c r="O16" s="1661"/>
      <c r="P16" s="2236"/>
      <c r="Q16" s="2236"/>
      <c r="R16" s="2236"/>
    </row>
    <row r="17" spans="1:28" ht="13">
      <c r="A17" s="299" t="s">
        <v>2195</v>
      </c>
      <c r="B17" s="288" t="s">
        <v>2196</v>
      </c>
      <c r="C17" s="8">
        <f>'数据-汇总表'!E3</f>
        <v>41819.959999999992</v>
      </c>
      <c r="D17" s="1248" t="s">
        <v>2197</v>
      </c>
      <c r="E17" s="3227" t="s">
        <v>2198</v>
      </c>
      <c r="F17" s="3228"/>
      <c r="G17" s="3228"/>
      <c r="H17" s="3228"/>
      <c r="I17" s="3229"/>
      <c r="J17" s="2236"/>
      <c r="K17" s="2394"/>
      <c r="L17" s="1661"/>
      <c r="M17" s="1661"/>
      <c r="N17" s="2236"/>
      <c r="O17" s="1661"/>
      <c r="P17" s="2236"/>
      <c r="Q17" s="2236"/>
      <c r="R17" s="2236"/>
      <c r="S17" s="2236"/>
      <c r="T17" s="2236"/>
      <c r="U17" s="2236"/>
      <c r="V17" s="2236"/>
    </row>
    <row r="18" spans="1:28" ht="26.5" thickBot="1">
      <c r="A18" s="2214" t="s">
        <v>2199</v>
      </c>
      <c r="B18" s="1020" t="s">
        <v>2200</v>
      </c>
      <c r="C18" s="2215">
        <f>'数据-汇总表'!D3</f>
        <v>0</v>
      </c>
      <c r="D18" s="1022" t="s">
        <v>2201</v>
      </c>
      <c r="E18" s="3230" t="s">
        <v>2202</v>
      </c>
      <c r="F18" s="3231"/>
      <c r="G18" s="3231"/>
      <c r="H18" s="3231"/>
      <c r="I18" s="3232"/>
      <c r="J18" s="2236"/>
      <c r="K18" s="2394"/>
      <c r="L18" s="1661"/>
      <c r="M18" s="1661"/>
      <c r="N18" s="2236"/>
      <c r="O18" s="1661"/>
      <c r="P18" s="2236"/>
      <c r="Q18" s="2236"/>
      <c r="R18" s="2236"/>
      <c r="S18" s="2236"/>
      <c r="T18" s="2236"/>
      <c r="U18" s="2236"/>
      <c r="V18" s="2236"/>
    </row>
    <row r="19" spans="1:28" ht="40"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ht="13">
      <c r="A20" s="2407" t="s">
        <v>2205</v>
      </c>
      <c r="B20" s="3217" t="s">
        <v>2206</v>
      </c>
      <c r="C20" s="3218"/>
      <c r="D20" s="3219" t="s">
        <v>2207</v>
      </c>
      <c r="E20" s="3220"/>
      <c r="F20" s="2420" t="s">
        <v>1056</v>
      </c>
      <c r="G20" s="2431"/>
      <c r="H20" s="2431"/>
      <c r="I20" s="2431"/>
      <c r="J20" s="2236"/>
      <c r="K20" s="3216"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6.5" thickBot="1">
      <c r="A21" s="2407"/>
      <c r="B21" s="2408" t="s">
        <v>2209</v>
      </c>
      <c r="C21" s="2286" t="s">
        <v>1057</v>
      </c>
      <c r="D21" s="1452" t="s">
        <v>2210</v>
      </c>
      <c r="E21" s="2409" t="s">
        <v>1057</v>
      </c>
      <c r="F21" s="2421"/>
      <c r="G21" s="2431"/>
      <c r="H21" s="2431"/>
      <c r="I21" s="2431"/>
      <c r="J21" s="2236"/>
      <c r="K21" s="3216"/>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6.5" thickBot="1">
      <c r="A22" s="2407"/>
      <c r="B22" s="2410" t="s">
        <v>2211</v>
      </c>
      <c r="C22" s="2286" t="s">
        <v>1058</v>
      </c>
      <c r="D22" s="2431"/>
      <c r="E22" s="2431"/>
      <c r="F22" s="2431"/>
      <c r="G22" s="2431"/>
      <c r="H22" s="2431"/>
      <c r="I22" s="2431"/>
      <c r="J22" s="2236"/>
      <c r="K22" s="3216"/>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ht="13">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ht="13">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ht="13">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34"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ht="13">
      <c r="A28" s="3234"/>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ht="13">
      <c r="A29" s="3234"/>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ht="13">
      <c r="A30" s="3235"/>
      <c r="B30" s="288" t="s">
        <v>2218</v>
      </c>
      <c r="C30" s="3236"/>
      <c r="D30" s="3237"/>
      <c r="E30" s="2431"/>
      <c r="F30" s="2431"/>
      <c r="G30" s="2431"/>
      <c r="H30" s="2431"/>
      <c r="I30" s="2431"/>
      <c r="J30" s="2236"/>
      <c r="K30" s="2392"/>
      <c r="L30" s="2389"/>
      <c r="M30" s="2389"/>
      <c r="N30" s="2236"/>
      <c r="O30" s="1661"/>
      <c r="P30" s="2236"/>
      <c r="Q30" s="2236"/>
      <c r="R30" s="2236"/>
      <c r="S30" s="2236"/>
      <c r="T30" s="2236"/>
      <c r="U30" s="2236"/>
      <c r="V30" s="2236"/>
    </row>
    <row r="31" spans="1:28">
      <c r="A31" s="3238"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39"/>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39"/>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ht="13">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33" t="s">
        <v>2228</v>
      </c>
      <c r="T34" s="309" t="str">
        <f>NUMBERSTRING(7-K34,1)&amp;"通"</f>
        <v>七通</v>
      </c>
      <c r="U34" s="2236"/>
      <c r="V34" s="2236"/>
    </row>
    <row r="35" spans="1:30">
      <c r="A35" s="2227"/>
      <c r="B35" s="3233" t="s">
        <v>2229</v>
      </c>
      <c r="C35" s="3233"/>
      <c r="D35" s="3233"/>
      <c r="E35" s="3233"/>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33"/>
      <c r="T35" s="132" t="str">
        <f>IF(T34="一通",L35,IF(T34="二通",M35,IF(T34="三通",N35,IF(T34="四通",O35,IF(T34="五通",P35,IF(T34="六通",Q35,R35))))))</f>
        <v>、、、、、、</v>
      </c>
      <c r="U35" s="2236"/>
      <c r="V35" s="2236"/>
    </row>
    <row r="36" spans="1:30" ht="13">
      <c r="A36" s="2174"/>
      <c r="B36" s="8" t="s">
        <v>2185</v>
      </c>
      <c r="C36" s="8" t="s">
        <v>2186</v>
      </c>
      <c r="D36" s="8" t="s">
        <v>2184</v>
      </c>
      <c r="E36" s="8" t="s">
        <v>2189</v>
      </c>
      <c r="F36" s="2789" t="s">
        <v>2574</v>
      </c>
      <c r="G36" s="2431"/>
      <c r="H36" s="2431"/>
      <c r="I36" s="2431"/>
      <c r="J36" s="2236"/>
      <c r="K36" s="2392"/>
      <c r="L36" s="2389"/>
      <c r="M36" s="2389"/>
      <c r="N36" s="2236"/>
      <c r="O36" s="1661"/>
      <c r="P36" s="2236"/>
      <c r="Q36" s="2236"/>
      <c r="R36" s="2236"/>
      <c r="S36" s="2236"/>
      <c r="T36" s="2236"/>
      <c r="U36" s="2236"/>
      <c r="V36" s="2236"/>
    </row>
    <row r="37" spans="1:30" ht="13">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ht="13">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6">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0" sqref="AU20"/>
    </sheetView>
  </sheetViews>
  <sheetFormatPr defaultColWidth="8.90625" defaultRowHeight="14"/>
  <cols>
    <col min="1" max="1" width="10.6328125" style="1455" customWidth="1"/>
    <col min="2" max="2" width="11" style="1455" customWidth="1"/>
    <col min="3" max="3" width="10.36328125" style="1455" customWidth="1"/>
    <col min="4" max="4" width="9.08984375" style="1455" customWidth="1"/>
    <col min="5" max="8" width="10" style="1455" customWidth="1"/>
    <col min="9" max="9" width="10.6328125" style="1455" customWidth="1"/>
    <col min="10" max="10" width="9.453125" style="1455" customWidth="1"/>
    <col min="11" max="11" width="11" style="1455" customWidth="1"/>
    <col min="12" max="14" width="9.453125" style="1455" customWidth="1"/>
    <col min="15" max="15" width="9.90625" style="1455" customWidth="1"/>
    <col min="16" max="16" width="9.7265625" style="1455" customWidth="1"/>
    <col min="17" max="17" width="9.36328125" style="1455" customWidth="1"/>
    <col min="18" max="18" width="9.26953125" style="1455" customWidth="1"/>
    <col min="19" max="19" width="10.90625" style="1455" customWidth="1"/>
    <col min="20" max="21" width="10.7265625" style="1455" customWidth="1"/>
    <col min="22" max="22" width="10.90625" style="1455" customWidth="1"/>
    <col min="23" max="27" width="10.7265625" style="1455" customWidth="1"/>
    <col min="28" max="28" width="10.90625" style="1455" customWidth="1"/>
    <col min="29" max="29" width="11" style="1455" bestFit="1" customWidth="1"/>
    <col min="30" max="30" width="10" style="1455" bestFit="1" customWidth="1"/>
    <col min="31" max="31" width="9.7265625" style="1455" customWidth="1"/>
    <col min="32" max="46" width="9.453125" style="1455" customWidth="1"/>
    <col min="47" max="47" width="18.08984375" style="1455" customWidth="1"/>
    <col min="48" max="50" width="9.7265625" style="1455" customWidth="1"/>
    <col min="51" max="55" width="10.453125" style="1455" bestFit="1" customWidth="1"/>
    <col min="56" max="56" width="9.453125" style="1455" bestFit="1" customWidth="1"/>
    <col min="57" max="63" width="9.08984375" style="1455" bestFit="1" customWidth="1"/>
    <col min="64" max="64" width="9.453125" style="1455" bestFit="1" customWidth="1"/>
    <col min="65" max="65" width="9.08984375" style="1455" bestFit="1" customWidth="1"/>
    <col min="66" max="66" width="9.453125" style="1455" bestFit="1" customWidth="1"/>
    <col min="67" max="69" width="9.08984375" style="1455" bestFit="1" customWidth="1"/>
    <col min="70" max="70" width="9.453125" style="1455" bestFit="1" customWidth="1"/>
    <col min="71" max="71" width="9" style="1455" customWidth="1"/>
    <col min="72" max="72" width="9.08984375" style="1455" bestFit="1" customWidth="1"/>
    <col min="73" max="16384" width="8.90625" style="1455"/>
  </cols>
  <sheetData>
    <row r="1" spans="1:72" ht="21">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6">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3">
      <c r="A3" s="10"/>
      <c r="B3" s="11">
        <f>IF(C3="否",G5-AT5,G5)</f>
        <v>41819.959999999992</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3">
      <c r="A5" s="12" t="s">
        <v>1071</v>
      </c>
      <c r="B5" s="1251"/>
      <c r="C5" s="1251"/>
      <c r="D5" s="1252"/>
      <c r="E5" s="13" t="s">
        <v>0</v>
      </c>
      <c r="F5" s="13">
        <f>SUM(F13:F587)</f>
        <v>0</v>
      </c>
      <c r="G5" s="13">
        <f>SUM(G13:G587)</f>
        <v>41819.959999999992</v>
      </c>
      <c r="H5" s="13">
        <f t="shared" ref="H5:AT5" si="0">SUM(H13:H656)</f>
        <v>41819.959999999992</v>
      </c>
      <c r="I5" s="13">
        <f t="shared" si="0"/>
        <v>41819.959999999992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41819.959999999992</v>
      </c>
      <c r="BA5" s="15">
        <f t="shared" si="1"/>
        <v>41819.959999999992</v>
      </c>
      <c r="BB5" s="15">
        <f t="shared" si="1"/>
        <v>41819.959999999992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3">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6">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6">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3">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3">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3">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3">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5">
      <c r="A13" s="622"/>
      <c r="B13" s="622"/>
      <c r="C13" s="622"/>
      <c r="D13" s="1505" t="s">
        <v>3377</v>
      </c>
      <c r="E13" s="13">
        <f>IF($C$3="是",ROUND($A$3*G13/$B$3,2),ROUND($A$3*(G13-AT13)/$B$3,2))</f>
        <v>0</v>
      </c>
      <c r="F13" s="29"/>
      <c r="G13" s="30">
        <f>H13+AC13+AT13</f>
        <v>41819.959999999992</v>
      </c>
      <c r="H13" s="17">
        <f>SUMIF(I$12:AB$12,"总值",I13:AB13)</f>
        <v>41819.959999999992</v>
      </c>
      <c r="I13" s="1454">
        <v>41819.959999999992</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41819.959999999992</v>
      </c>
      <c r="BA13" s="13">
        <f>SUM(BB13:BK13)</f>
        <v>41819.959999999992</v>
      </c>
      <c r="BB13" s="13">
        <f>IF($D13="是",I13-J13,0)</f>
        <v>41819.959999999992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42" sqref="F42"/>
    </sheetView>
  </sheetViews>
  <sheetFormatPr defaultColWidth="9.26953125" defaultRowHeight="14"/>
  <cols>
    <col min="1" max="1" width="12.08984375" style="1514" customWidth="1"/>
    <col min="2" max="2" width="10.26953125" style="1514" customWidth="1"/>
    <col min="3" max="3" width="18.453125" style="1514" customWidth="1"/>
    <col min="4" max="4" width="11.6328125" style="1514" customWidth="1"/>
    <col min="5" max="5" width="13.36328125" style="1514" customWidth="1"/>
    <col min="6" max="8" width="11.453125" style="1514" customWidth="1"/>
    <col min="9" max="9" width="11.08984375" style="1514" customWidth="1"/>
    <col min="10" max="10" width="3.08984375" style="1514" customWidth="1"/>
    <col min="11" max="16" width="10" style="1514" customWidth="1"/>
    <col min="17" max="17" width="2.6328125" style="1514" customWidth="1"/>
    <col min="18" max="18" width="9.36328125" style="1514" bestFit="1" customWidth="1"/>
    <col min="19" max="19" width="10.453125" style="1514" bestFit="1" customWidth="1"/>
    <col min="20" max="16384" width="9.26953125" style="1514"/>
  </cols>
  <sheetData>
    <row r="1" spans="1:16" ht="18.5" thickBot="1">
      <c r="A1" s="1513" t="s">
        <v>1130</v>
      </c>
      <c r="B1" s="1064"/>
      <c r="C1" s="1064"/>
      <c r="D1" s="1064"/>
      <c r="E1" s="1064"/>
      <c r="F1" s="1064"/>
      <c r="G1" s="1064"/>
      <c r="H1" s="1064"/>
      <c r="I1" s="1064"/>
      <c r="J1" s="1064"/>
      <c r="K1" s="1064"/>
      <c r="L1" s="1064"/>
      <c r="M1" s="1064"/>
      <c r="N1" s="1064"/>
      <c r="O1" s="1064"/>
      <c r="P1" s="1064"/>
    </row>
    <row r="2" spans="1:16">
      <c r="A2" s="3249" t="s">
        <v>1131</v>
      </c>
      <c r="B2" s="3249"/>
      <c r="C2" s="3249"/>
      <c r="D2" s="741" t="s">
        <v>1107</v>
      </c>
      <c r="E2" s="1515" t="s">
        <v>1108</v>
      </c>
      <c r="F2" s="2428"/>
      <c r="G2" s="2422"/>
      <c r="H2" s="2423"/>
      <c r="I2" s="2137" t="s">
        <v>1132</v>
      </c>
      <c r="J2" s="2428"/>
      <c r="K2" s="2428"/>
      <c r="L2" s="2428"/>
      <c r="M2" s="2428"/>
      <c r="N2" s="2429"/>
      <c r="O2" s="2428"/>
      <c r="P2" s="2428"/>
    </row>
    <row r="3" spans="1:16" ht="14.5" thickBot="1">
      <c r="A3" s="3250" t="s">
        <v>1105</v>
      </c>
      <c r="B3" s="3250"/>
      <c r="C3" s="3250"/>
      <c r="D3" s="41">
        <f>'数据-基础表'!AY6</f>
        <v>0</v>
      </c>
      <c r="E3" s="41">
        <f>'数据-基础表'!AZ5</f>
        <v>41819.959999999992</v>
      </c>
      <c r="F3" s="2428"/>
      <c r="G3" s="42"/>
      <c r="H3" s="43" t="s">
        <v>1106</v>
      </c>
      <c r="I3" s="795" t="e">
        <f>ROUND('数据-基础表'!B3/'数据-基础表'!A3,2)</f>
        <v>#DIV/0!</v>
      </c>
      <c r="J3" s="2428"/>
      <c r="K3" s="2428"/>
      <c r="L3" s="2428"/>
      <c r="M3" s="2428"/>
      <c r="N3" s="2429"/>
      <c r="O3" s="2428"/>
      <c r="P3" s="2428"/>
    </row>
    <row r="4" spans="1:16">
      <c r="A4" s="3251"/>
      <c r="B4" s="3252"/>
      <c r="C4" s="3253"/>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54" t="s">
        <v>1110</v>
      </c>
      <c r="C5" s="3254"/>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4.5" thickBot="1">
      <c r="A6" s="1519"/>
      <c r="B6" s="3254" t="s">
        <v>1111</v>
      </c>
      <c r="C6" s="3254"/>
      <c r="D6" s="43">
        <f>ROUND($D$3*E6/$E$3,2)</f>
        <v>0</v>
      </c>
      <c r="E6" s="44">
        <f>E3-E5</f>
        <v>41819.959999999992</v>
      </c>
      <c r="F6" s="2428"/>
      <c r="G6" s="1521" t="s">
        <v>1112</v>
      </c>
      <c r="H6" s="45" t="s">
        <v>1113</v>
      </c>
      <c r="I6" s="2425" t="e">
        <f>ROUND(F31/D31,2)</f>
        <v>#DIV/0!</v>
      </c>
      <c r="J6" s="2428"/>
      <c r="K6" s="2428"/>
      <c r="L6" s="2428"/>
      <c r="M6" s="2428"/>
      <c r="N6" s="2428"/>
      <c r="O6" s="2428"/>
      <c r="P6" s="2428"/>
    </row>
    <row r="7" spans="1:16" ht="14.5" thickBot="1">
      <c r="A7" s="3246"/>
      <c r="B7" s="3247"/>
      <c r="C7" s="3248"/>
      <c r="D7" s="1516" t="s">
        <v>1107</v>
      </c>
      <c r="E7" s="1520" t="s">
        <v>1114</v>
      </c>
      <c r="F7" s="2428"/>
      <c r="G7" s="2426" t="s">
        <v>1115</v>
      </c>
      <c r="H7" s="95"/>
      <c r="I7" s="3140">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41819.959999999992</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4.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4.5" thickBot="1">
      <c r="A16" s="1519"/>
      <c r="B16" s="1522"/>
      <c r="C16" s="45" t="s">
        <v>1123</v>
      </c>
      <c r="D16" s="45">
        <f>SUM(D8:D15)</f>
        <v>0</v>
      </c>
      <c r="E16" s="48">
        <f>SUM(E8:E15)</f>
        <v>41819.959999999992</v>
      </c>
      <c r="F16" s="2428"/>
      <c r="G16" s="2428"/>
      <c r="H16" s="1523" t="s">
        <v>1135</v>
      </c>
      <c r="I16" s="1524"/>
      <c r="J16" s="1064"/>
      <c r="K16" s="3243" t="s">
        <v>1135</v>
      </c>
      <c r="L16" s="3244"/>
      <c r="M16" s="3244"/>
      <c r="N16" s="3244"/>
      <c r="O16" s="3244"/>
      <c r="P16" s="3245"/>
    </row>
    <row r="17" spans="1:19">
      <c r="A17" s="1525" t="s">
        <v>1136</v>
      </c>
      <c r="B17" s="1526" t="s">
        <v>1137</v>
      </c>
      <c r="C17" s="1527" t="s">
        <v>1138</v>
      </c>
      <c r="D17" s="1528" t="s">
        <v>1126</v>
      </c>
      <c r="E17" s="1529" t="s">
        <v>1127</v>
      </c>
      <c r="F17" s="1530"/>
      <c r="G17" s="1531"/>
      <c r="H17" s="1532" t="s">
        <v>1139</v>
      </c>
      <c r="I17" s="1533" t="s">
        <v>1124</v>
      </c>
      <c r="J17" s="1064"/>
      <c r="K17" s="3240" t="s">
        <v>1140</v>
      </c>
      <c r="L17" s="3241"/>
      <c r="M17" s="3242"/>
      <c r="N17" s="3240" t="s">
        <v>1141</v>
      </c>
      <c r="O17" s="3241"/>
      <c r="P17" s="3242"/>
      <c r="R17" s="762" t="s">
        <v>1142</v>
      </c>
      <c r="S17" s="54"/>
    </row>
    <row r="18" spans="1:19">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4" t="s">
        <v>3380</v>
      </c>
      <c r="D19" s="43">
        <f>ROUND($D$3*E19/$E$3,2)</f>
        <v>0</v>
      </c>
      <c r="E19" s="51">
        <f t="shared" ref="E19:E26" si="1">SUM(F19:G19)</f>
        <v>41819.959999999992</v>
      </c>
      <c r="F19" s="2547">
        <f>'数据-基础表'!I13</f>
        <v>41819.959999999992</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41819.959999999992</v>
      </c>
    </row>
    <row r="20" spans="1:19">
      <c r="A20" s="1541"/>
      <c r="B20" s="45" t="s">
        <v>1153</v>
      </c>
      <c r="C20" s="3104"/>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4"/>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5"/>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5"/>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5"/>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5"/>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4.5" thickBot="1">
      <c r="A27" s="1541"/>
      <c r="B27" s="43"/>
      <c r="C27" s="1546" t="s">
        <v>1154</v>
      </c>
      <c r="D27" s="1065">
        <f>SUM(D19:D26)</f>
        <v>0</v>
      </c>
      <c r="E27" s="1066">
        <f>IF(SUM(E19:E26)='数据-基础表'!BA5,SUM(E19:E26),IF(F27="地上面积有误","面积有误","地下面积有误"))</f>
        <v>41819.959999999992</v>
      </c>
      <c r="F27" s="1065">
        <f>IF(SUM(F19:F26)=E8,SUM(F19:F26),"地上面积有误")</f>
        <v>41819.959999999992</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41819.959999999992</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4.5" thickBot="1">
      <c r="A31" s="1549"/>
      <c r="B31" s="96"/>
      <c r="C31" s="778" t="s">
        <v>1158</v>
      </c>
      <c r="D31" s="635">
        <f>D27+D30</f>
        <v>0</v>
      </c>
      <c r="E31" s="635">
        <f>E27+E30</f>
        <v>41819.959999999992</v>
      </c>
      <c r="F31" s="636">
        <f>F27+F30</f>
        <v>41819.959999999992</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G33" activePane="bottomRight" state="frozen"/>
      <selection activeCell="C50" sqref="C50"/>
      <selection pane="topRight" activeCell="C50" sqref="C50"/>
      <selection pane="bottomLeft" activeCell="C50" sqref="C50"/>
      <selection pane="bottomRight" activeCell="G38" sqref="G38"/>
    </sheetView>
  </sheetViews>
  <sheetFormatPr defaultColWidth="13.7265625" defaultRowHeight="12.5"/>
  <cols>
    <col min="1" max="1" width="20.90625" style="1609" customWidth="1"/>
    <col min="2" max="2" width="12" style="1553" customWidth="1"/>
    <col min="3" max="3" width="12.7265625" style="1553" customWidth="1"/>
    <col min="4" max="4" width="9.08984375" style="1610" customWidth="1"/>
    <col min="5" max="5" width="15" style="1553" bestFit="1" customWidth="1"/>
    <col min="6" max="10" width="8.90625" style="1553" customWidth="1"/>
    <col min="11" max="12" width="12.36328125" style="1481" customWidth="1"/>
    <col min="13" max="13" width="8.6328125" style="1553" customWidth="1"/>
    <col min="14" max="14" width="11.90625" style="1553" customWidth="1"/>
    <col min="15" max="15" width="8.453125" style="1553" customWidth="1"/>
    <col min="16" max="17" width="10.90625" style="1553" customWidth="1"/>
    <col min="18" max="19" width="12.453125" style="1553" customWidth="1"/>
    <col min="20" max="20" width="12.08984375" style="1553" customWidth="1"/>
    <col min="21" max="21" width="10.7265625" style="1553" customWidth="1"/>
    <col min="22" max="22" width="6.36328125" style="1553" customWidth="1"/>
    <col min="23" max="30" width="6.7265625" style="1553" customWidth="1"/>
    <col min="31" max="31" width="8" style="1553" customWidth="1"/>
    <col min="32" max="34" width="7.26953125" style="1553" customWidth="1"/>
    <col min="35" max="39" width="8" style="1553" customWidth="1"/>
    <col min="40" max="40" width="13.7265625" style="116"/>
    <col min="41" max="41" width="11.6328125" style="116" customWidth="1"/>
    <col min="42" max="42" width="9.7265625" style="116" customWidth="1"/>
    <col min="43" max="67" width="13.7265625" style="116"/>
    <col min="68" max="16384" width="13.7265625" style="1553"/>
  </cols>
  <sheetData>
    <row r="1" spans="1:67" ht="18"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 thickBot="1">
      <c r="A2" s="1554" t="s">
        <v>1161</v>
      </c>
      <c r="B2" s="977">
        <f>项目基本情况!D3</f>
        <v>45238</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4.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4.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3">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
      <c r="A6" s="1578" t="str">
        <f>'数据-汇总表'!C19</f>
        <v>生态会议中心</v>
      </c>
      <c r="B6" s="1579" t="str">
        <f>IF(A6=0,"","经营性")</f>
        <v>经营性</v>
      </c>
      <c r="C6" s="1580" t="s">
        <v>673</v>
      </c>
      <c r="D6" s="798">
        <f>SUMIF(项目基本情况!C$12:I$12,C6,项目基本情况!C$14:I$14)</f>
        <v>40</v>
      </c>
      <c r="E6" s="797">
        <f>IF(B6="","",SUMIF(项目基本情况!C$12:I$12,C6,项目基本情况!C$13:I$13))</f>
        <v>54415</v>
      </c>
      <c r="F6" s="61">
        <f>SUMIF(项目基本情况!C$12:I$12,C6,项目基本情况!C$15:I$15)</f>
        <v>25.14</v>
      </c>
      <c r="G6" s="62">
        <f>IF(ISERROR(ROUND(POWER(1+H6,D6-F6)*(POWER(1+H6,F6)-1)/(POWER(1+H6,D6)-1),3)),0,ROUND(POWER(1+H6,D6-F6)*(POWER(1+H6,F6)-1)/(POWER(1+H6,D6)-1),3))</f>
        <v>0.82399999999999995</v>
      </c>
      <c r="H6" s="3141">
        <v>0.05</v>
      </c>
      <c r="I6" s="3141">
        <v>5.5E-2</v>
      </c>
      <c r="J6" s="3142">
        <v>7.0000000000000007E-2</v>
      </c>
      <c r="K6" s="963">
        <f>SUMIF('数据-汇总表'!C$19:C$33,A6,'数据-汇总表'!E$19:E$33)</f>
        <v>41819.959999999992</v>
      </c>
      <c r="L6" s="3143">
        <v>12500</v>
      </c>
      <c r="M6" s="64">
        <f t="shared" ref="M6:M14" si="0">ROUND(K6*L6/10000,0)</f>
        <v>52275</v>
      </c>
      <c r="N6" s="682">
        <f>N22</f>
        <v>0.84</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c r="V6" s="3152"/>
      <c r="W6" s="3153"/>
      <c r="X6" s="972"/>
      <c r="Y6" s="68">
        <f>N6</f>
        <v>0.84</v>
      </c>
      <c r="Z6" s="69"/>
      <c r="AA6" s="63"/>
      <c r="AB6" s="63"/>
      <c r="AC6" s="972"/>
      <c r="AD6" s="70"/>
      <c r="AE6" s="973">
        <f ca="1">IF(AN6="",0,SUMIF(INDIRECT("'"&amp;AN6&amp;"'"&amp;"!E:E"),$AE$5,INDIRECT("'"&amp;AN6&amp;"'"&amp;"!F:F")))</f>
        <v>25.14</v>
      </c>
      <c r="AF6" s="74"/>
      <c r="AG6" s="124">
        <f>IF(AF6="",0,AE6-AF6)</f>
        <v>0</v>
      </c>
      <c r="AH6" s="71">
        <v>1</v>
      </c>
      <c r="AI6" s="73">
        <v>1</v>
      </c>
      <c r="AJ6" s="74"/>
      <c r="AK6" s="3154">
        <v>0.01</v>
      </c>
      <c r="AL6" s="3154">
        <v>1E-3</v>
      </c>
      <c r="AM6" s="3155">
        <v>0.01</v>
      </c>
      <c r="AN6" s="3156" t="s">
        <v>3613</v>
      </c>
      <c r="AO6" s="50">
        <f ca="1">SUMIF(INDIRECT("'"&amp;AN6&amp;"'"&amp;"!A:A"),"总价",INDIRECT("'"&amp;AN6&amp;"'"&amp;"!B:B"))</f>
        <v>-14477</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5"/>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6"/>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5"/>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5"/>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5"/>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5"/>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7"/>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8">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4.5" thickBot="1">
      <c r="A16" s="1585" t="s">
        <v>1209</v>
      </c>
      <c r="B16" s="82"/>
      <c r="C16" s="776"/>
      <c r="D16" s="1586"/>
      <c r="E16" s="82"/>
      <c r="F16" s="82"/>
      <c r="G16" s="83">
        <f>ROUND(SUMPRODUCT(G6:G13,K6:K13)/SUMPRODUCT((G6:G13&gt;0)*(K6:K13)),3)</f>
        <v>0.82399999999999995</v>
      </c>
      <c r="H16" s="84">
        <f>ROUND(SUMPRODUCT(H6:H13,K6:K13)/SUMPRODUCT((H6:H13&gt;0)*(K6:K13)),3)</f>
        <v>0.05</v>
      </c>
      <c r="I16" s="85"/>
      <c r="J16" s="85"/>
      <c r="K16" s="86">
        <f>SUM(K6:K15)</f>
        <v>41819.959999999992</v>
      </c>
      <c r="L16" s="87">
        <f>ROUND(M16*10000/SUM(K6:K14),0)</f>
        <v>12500</v>
      </c>
      <c r="M16" s="87">
        <f>SUM(M6:M14)</f>
        <v>52275</v>
      </c>
      <c r="N16" s="88">
        <f>ROUND(SUMPRODUCT(M6:M14,N6:N14)/M16,3)</f>
        <v>0.84</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4.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
      <c r="A20" s="1589" t="s">
        <v>1212</v>
      </c>
      <c r="B20" s="98">
        <v>2</v>
      </c>
      <c r="C20" s="2551" t="s">
        <v>2294</v>
      </c>
      <c r="D20" s="2441"/>
      <c r="E20" s="2428"/>
      <c r="F20" s="2428"/>
      <c r="G20" s="2428"/>
      <c r="H20" s="2428"/>
      <c r="I20" s="2428"/>
      <c r="J20" s="2428"/>
      <c r="K20" s="2439"/>
      <c r="L20" s="2439"/>
      <c r="M20" s="3145" t="s">
        <v>3579</v>
      </c>
      <c r="N20" s="3144">
        <f>ROUND(1-(1-0%)*(2023-2010)/60,2)</f>
        <v>0.78</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
      <c r="A21" s="1590" t="s">
        <v>1213</v>
      </c>
      <c r="B21" s="98">
        <f>B20</f>
        <v>2</v>
      </c>
      <c r="C21" s="2428"/>
      <c r="D21" s="2441"/>
      <c r="E21" s="2428"/>
      <c r="F21" s="2428"/>
      <c r="G21" s="2428"/>
      <c r="H21" s="2428"/>
      <c r="I21" s="2428"/>
      <c r="J21" s="2428"/>
      <c r="K21" s="2439"/>
      <c r="L21" s="2439"/>
      <c r="M21" s="3145" t="s">
        <v>3580</v>
      </c>
      <c r="N21" s="3144">
        <v>0.9</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
      <c r="A22" s="1589" t="s">
        <v>1214</v>
      </c>
      <c r="B22" s="99">
        <f>B19+B20</f>
        <v>2</v>
      </c>
      <c r="C22" s="2428"/>
      <c r="D22" s="2441"/>
      <c r="E22" s="2428"/>
      <c r="F22" s="2428"/>
      <c r="G22" s="2428"/>
      <c r="H22" s="2428"/>
      <c r="I22" s="2428"/>
      <c r="J22" s="2428"/>
      <c r="K22" s="2439"/>
      <c r="L22" s="2439"/>
      <c r="M22" s="2438"/>
      <c r="N22" s="3151">
        <f>ROUND((N20+N21)/2,3)</f>
        <v>0.84</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4.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4.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 thickBot="1">
      <c r="A29" s="1595" t="s">
        <v>1222</v>
      </c>
      <c r="B29" s="105">
        <f>ROUND(B28*K16/10000,0)</f>
        <v>376</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8.5" thickBot="1">
      <c r="A32" s="1597" t="s">
        <v>1225</v>
      </c>
      <c r="B32" s="3157"/>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
      <c r="A33" s="1593" t="s">
        <v>1226</v>
      </c>
      <c r="B33" s="3158">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
      <c r="A34" s="1594" t="s">
        <v>1227</v>
      </c>
      <c r="B34" s="3159"/>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4.5" thickBot="1">
      <c r="A36" s="1595" t="s">
        <v>1229</v>
      </c>
      <c r="B36" s="3160">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
      <c r="A37" s="1596" t="s">
        <v>1230</v>
      </c>
      <c r="B37" s="3161">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
      <c r="A38" s="1594" t="s">
        <v>1231</v>
      </c>
      <c r="B38" s="3162">
        <v>0.02</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
      <c r="A44" s="1599" t="s">
        <v>1236</v>
      </c>
      <c r="B44" s="3163">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
      <c r="A45" s="1599" t="s">
        <v>1237</v>
      </c>
      <c r="B45" s="3164">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
      <c r="A46" s="1599" t="s">
        <v>1238</v>
      </c>
      <c r="B46" s="3164">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4.5" thickBot="1">
      <c r="A47" s="1600" t="s">
        <v>1239</v>
      </c>
      <c r="B47" s="3140">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
      <c r="A48" s="1601" t="s">
        <v>1240</v>
      </c>
      <c r="B48" s="3165">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4.5" thickBot="1">
      <c r="A49" s="1597" t="s">
        <v>1241</v>
      </c>
      <c r="B49" s="3166">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
      <c r="A53" s="1594" t="s">
        <v>1245</v>
      </c>
      <c r="B53" s="3167"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4.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
  <cols>
    <col min="1" max="1" width="9.453125" style="1514" customWidth="1"/>
    <col min="2" max="3" width="24.453125" style="502" customWidth="1"/>
    <col min="4" max="4" width="2.6328125" style="502" customWidth="1"/>
    <col min="5" max="5" width="5.90625" style="502" customWidth="1"/>
    <col min="6" max="7" width="27" style="502" customWidth="1"/>
    <col min="8" max="8" width="11.90625" style="2267" customWidth="1"/>
    <col min="9" max="9" width="16.7265625" style="2267" customWidth="1"/>
    <col min="10" max="10" width="2.6328125" style="2267" customWidth="1"/>
    <col min="11" max="11" width="11.90625" style="2267" customWidth="1"/>
    <col min="12" max="12" width="16.7265625" style="2267" customWidth="1"/>
    <col min="13" max="13" width="2.6328125" style="2267" customWidth="1"/>
    <col min="14" max="14" width="11.90625" style="2267" customWidth="1"/>
    <col min="15" max="15" width="16.7265625" style="2267" customWidth="1"/>
    <col min="16" max="16" width="2.6328125" style="2267" customWidth="1"/>
    <col min="17" max="17" width="11.90625" style="2267" customWidth="1"/>
    <col min="18" max="18" width="16.7265625" style="744" customWidth="1"/>
    <col min="19" max="29" width="9" style="744"/>
    <col min="30" max="16384" width="9" style="1514"/>
  </cols>
  <sheetData>
    <row r="1" spans="1:29" s="2250" customFormat="1" ht="18.5" thickBot="1">
      <c r="A1" s="3255" t="s">
        <v>2277</v>
      </c>
      <c r="B1" s="3256"/>
      <c r="C1" s="3256"/>
      <c r="D1" s="3256"/>
      <c r="E1" s="3256"/>
      <c r="F1" s="3256"/>
      <c r="G1" s="3256"/>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4.5" thickBot="1">
      <c r="A2" s="2251"/>
      <c r="B2" s="2252"/>
      <c r="C2" s="2253" t="s">
        <v>2274</v>
      </c>
      <c r="D2" s="1587"/>
      <c r="E2" s="2251"/>
      <c r="F2" s="2254"/>
      <c r="G2" s="2253" t="s">
        <v>2275</v>
      </c>
      <c r="H2" s="744"/>
      <c r="I2" s="744"/>
      <c r="J2" s="744"/>
      <c r="K2" s="744"/>
      <c r="L2" s="744"/>
      <c r="M2" s="744"/>
      <c r="N2" s="744"/>
      <c r="O2" s="744"/>
      <c r="P2" s="744"/>
      <c r="Q2" s="744"/>
    </row>
    <row r="3" spans="1:29" ht="26">
      <c r="A3" s="2238" t="s">
        <v>2276</v>
      </c>
      <c r="B3" s="2255" t="s">
        <v>2252</v>
      </c>
      <c r="C3" s="2256"/>
      <c r="D3" s="2257"/>
      <c r="E3" s="2239" t="s">
        <v>2276</v>
      </c>
      <c r="F3" s="2258" t="s">
        <v>2253</v>
      </c>
      <c r="G3" s="2259"/>
      <c r="H3" s="744"/>
      <c r="I3" s="744"/>
      <c r="J3" s="744"/>
      <c r="K3" s="744"/>
      <c r="L3" s="744"/>
      <c r="M3" s="744"/>
      <c r="N3" s="744"/>
      <c r="O3" s="744"/>
      <c r="P3" s="744"/>
      <c r="Q3" s="744"/>
    </row>
    <row r="4" spans="1:29" ht="52">
      <c r="A4" s="2239"/>
      <c r="B4" s="309" t="s">
        <v>2254</v>
      </c>
      <c r="C4" s="3137" t="s">
        <v>3571</v>
      </c>
      <c r="D4" s="2257"/>
      <c r="E4" s="2260"/>
      <c r="F4" s="1273" t="s">
        <v>2255</v>
      </c>
      <c r="G4" s="2261"/>
      <c r="H4" s="744"/>
      <c r="I4" s="744"/>
      <c r="J4" s="744"/>
      <c r="K4" s="744"/>
      <c r="L4" s="744"/>
      <c r="M4" s="744"/>
      <c r="N4" s="744"/>
      <c r="O4" s="744"/>
      <c r="P4" s="744"/>
      <c r="Q4" s="744"/>
    </row>
    <row r="5" spans="1:29">
      <c r="A5" s="2239"/>
      <c r="B5" s="309" t="s">
        <v>2256</v>
      </c>
      <c r="C5" s="3137"/>
      <c r="D5" s="2257"/>
      <c r="E5" s="2260"/>
      <c r="F5" s="309" t="s">
        <v>2257</v>
      </c>
      <c r="G5" s="2261"/>
      <c r="H5" s="744"/>
      <c r="I5" s="744"/>
      <c r="J5" s="744"/>
      <c r="K5" s="744"/>
      <c r="L5" s="744"/>
      <c r="M5" s="744"/>
      <c r="N5" s="744"/>
      <c r="O5" s="744"/>
      <c r="P5" s="744"/>
      <c r="Q5" s="744"/>
    </row>
    <row r="6" spans="1:29" ht="65">
      <c r="A6" s="2239"/>
      <c r="B6" s="309" t="s">
        <v>2258</v>
      </c>
      <c r="C6" s="3138" t="s">
        <v>3572</v>
      </c>
      <c r="D6" s="2257"/>
      <c r="E6" s="2260"/>
      <c r="F6" s="309" t="s">
        <v>2259</v>
      </c>
      <c r="G6" s="2261"/>
      <c r="H6" s="744"/>
      <c r="I6" s="744"/>
      <c r="J6" s="744"/>
      <c r="K6" s="744"/>
      <c r="L6" s="744"/>
      <c r="M6" s="744"/>
      <c r="N6" s="744"/>
      <c r="O6" s="744"/>
      <c r="P6" s="744"/>
      <c r="Q6" s="744"/>
    </row>
    <row r="7" spans="1:29" ht="26.5" thickBot="1">
      <c r="A7" s="2239"/>
      <c r="B7" s="309" t="s">
        <v>2257</v>
      </c>
      <c r="C7" s="3138" t="s">
        <v>3573</v>
      </c>
      <c r="D7" s="2236"/>
      <c r="E7" s="2262"/>
      <c r="F7" s="2263" t="s">
        <v>2260</v>
      </c>
      <c r="G7" s="2264"/>
      <c r="H7" s="744"/>
      <c r="I7" s="744"/>
      <c r="J7" s="744"/>
      <c r="K7" s="744"/>
      <c r="L7" s="744"/>
      <c r="M7" s="744"/>
      <c r="N7" s="744"/>
      <c r="O7" s="744"/>
      <c r="P7" s="744"/>
      <c r="Q7" s="744"/>
    </row>
    <row r="8" spans="1:29">
      <c r="A8" s="2239"/>
      <c r="B8" s="309" t="s">
        <v>2259</v>
      </c>
      <c r="C8" s="3138" t="s">
        <v>3574</v>
      </c>
      <c r="D8" s="2236"/>
      <c r="E8" s="2236"/>
      <c r="F8" s="115"/>
      <c r="G8" s="115"/>
      <c r="H8" s="744"/>
      <c r="I8" s="744"/>
      <c r="J8" s="744"/>
      <c r="K8" s="744"/>
      <c r="L8" s="744"/>
      <c r="M8" s="744"/>
      <c r="N8" s="744"/>
      <c r="O8" s="744"/>
      <c r="P8" s="744"/>
      <c r="Q8" s="744"/>
    </row>
    <row r="9" spans="1:29" ht="39">
      <c r="A9" s="2239"/>
      <c r="B9" s="309" t="s">
        <v>2261</v>
      </c>
      <c r="C9" s="3137" t="s">
        <v>3575</v>
      </c>
      <c r="D9" s="2257"/>
      <c r="E9" s="2236"/>
      <c r="F9" s="115"/>
      <c r="G9" s="115"/>
      <c r="H9" s="744"/>
      <c r="I9" s="744"/>
      <c r="J9" s="744"/>
      <c r="K9" s="744"/>
      <c r="L9" s="744"/>
      <c r="M9" s="744"/>
      <c r="N9" s="744"/>
      <c r="O9" s="744"/>
      <c r="P9" s="744"/>
      <c r="Q9" s="744"/>
    </row>
    <row r="10" spans="1:29" ht="14.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4.5" thickBot="1">
      <c r="A13" s="2274" t="s">
        <v>2278</v>
      </c>
      <c r="B13" s="2270"/>
      <c r="C13" s="2270"/>
      <c r="D13" s="2269"/>
      <c r="E13" s="2270"/>
      <c r="F13" s="2270"/>
      <c r="G13" s="2270"/>
    </row>
    <row r="14" spans="1:29" ht="14.5" thickBot="1">
      <c r="A14" s="2275"/>
      <c r="B14" s="2275"/>
      <c r="C14" s="2276" t="s">
        <v>2263</v>
      </c>
      <c r="D14" s="2257"/>
      <c r="E14" s="2277"/>
      <c r="F14" s="2277"/>
      <c r="G14" s="2253" t="s">
        <v>2264</v>
      </c>
    </row>
    <row r="15" spans="1:29" ht="26">
      <c r="A15" s="2241" t="s">
        <v>2265</v>
      </c>
      <c r="B15" s="2278" t="s">
        <v>2252</v>
      </c>
      <c r="C15" s="2279">
        <f>C3</f>
        <v>0</v>
      </c>
      <c r="D15" s="2257"/>
      <c r="E15" s="2242" t="s">
        <v>2266</v>
      </c>
      <c r="F15" s="2278" t="s">
        <v>2267</v>
      </c>
      <c r="G15" s="2280">
        <f>G3</f>
        <v>0</v>
      </c>
    </row>
    <row r="16" spans="1:29" ht="50">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2.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7.5">
      <c r="A20" s="2243"/>
      <c r="B20" s="2283" t="s">
        <v>2270</v>
      </c>
      <c r="C20" s="2282" t="str">
        <f>C9</f>
        <v>区域自然环境：观山湖公园；人文环境：贵阳国际会议中心；综合评价环境状况好</v>
      </c>
      <c r="D20" s="2236"/>
      <c r="E20" s="2244"/>
      <c r="F20" s="309" t="s">
        <v>2259</v>
      </c>
      <c r="G20" s="2284">
        <f>G6</f>
        <v>0</v>
      </c>
    </row>
    <row r="21" spans="1:17" ht="2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4.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4.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43" sqref="H43"/>
    </sheetView>
  </sheetViews>
  <sheetFormatPr defaultColWidth="9" defaultRowHeight="14"/>
  <cols>
    <col min="1" max="1" width="25" style="2291" customWidth="1"/>
    <col min="2" max="9" width="15.7265625" style="2291" customWidth="1"/>
    <col min="10" max="16384" width="9" style="2291"/>
  </cols>
  <sheetData>
    <row r="1" spans="1:11" ht="16.5">
      <c r="A1" s="2290" t="s">
        <v>665</v>
      </c>
      <c r="B1" s="2290">
        <f>SUM(B14:B23)</f>
        <v>53477.01999999999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45238</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77220</v>
      </c>
      <c r="C5" s="2290">
        <f ca="1">IF(B5=D14,结果表!H102,ROUND(B5*10000/$B$1,0))</f>
        <v>14440</v>
      </c>
      <c r="D5" s="2290" t="e">
        <f ca="1">ROUND(B5*10000/$B$2,0)</f>
        <v>#DIV/0!</v>
      </c>
      <c r="E5" s="2451"/>
      <c r="F5" s="2452"/>
      <c r="G5" s="2452"/>
      <c r="H5" s="2452"/>
      <c r="I5" s="2452"/>
      <c r="J5" s="2452"/>
      <c r="K5" s="2452"/>
    </row>
    <row r="6" spans="1:11" ht="16.5">
      <c r="A6" s="2290" t="s">
        <v>656</v>
      </c>
      <c r="B6" s="2290">
        <f ca="1">SUM(G14:G23)</f>
        <v>77220</v>
      </c>
      <c r="C6" s="2290">
        <f ca="1">IF(B6=G14,结果表!H108,ROUND(B6*10000/$B$1,0))</f>
        <v>14440</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5"/>
      <c r="F10" s="3129" t="s">
        <v>3353</v>
      </c>
      <c r="G10" s="3126"/>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41819.959999999992</v>
      </c>
      <c r="C14" s="2296">
        <f>结果表!C118</f>
        <v>0</v>
      </c>
      <c r="D14" s="2296">
        <f ca="1">结果表!H118</f>
        <v>69432</v>
      </c>
      <c r="E14" s="2296">
        <f ca="1">ROUND(D14*10000/B14,0)</f>
        <v>16603</v>
      </c>
      <c r="F14" s="2296" t="e">
        <f ca="1">ROUND(D14*10000/C14,0)</f>
        <v>#DIV/0!</v>
      </c>
      <c r="G14" s="2296">
        <f ca="1">D14</f>
        <v>69432</v>
      </c>
      <c r="H14" s="2296"/>
      <c r="I14" s="2296"/>
      <c r="J14" s="2452">
        <v>73407</v>
      </c>
      <c r="K14" s="2452">
        <f ca="1">J14-G14</f>
        <v>3975</v>
      </c>
    </row>
    <row r="15" spans="1:11" ht="16.5">
      <c r="A15" s="2295" t="s">
        <v>649</v>
      </c>
      <c r="B15" s="2297">
        <f>[2]系统读取表!$B$14</f>
        <v>11657.060000000001</v>
      </c>
      <c r="C15" s="2297"/>
      <c r="D15" s="2297">
        <f ca="1">[2]系统读取表!$D$14</f>
        <v>7788</v>
      </c>
      <c r="E15" s="2296">
        <f t="shared" ref="E15:E23" ca="1" si="0">ROUND(D15*10000/B15,0)</f>
        <v>6681</v>
      </c>
      <c r="F15" s="2296" t="e">
        <f t="shared" ref="F15:F23" ca="1" si="1">ROUND(D15*10000/C15,0)</f>
        <v>#DIV/0!</v>
      </c>
      <c r="G15" s="1236">
        <f ca="1">D15</f>
        <v>7788</v>
      </c>
      <c r="H15" s="1236"/>
      <c r="I15" s="2297"/>
      <c r="J15" s="2452">
        <f>[2]系统读取表!$J$14</f>
        <v>8211</v>
      </c>
      <c r="K15" s="2452">
        <f ca="1">J15-G15</f>
        <v>423</v>
      </c>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328125" defaultRowHeight="21.75" customHeight="1"/>
  <cols>
    <col min="1" max="2" width="12.6328125" style="1553"/>
    <col min="3" max="4" width="12.6328125" style="1553" customWidth="1"/>
    <col min="5" max="9" width="12.6328125" style="1553"/>
    <col min="10" max="11" width="12.6328125" style="676" customWidth="1"/>
    <col min="12" max="12" width="12.6328125" style="676"/>
    <col min="13" max="13" width="14.08984375" style="676" bestFit="1" customWidth="1"/>
    <col min="14" max="26" width="12.6328125" style="676"/>
    <col min="27" max="35" width="12.6328125" style="1614"/>
    <col min="36" max="16384" width="12.6328125" style="1553"/>
  </cols>
  <sheetData>
    <row r="1" spans="1:12" ht="21.75" customHeight="1" thickBot="1">
      <c r="A1" s="1513" t="s">
        <v>1262</v>
      </c>
      <c r="B1" s="638"/>
      <c r="C1" s="1611" t="s">
        <v>3612</v>
      </c>
      <c r="D1" s="638"/>
      <c r="E1" s="638"/>
      <c r="F1" s="1612" t="s">
        <v>1263</v>
      </c>
      <c r="G1" s="1445" t="s">
        <v>3616</v>
      </c>
      <c r="H1" s="1612" t="str">
        <f>IF(G1="现房","——","估价对象范围")</f>
        <v>——</v>
      </c>
      <c r="I1" s="1613" t="s">
        <v>3617</v>
      </c>
    </row>
    <row r="2" spans="1:12" ht="21.75" customHeight="1" thickBot="1">
      <c r="A2" s="3324" t="str">
        <f>项目基本情况!S2</f>
        <v>北京市房地产</v>
      </c>
      <c r="B2" s="3325"/>
      <c r="C2" s="3325"/>
      <c r="D2" s="3325"/>
      <c r="E2" s="3325"/>
      <c r="F2" s="3325"/>
      <c r="G2" s="3325"/>
      <c r="H2" s="3325"/>
      <c r="I2" s="3326"/>
    </row>
    <row r="3" spans="1:12" ht="13">
      <c r="A3" s="3328" t="s">
        <v>1264</v>
      </c>
      <c r="B3" s="3329"/>
      <c r="C3" s="3329"/>
      <c r="D3" s="3329"/>
      <c r="E3" s="3329"/>
      <c r="F3" s="3329"/>
      <c r="G3" s="3329"/>
      <c r="H3" s="3329"/>
      <c r="I3" s="3329"/>
    </row>
    <row r="4" spans="1:12" ht="14">
      <c r="A4" s="1615" t="s">
        <v>1265</v>
      </c>
      <c r="B4" s="1616" t="s">
        <v>1266</v>
      </c>
      <c r="C4" s="1617" t="s">
        <v>3618</v>
      </c>
      <c r="D4" s="1617" t="s">
        <v>3626</v>
      </c>
      <c r="E4" s="3333" t="s">
        <v>1267</v>
      </c>
      <c r="F4" s="3334"/>
      <c r="G4" s="3334"/>
      <c r="H4" s="3334"/>
      <c r="I4" s="3335"/>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3">
      <c r="A5" s="3272" t="s">
        <v>1268</v>
      </c>
      <c r="B5" s="3327">
        <v>25</v>
      </c>
      <c r="C5" s="3330"/>
      <c r="D5" s="3318"/>
      <c r="E5" s="117" t="s">
        <v>1269</v>
      </c>
      <c r="F5" s="1618"/>
      <c r="G5" s="1618"/>
      <c r="H5" s="1618"/>
      <c r="I5" s="1273"/>
    </row>
    <row r="6" spans="1:12" ht="13">
      <c r="A6" s="3272"/>
      <c r="B6" s="3327"/>
      <c r="C6" s="3332"/>
      <c r="D6" s="3318"/>
      <c r="E6" s="117" t="s">
        <v>1270</v>
      </c>
      <c r="F6" s="1618"/>
      <c r="G6" s="1618"/>
      <c r="H6" s="1618"/>
      <c r="I6" s="1273"/>
    </row>
    <row r="7" spans="1:12" ht="13">
      <c r="A7" s="3272"/>
      <c r="B7" s="3327"/>
      <c r="C7" s="3331"/>
      <c r="D7" s="3318"/>
      <c r="E7" s="117" t="s">
        <v>1271</v>
      </c>
      <c r="F7" s="1618"/>
      <c r="G7" s="1618"/>
      <c r="H7" s="1618"/>
      <c r="I7" s="1273"/>
    </row>
    <row r="8" spans="1:12" ht="13">
      <c r="A8" s="3272" t="s">
        <v>1272</v>
      </c>
      <c r="B8" s="3327">
        <v>15</v>
      </c>
      <c r="C8" s="3330"/>
      <c r="D8" s="3318"/>
      <c r="E8" s="117" t="s">
        <v>1273</v>
      </c>
      <c r="F8" s="1618"/>
      <c r="G8" s="1618"/>
      <c r="H8" s="1618"/>
      <c r="I8" s="1273"/>
    </row>
    <row r="9" spans="1:12" ht="13">
      <c r="A9" s="3272"/>
      <c r="B9" s="3327"/>
      <c r="C9" s="3331"/>
      <c r="D9" s="3318"/>
      <c r="E9" s="117" t="s">
        <v>1274</v>
      </c>
      <c r="F9" s="1618"/>
      <c r="G9" s="1618"/>
      <c r="H9" s="1618"/>
      <c r="I9" s="1273"/>
    </row>
    <row r="10" spans="1:12" ht="13">
      <c r="A10" s="3272" t="s">
        <v>1275</v>
      </c>
      <c r="B10" s="3327">
        <v>15</v>
      </c>
      <c r="C10" s="3330"/>
      <c r="D10" s="3318"/>
      <c r="E10" s="117" t="s">
        <v>1276</v>
      </c>
      <c r="F10" s="1618"/>
      <c r="G10" s="1618"/>
      <c r="H10" s="1618"/>
      <c r="I10" s="1273"/>
    </row>
    <row r="11" spans="1:12" ht="13">
      <c r="A11" s="3272"/>
      <c r="B11" s="3327"/>
      <c r="C11" s="3331"/>
      <c r="D11" s="3318"/>
      <c r="E11" s="117" t="s">
        <v>1277</v>
      </c>
      <c r="F11" s="1618"/>
      <c r="G11" s="1618"/>
      <c r="H11" s="1618"/>
      <c r="I11" s="1273"/>
    </row>
    <row r="12" spans="1:12" ht="13">
      <c r="A12" s="3272" t="s">
        <v>1278</v>
      </c>
      <c r="B12" s="3327">
        <v>15</v>
      </c>
      <c r="C12" s="3330"/>
      <c r="D12" s="3318"/>
      <c r="E12" s="117" t="s">
        <v>1279</v>
      </c>
      <c r="F12" s="1618"/>
      <c r="G12" s="1618"/>
      <c r="H12" s="1618"/>
      <c r="I12" s="1273"/>
    </row>
    <row r="13" spans="1:12" ht="13">
      <c r="A13" s="3272"/>
      <c r="B13" s="3327"/>
      <c r="C13" s="3331"/>
      <c r="D13" s="3318"/>
      <c r="E13" s="117" t="s">
        <v>1280</v>
      </c>
      <c r="F13" s="1618"/>
      <c r="G13" s="1618"/>
      <c r="H13" s="1618"/>
      <c r="I13" s="1273"/>
    </row>
    <row r="14" spans="1:12" ht="13">
      <c r="A14" s="3272" t="s">
        <v>1281</v>
      </c>
      <c r="B14" s="3327">
        <v>30</v>
      </c>
      <c r="C14" s="3330">
        <v>6</v>
      </c>
      <c r="D14" s="3318">
        <v>4</v>
      </c>
      <c r="E14" s="117" t="s">
        <v>1282</v>
      </c>
      <c r="F14" s="1618"/>
      <c r="G14" s="1618"/>
      <c r="H14" s="1618"/>
      <c r="I14" s="1273"/>
    </row>
    <row r="15" spans="1:12" ht="13">
      <c r="A15" s="3272"/>
      <c r="B15" s="3327"/>
      <c r="C15" s="3332"/>
      <c r="D15" s="3318"/>
      <c r="E15" s="117" t="s">
        <v>1283</v>
      </c>
      <c r="F15" s="1618"/>
      <c r="G15" s="1618"/>
      <c r="H15" s="1618"/>
      <c r="I15" s="1273"/>
    </row>
    <row r="16" spans="1:12" ht="13">
      <c r="A16" s="3272"/>
      <c r="B16" s="3327"/>
      <c r="C16" s="3331"/>
      <c r="D16" s="3318"/>
      <c r="E16" s="117" t="s">
        <v>1284</v>
      </c>
      <c r="F16" s="1618"/>
      <c r="G16" s="1618"/>
      <c r="H16" s="1618"/>
      <c r="I16" s="1273"/>
    </row>
    <row r="17" spans="1:36" ht="14">
      <c r="A17" s="1619" t="s">
        <v>1285</v>
      </c>
      <c r="B17" s="54"/>
      <c r="C17" s="118">
        <f>SUM(C5:C16)</f>
        <v>6</v>
      </c>
      <c r="D17" s="118">
        <f>SUM(D5:D16)</f>
        <v>4</v>
      </c>
      <c r="E17" s="115"/>
      <c r="F17" s="115"/>
      <c r="G17" s="115"/>
      <c r="H17" s="115"/>
      <c r="I17" s="115"/>
      <c r="K17" s="288"/>
      <c r="L17" s="288" t="s">
        <v>1286</v>
      </c>
      <c r="M17" s="288" t="s">
        <v>1287</v>
      </c>
    </row>
    <row r="18" spans="1:36" ht="31.9" customHeight="1" thickBot="1">
      <c r="A18" s="1620" t="s">
        <v>1288</v>
      </c>
      <c r="B18" s="1534"/>
      <c r="C18" s="119">
        <f>ROUND(C17/SUM(C17:D17),2)</f>
        <v>0.6</v>
      </c>
      <c r="D18" s="119">
        <f>1-C18</f>
        <v>0.4</v>
      </c>
      <c r="E18" s="3349" t="s">
        <v>2131</v>
      </c>
      <c r="F18" s="3350"/>
      <c r="G18" s="3350"/>
      <c r="H18" s="3350"/>
      <c r="I18" s="3350"/>
      <c r="K18" s="288" t="s">
        <v>1289</v>
      </c>
      <c r="L18" s="288">
        <f>IF(C1="",'数据-汇总表'!E3,SUMIF(项目类型,C1,'数据-汇总表'!E17:E26)+SUMIF(项目类型,C1,'数据-汇总表'!I17:I26))</f>
        <v>41819.959999999992</v>
      </c>
      <c r="M18" s="288">
        <f>IF(C1="",'数据-汇总表'!E3,SUMIF(项目类型,C1,'数据-汇总表'!E17:E26))</f>
        <v>41819.959999999992</v>
      </c>
    </row>
    <row r="19" spans="1:36" ht="14">
      <c r="A19" s="1621" t="s">
        <v>1290</v>
      </c>
      <c r="B19" s="1622" t="s">
        <v>1291</v>
      </c>
      <c r="C19" s="120">
        <f ca="1">SUMIF(INDIRECT("'"&amp;C4&amp;"'"&amp;"!A:A"),结果表!B19,INDIRECT("'"&amp;C4&amp;"'"&amp;"!B:B"))</f>
        <v>75636</v>
      </c>
      <c r="D19" s="121">
        <f ca="1">SUMIF(INDIRECT("'"&amp;D4&amp;"'"&amp;"!A:A"),结果表!B19,INDIRECT("'"&amp;D4&amp;"'"&amp;"!B:B"))</f>
        <v>60126</v>
      </c>
      <c r="E19" s="1621" t="s">
        <v>1292</v>
      </c>
      <c r="F19" s="1622" t="s">
        <v>1291</v>
      </c>
      <c r="G19" s="122">
        <f ca="1">ROUND(C19*$C$18+D19*$D$18,0)</f>
        <v>69432</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4">
      <c r="A20" s="1624"/>
      <c r="B20" s="43" t="s">
        <v>1295</v>
      </c>
      <c r="C20" s="123">
        <f ca="1">SUMIF(INDIRECT("'"&amp;C4&amp;"'"&amp;"!A:A"),结果表!B20,INDIRECT("'"&amp;C4&amp;"'"&amp;"!B:B"))</f>
        <v>18086</v>
      </c>
      <c r="D20" s="124">
        <f ca="1">SUMIF(INDIRECT("'"&amp;D4&amp;"'"&amp;"!A:A"),结果表!B20,INDIRECT("'"&amp;D4&amp;"'"&amp;"!B:B"))</f>
        <v>14377</v>
      </c>
      <c r="E20" s="1624"/>
      <c r="F20" s="43" t="s">
        <v>1295</v>
      </c>
      <c r="G20" s="125">
        <f ca="1">ROUND(C20*$C$18+D20*$D$18,0)</f>
        <v>16602</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4.5" thickBot="1">
      <c r="A22" s="1556" t="s">
        <v>1298</v>
      </c>
      <c r="B22" s="1626"/>
      <c r="C22" s="1627"/>
      <c r="D22" s="672">
        <f ca="1">IF(C19&lt;D19,D19/C19-1,C19/D19-1)</f>
        <v>0.25795828759604822</v>
      </c>
      <c r="E22" s="115"/>
      <c r="F22" s="115"/>
      <c r="G22" s="115"/>
      <c r="H22" s="115"/>
      <c r="I22" s="115"/>
    </row>
    <row r="23" spans="1:36" ht="13" thickBot="1">
      <c r="A23" s="638"/>
      <c r="B23" s="638"/>
      <c r="C23" s="638"/>
      <c r="D23" s="638"/>
      <c r="E23" s="115"/>
      <c r="F23" s="115"/>
      <c r="G23" s="115"/>
      <c r="H23" s="115"/>
      <c r="I23" s="115"/>
    </row>
    <row r="24" spans="1:36" ht="14">
      <c r="A24" s="3342" t="s">
        <v>1299</v>
      </c>
      <c r="B24" s="1622" t="s">
        <v>1291</v>
      </c>
      <c r="C24" s="122">
        <f>IF(B30=0,0,D30)</f>
        <v>0</v>
      </c>
      <c r="D24" s="1628"/>
      <c r="E24" s="115"/>
      <c r="F24" s="115"/>
      <c r="G24" s="115"/>
      <c r="H24" s="115"/>
      <c r="I24" s="115"/>
    </row>
    <row r="25" spans="1:36" ht="14">
      <c r="A25" s="3343"/>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
      <c r="A27" s="1630"/>
      <c r="B27" s="128">
        <v>0</v>
      </c>
      <c r="C27" s="128">
        <v>0</v>
      </c>
      <c r="D27" s="129">
        <f>ROUND(C27*B27/10000,0)</f>
        <v>0</v>
      </c>
      <c r="E27" s="115"/>
      <c r="F27" s="115"/>
      <c r="G27" s="115"/>
      <c r="H27" s="115"/>
      <c r="I27" s="115"/>
    </row>
    <row r="28" spans="1:36" ht="14">
      <c r="A28" s="1630"/>
      <c r="B28" s="128"/>
      <c r="C28" s="128"/>
      <c r="D28" s="129"/>
      <c r="E28" s="115"/>
      <c r="F28" s="115"/>
      <c r="G28" s="115"/>
      <c r="H28" s="115"/>
      <c r="I28" s="115"/>
    </row>
    <row r="29" spans="1:36" ht="14">
      <c r="A29" s="1630"/>
      <c r="B29" s="128"/>
      <c r="C29" s="128"/>
      <c r="D29" s="129"/>
      <c r="E29" s="115"/>
      <c r="F29" s="115"/>
      <c r="G29" s="115"/>
      <c r="H29" s="115"/>
      <c r="I29" s="115"/>
    </row>
    <row r="30" spans="1:36" ht="14.5" thickBot="1">
      <c r="A30" s="128" t="s">
        <v>1304</v>
      </c>
      <c r="B30" s="128"/>
      <c r="C30" s="128"/>
      <c r="D30" s="128"/>
      <c r="E30" s="2118" t="s">
        <v>2132</v>
      </c>
      <c r="F30" s="115"/>
      <c r="G30" s="115"/>
      <c r="H30" s="115"/>
      <c r="I30" s="115"/>
    </row>
    <row r="31" spans="1:36" s="2124" customFormat="1" ht="26.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 thickTop="1" thickBot="1">
      <c r="A32" s="1631" t="s">
        <v>1305</v>
      </c>
      <c r="B32" s="1527"/>
      <c r="C32" s="130">
        <f ca="1">IF(D32="总价",G19-C24,G20-C25)</f>
        <v>69432</v>
      </c>
      <c r="D32" s="1632" t="s">
        <v>3620</v>
      </c>
      <c r="E32" s="115"/>
      <c r="F32" s="115"/>
      <c r="G32" s="115"/>
      <c r="H32" s="115"/>
      <c r="I32" s="115"/>
    </row>
    <row r="33" spans="1:15" ht="14">
      <c r="A33" s="733" t="s">
        <v>1306</v>
      </c>
      <c r="B33" s="117"/>
      <c r="C33" s="1633" t="s">
        <v>3619</v>
      </c>
      <c r="D33" s="1634" t="s">
        <v>3618</v>
      </c>
      <c r="E33" s="1635" t="s">
        <v>1307</v>
      </c>
      <c r="F33" s="1636" t="str">
        <f>IF(D32="楼面单价","取值（单价）","取值（总价）")</f>
        <v>取值（总价）</v>
      </c>
      <c r="G33" s="115"/>
      <c r="H33" s="115"/>
      <c r="I33" s="115"/>
    </row>
    <row r="34" spans="1:15" ht="14">
      <c r="A34" s="1637"/>
      <c r="B34" s="1638" t="s">
        <v>1308</v>
      </c>
      <c r="C34" s="134">
        <f ca="1">IF(C33="自定义",F34,C32-C35)</f>
        <v>11803</v>
      </c>
      <c r="D34" s="801">
        <f ca="1">IF(C33="自定义",ROUND(C34/C32,3),IF(C33="收益比率",SUMIF(INDIRECT("'"&amp;D33&amp;"'"&amp;"!b:b"),"土地收益比率",INDIRECT("'"&amp;D33&amp;"'"&amp;"!c:c")),SUMIF(INDIRECT("'"&amp;D33&amp;"'"&amp;"!b:b"),"土地成本比率",INDIRECT("'"&amp;D33&amp;"'"&amp;"!c:c"))))</f>
        <v>0.17000000000000004</v>
      </c>
      <c r="E34" s="1639" t="s">
        <v>1309</v>
      </c>
      <c r="F34" s="1235"/>
      <c r="G34" s="115"/>
      <c r="H34" s="115"/>
      <c r="I34" s="115"/>
    </row>
    <row r="35" spans="1:15" ht="14.5" thickBot="1">
      <c r="A35" s="1640"/>
      <c r="B35" s="1641" t="s">
        <v>1310</v>
      </c>
      <c r="C35" s="1083">
        <f ca="1">IF(C33="自定义",F35,ROUND(C32*D35,0))</f>
        <v>57629</v>
      </c>
      <c r="D35" s="1084">
        <f ca="1">IF(C33="自定义",ROUND(C35/C32,3),IF(C33="收益比率",SUMIF(INDIRECT("'"&amp;D33&amp;"'"&amp;"!b:b"),"建筑物收益比率",INDIRECT("'"&amp;D33&amp;"'"&amp;"!c:c")),SUMIF(INDIRECT("'"&amp;D33&amp;"'"&amp;"!b:b"),"建筑物成本比率",INDIRECT("'"&amp;D33&amp;"'"&amp;"!c:c"))))</f>
        <v>0.83</v>
      </c>
      <c r="E35" s="1642" t="s">
        <v>1311</v>
      </c>
      <c r="F35" s="140"/>
      <c r="G35" s="115"/>
      <c r="H35" s="115"/>
      <c r="I35" s="115"/>
    </row>
    <row r="36" spans="1:15" ht="14.5" thickBot="1">
      <c r="A36" s="3319" t="s">
        <v>1312</v>
      </c>
      <c r="B36" s="1643" t="s">
        <v>1313</v>
      </c>
      <c r="C36" s="131"/>
      <c r="D36" s="1644"/>
      <c r="E36" s="1559"/>
      <c r="F36" s="1645"/>
      <c r="G36" s="115"/>
      <c r="H36" s="115"/>
      <c r="I36" s="115"/>
    </row>
    <row r="37" spans="1:15" ht="14.5" thickBot="1">
      <c r="A37" s="3320"/>
      <c r="B37" s="1547" t="s">
        <v>1314</v>
      </c>
      <c r="C37" s="133"/>
      <c r="D37" s="1064"/>
      <c r="E37" s="1064"/>
      <c r="F37" s="1645"/>
      <c r="G37" s="115"/>
      <c r="H37" s="115"/>
      <c r="I37" s="115"/>
    </row>
    <row r="38" spans="1:15" ht="14.5" thickBot="1">
      <c r="A38" s="3321"/>
      <c r="B38" s="1646" t="s">
        <v>1315</v>
      </c>
      <c r="C38" s="633"/>
      <c r="D38" s="1647" t="s">
        <v>1316</v>
      </c>
      <c r="E38" s="1064"/>
      <c r="F38" s="1645"/>
      <c r="G38" s="115"/>
      <c r="H38" s="115"/>
      <c r="I38" s="115"/>
    </row>
    <row r="39" spans="1:15" ht="14">
      <c r="A39" s="1624" t="s">
        <v>1317</v>
      </c>
      <c r="B39" s="1648" t="s">
        <v>1318</v>
      </c>
      <c r="C39" s="1649" t="s">
        <v>1319</v>
      </c>
      <c r="D39" s="1649" t="s">
        <v>1320</v>
      </c>
      <c r="E39" s="1650" t="s">
        <v>1321</v>
      </c>
      <c r="F39" s="1645"/>
      <c r="G39" s="115"/>
      <c r="H39" s="115"/>
      <c r="I39" s="115"/>
    </row>
    <row r="40" spans="1:15" ht="14">
      <c r="A40" s="1651" t="s">
        <v>1322</v>
      </c>
      <c r="B40" s="135"/>
      <c r="C40" s="136"/>
      <c r="D40" s="136"/>
      <c r="E40" s="137"/>
      <c r="F40" s="1645"/>
      <c r="G40" s="115"/>
      <c r="H40" s="115"/>
      <c r="I40" s="115"/>
    </row>
    <row r="41" spans="1:15" ht="14">
      <c r="A41" s="1651" t="s">
        <v>1323</v>
      </c>
      <c r="B41" s="135"/>
      <c r="C41" s="136"/>
      <c r="D41" s="136"/>
      <c r="E41" s="137"/>
      <c r="F41" s="1645"/>
      <c r="G41" s="115"/>
      <c r="H41" s="115"/>
      <c r="I41" s="115"/>
    </row>
    <row r="42" spans="1:15" ht="14.5" thickBot="1">
      <c r="A42" s="1652"/>
      <c r="B42" s="138"/>
      <c r="C42" s="139"/>
      <c r="D42" s="139"/>
      <c r="E42" s="140"/>
      <c r="F42" s="1645"/>
      <c r="G42" s="115"/>
      <c r="H42" s="115"/>
      <c r="I42" s="115"/>
    </row>
    <row r="43" spans="1:15" ht="12.5">
      <c r="A43" s="1459"/>
      <c r="B43" s="1459"/>
      <c r="C43" s="1459"/>
      <c r="D43" s="1459"/>
      <c r="E43" s="1459"/>
      <c r="F43" s="1653"/>
      <c r="G43" s="1653"/>
      <c r="H43" s="1653"/>
      <c r="I43" s="1654"/>
    </row>
    <row r="44" spans="1:15" ht="18">
      <c r="A44" s="1456" t="s">
        <v>1324</v>
      </c>
      <c r="B44" s="1655"/>
      <c r="C44" s="1655"/>
      <c r="D44" s="1656"/>
      <c r="E44" s="1656"/>
      <c r="F44" s="1657"/>
      <c r="G44" s="1657"/>
      <c r="H44" s="1657"/>
      <c r="I44" s="1657"/>
      <c r="J44" s="1658" t="s">
        <v>1325</v>
      </c>
      <c r="K44" s="4"/>
      <c r="L44" s="4"/>
      <c r="M44" s="4"/>
      <c r="N44" s="4"/>
      <c r="O44" s="4"/>
    </row>
    <row r="45" spans="1:15" ht="14.25" customHeight="1" thickBot="1">
      <c r="A45" s="3339" t="s">
        <v>1326</v>
      </c>
      <c r="B45" s="3340"/>
      <c r="C45" s="3341"/>
      <c r="D45" s="141">
        <f ca="1">ROUND(H101*F45,0)</f>
        <v>69432</v>
      </c>
      <c r="E45" s="142" t="s">
        <v>1327</v>
      </c>
      <c r="F45" s="143">
        <v>1</v>
      </c>
      <c r="G45" s="144" t="s">
        <v>1328</v>
      </c>
      <c r="H45" s="115"/>
      <c r="I45" s="115"/>
      <c r="J45" s="3259" t="s">
        <v>1329</v>
      </c>
      <c r="K45" s="3259"/>
      <c r="L45" s="3259"/>
      <c r="M45" s="3259"/>
      <c r="N45" s="3259"/>
      <c r="O45" s="3259"/>
    </row>
    <row r="46" spans="1:15" ht="14.25" customHeight="1">
      <c r="A46" s="3336" t="s">
        <v>1330</v>
      </c>
      <c r="B46" s="3337"/>
      <c r="C46" s="3337"/>
      <c r="D46" s="3337"/>
      <c r="E46" s="3337"/>
      <c r="F46" s="3337"/>
      <c r="G46" s="3338"/>
      <c r="H46" s="1659"/>
      <c r="I46" s="145"/>
      <c r="J46" s="2300">
        <v>1</v>
      </c>
      <c r="K46" s="3260" t="s">
        <v>1331</v>
      </c>
      <c r="L46" s="3260"/>
      <c r="M46" s="3261"/>
      <c r="N46" s="3261"/>
      <c r="O46" s="3261"/>
    </row>
    <row r="47" spans="1:15" ht="12" customHeight="1">
      <c r="A47" s="146" t="s">
        <v>1332</v>
      </c>
      <c r="B47" s="147"/>
      <c r="C47" s="148"/>
      <c r="D47" s="1017" t="s">
        <v>1333</v>
      </c>
      <c r="E47" s="288" t="s">
        <v>1334</v>
      </c>
      <c r="F47" s="149" t="s">
        <v>1335</v>
      </c>
      <c r="G47" s="2323" t="s">
        <v>1336</v>
      </c>
      <c r="H47" s="2324"/>
      <c r="I47" s="145"/>
      <c r="J47" s="2300">
        <v>2</v>
      </c>
      <c r="K47" s="3260" t="s">
        <v>1337</v>
      </c>
      <c r="L47" s="3260"/>
      <c r="M47" s="3262">
        <f>'数据-取费表'!B2</f>
        <v>45238</v>
      </c>
      <c r="N47" s="3262"/>
      <c r="O47" s="3262"/>
    </row>
    <row r="48" spans="1:15" ht="26">
      <c r="A48" s="3322" t="s">
        <v>1338</v>
      </c>
      <c r="B48" s="3323"/>
      <c r="C48" s="3323"/>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260" t="s">
        <v>1340</v>
      </c>
      <c r="L48" s="3260"/>
      <c r="M48" s="3263">
        <f ca="1">H101</f>
        <v>69432</v>
      </c>
      <c r="N48" s="3263"/>
      <c r="O48" s="3263"/>
    </row>
    <row r="49" spans="1:35" ht="25.5" customHeight="1">
      <c r="A49" s="2143" t="s">
        <v>1341</v>
      </c>
      <c r="B49" s="3308" t="s">
        <v>1342</v>
      </c>
      <c r="C49" s="3308"/>
      <c r="D49" s="1470">
        <v>0</v>
      </c>
      <c r="E49" s="310" t="s">
        <v>1343</v>
      </c>
      <c r="F49" s="2224" t="s">
        <v>28</v>
      </c>
      <c r="G49" s="3291"/>
      <c r="H49" s="2125" t="s">
        <v>2134</v>
      </c>
      <c r="I49" s="2126"/>
      <c r="J49" s="2300">
        <v>4</v>
      </c>
      <c r="K49" s="3260" t="str">
        <f>IF(项目基本情况!E8="房地产抵押价值","房地产抵押价值","抵押担保权已注销时的房地产抵押价值")</f>
        <v>房地产抵押价值</v>
      </c>
      <c r="L49" s="3260"/>
      <c r="M49" s="3263">
        <f ca="1">IF(项目基本情况!E8="房地产抵押价值",H107,H109)</f>
        <v>69432</v>
      </c>
      <c r="N49" s="3263"/>
      <c r="O49" s="3263"/>
    </row>
    <row r="50" spans="1:35" ht="25.5" customHeight="1">
      <c r="A50" s="2328"/>
      <c r="B50" s="3308" t="s">
        <v>1344</v>
      </c>
      <c r="C50" s="3308"/>
      <c r="D50" s="2180"/>
      <c r="E50" s="317"/>
      <c r="F50" s="2224"/>
      <c r="G50" s="3292"/>
      <c r="H50" s="2127" t="s">
        <v>2135</v>
      </c>
      <c r="I50" s="2126"/>
      <c r="J50" s="3259" t="s">
        <v>1345</v>
      </c>
      <c r="K50" s="3259"/>
      <c r="L50" s="3259"/>
      <c r="M50" s="3259"/>
      <c r="N50" s="3259"/>
      <c r="O50" s="3259"/>
    </row>
    <row r="51" spans="1:35" ht="20.5" customHeight="1">
      <c r="A51" s="2329"/>
      <c r="B51" s="3308" t="s">
        <v>1346</v>
      </c>
      <c r="C51" s="3308"/>
      <c r="D51" s="1017"/>
      <c r="E51" s="313"/>
      <c r="F51" s="2224"/>
      <c r="G51" s="3293"/>
      <c r="H51" s="2127" t="s">
        <v>2136</v>
      </c>
      <c r="I51" s="2126"/>
      <c r="J51" s="2301" t="s">
        <v>1347</v>
      </c>
      <c r="K51" s="3260" t="s">
        <v>1348</v>
      </c>
      <c r="L51" s="3260"/>
      <c r="M51" s="2301" t="s">
        <v>1349</v>
      </c>
      <c r="N51" s="2301" t="s">
        <v>1350</v>
      </c>
      <c r="O51" s="2301" t="s">
        <v>1351</v>
      </c>
    </row>
    <row r="52" spans="1:35" ht="24" customHeight="1">
      <c r="A52" s="2144" t="s">
        <v>1352</v>
      </c>
      <c r="B52" s="3308" t="s">
        <v>1353</v>
      </c>
      <c r="C52" s="3308"/>
      <c r="D52" s="1017">
        <f ca="1">ROUND(D45*'数据-取费表'!B41/(1+'数据-取费表'!C42),0)</f>
        <v>3703</v>
      </c>
      <c r="E52" s="1248" t="s">
        <v>1354</v>
      </c>
      <c r="F52" s="2330">
        <f>'数据-取费表'!B41</f>
        <v>5.6000000000000001E-2</v>
      </c>
      <c r="G52" s="2331"/>
      <c r="H52" s="2321"/>
      <c r="I52" s="1660"/>
      <c r="J52" s="2300">
        <v>1</v>
      </c>
      <c r="K52" s="3285" t="s">
        <v>1355</v>
      </c>
      <c r="L52" s="3285"/>
      <c r="M52" s="2302" t="b">
        <f>D48</f>
        <v>0</v>
      </c>
      <c r="N52" s="2300" t="str">
        <f>E48</f>
        <v>销售额×税（费）率</v>
      </c>
      <c r="O52" s="2303">
        <f>F48</f>
        <v>5.6000000000000001E-2</v>
      </c>
    </row>
    <row r="53" spans="1:35" ht="12" customHeight="1">
      <c r="A53" s="2144" t="s">
        <v>1356</v>
      </c>
      <c r="B53" s="3309" t="s">
        <v>2282</v>
      </c>
      <c r="C53" s="3310"/>
      <c r="D53" s="1017">
        <f ca="1">ROUND(D45*'数据-取费表'!B41/(1+'数据-取费表'!C42),0)</f>
        <v>3703</v>
      </c>
      <c r="E53" s="1248" t="s">
        <v>1354</v>
      </c>
      <c r="F53" s="2330">
        <f>'数据-取费表'!B41</f>
        <v>5.6000000000000001E-2</v>
      </c>
      <c r="G53" s="2331"/>
      <c r="H53" s="2321"/>
      <c r="I53" s="1660"/>
      <c r="J53" s="2300">
        <v>2</v>
      </c>
      <c r="K53" s="3285" t="s">
        <v>1357</v>
      </c>
      <c r="L53" s="3285"/>
      <c r="M53" s="2302">
        <f t="shared" ref="M53:O54" ca="1" si="0">D55</f>
        <v>35</v>
      </c>
      <c r="N53" s="2300" t="str">
        <f t="shared" si="0"/>
        <v>销售额×税（费）率</v>
      </c>
      <c r="O53" s="2303" t="str">
        <f t="shared" si="0"/>
        <v>免征</v>
      </c>
    </row>
    <row r="54" spans="1:35" ht="12" customHeight="1">
      <c r="A54" s="2144" t="s">
        <v>1358</v>
      </c>
      <c r="B54" s="3309" t="s">
        <v>2283</v>
      </c>
      <c r="C54" s="3310"/>
      <c r="D54" s="1017">
        <f ca="1">C68</f>
        <v>3703</v>
      </c>
      <c r="E54" s="313" t="s">
        <v>1359</v>
      </c>
      <c r="F54" s="2330">
        <f>'数据-取费表'!B41</f>
        <v>5.6000000000000001E-2</v>
      </c>
      <c r="G54" s="2331"/>
      <c r="H54" s="2332"/>
      <c r="I54" s="1660"/>
      <c r="J54" s="2300">
        <v>3</v>
      </c>
      <c r="K54" s="3285" t="s">
        <v>1360</v>
      </c>
      <c r="L54" s="3285"/>
      <c r="M54" s="2302">
        <f t="shared" ca="1" si="0"/>
        <v>39298</v>
      </c>
      <c r="N54" s="2300" t="str">
        <f t="shared" si="0"/>
        <v>增值额×税（费）率</v>
      </c>
      <c r="O54" s="2304" t="str">
        <f t="shared" si="0"/>
        <v>免征</v>
      </c>
    </row>
    <row r="55" spans="1:35" ht="24" customHeight="1">
      <c r="A55" s="3345" t="s">
        <v>1361</v>
      </c>
      <c r="B55" s="3323"/>
      <c r="C55" s="3323"/>
      <c r="D55" s="12">
        <f ca="1">IF(H55="个人住宅",0,ROUND(D45*I55,0))</f>
        <v>35</v>
      </c>
      <c r="E55" s="1248" t="s">
        <v>1362</v>
      </c>
      <c r="F55" s="2330" t="str">
        <f>IF(H55="正常",I55,"免征")</f>
        <v>免征</v>
      </c>
      <c r="G55" s="2331"/>
      <c r="H55" s="2327"/>
      <c r="I55" s="151">
        <f>'数据-取费表'!B49</f>
        <v>5.0000000000000001E-4</v>
      </c>
      <c r="J55" s="2300">
        <f>IF(H59="非个人房产","",4)</f>
        <v>4</v>
      </c>
      <c r="K55" s="3285" t="str">
        <f>IF(H59="非个人房产","——","个人所得税")</f>
        <v>个人所得税</v>
      </c>
      <c r="L55" s="3285"/>
      <c r="M55" s="2305">
        <f ca="1">D59</f>
        <v>661</v>
      </c>
      <c r="N55" s="1874" t="str">
        <f>E59</f>
        <v>差额计税</v>
      </c>
      <c r="O55" s="2306">
        <f>F59</f>
        <v>0.01</v>
      </c>
    </row>
    <row r="56" spans="1:35" ht="26">
      <c r="A56" s="3345" t="s">
        <v>1363</v>
      </c>
      <c r="B56" s="3323"/>
      <c r="C56" s="3323"/>
      <c r="D56" s="12">
        <f ca="1">IF(H56="个人住宅",D57,D58)</f>
        <v>39298</v>
      </c>
      <c r="E56" s="1248" t="s">
        <v>1364</v>
      </c>
      <c r="F56" s="2330" t="str">
        <f>IF(H56="正常",F58,"免征")</f>
        <v>免征</v>
      </c>
      <c r="G56" s="2333" t="s">
        <v>1365</v>
      </c>
      <c r="H56" s="2334"/>
      <c r="I56" s="1661"/>
      <c r="J56" s="2300" t="str">
        <f>IF(项目基本情况!K6="上海银行",IF(J55="",4,J55+1),"")</f>
        <v/>
      </c>
      <c r="K56" s="3266" t="str">
        <f>IF(项目基本情况!K6="上海银行","其他处置费用","")</f>
        <v/>
      </c>
      <c r="L56" s="3267"/>
      <c r="M56" s="2302" t="str">
        <f>IF(项目基本情况!K6="上海银行",M69,"")</f>
        <v/>
      </c>
      <c r="N56" s="3266" t="str">
        <f>IF(项目基本情况!K6="上海银行","包含处置中涉及的律师、诉讼、拍卖、评估等费用","")</f>
        <v/>
      </c>
      <c r="O56" s="3269"/>
    </row>
    <row r="57" spans="1:35" ht="13">
      <c r="A57" s="2144" t="s">
        <v>1341</v>
      </c>
      <c r="B57" s="3309" t="s">
        <v>1366</v>
      </c>
      <c r="C57" s="3310"/>
      <c r="D57" s="1470">
        <v>0</v>
      </c>
      <c r="E57" s="310" t="s">
        <v>1343</v>
      </c>
      <c r="F57" s="288"/>
      <c r="G57" s="2331"/>
      <c r="H57" s="2335"/>
      <c r="I57" s="1661"/>
      <c r="J57" s="3285">
        <f>IF(AND(J55="",J56=""),4,IF(项目基本情况!K6="上海银行",结果表!J56+1,结果表!J55+1))</f>
        <v>5</v>
      </c>
      <c r="K57" s="3285" t="s">
        <v>1367</v>
      </c>
      <c r="L57" s="2307" t="s">
        <v>1368</v>
      </c>
      <c r="M57" s="2308"/>
      <c r="N57" s="2309">
        <f ca="1">SUMIF(M52:M56,"&lt;9e307")</f>
        <v>39994</v>
      </c>
      <c r="O57" s="2310"/>
      <c r="P57" s="2454">
        <f ca="1">N57/M49</f>
        <v>0.57601682221454087</v>
      </c>
    </row>
    <row r="58" spans="1:35" ht="26">
      <c r="A58" s="2144" t="s">
        <v>1352</v>
      </c>
      <c r="B58" s="3309" t="s">
        <v>1369</v>
      </c>
      <c r="C58" s="3308"/>
      <c r="D58" s="12">
        <f ca="1">IF(H58="转让取得",C81,C97)</f>
        <v>39298</v>
      </c>
      <c r="E58" s="1248" t="s">
        <v>1364</v>
      </c>
      <c r="F58" s="288" t="s">
        <v>28</v>
      </c>
      <c r="G58" s="2331"/>
      <c r="H58" s="2334"/>
      <c r="I58" s="1661"/>
      <c r="J58" s="3285"/>
      <c r="K58" s="3285"/>
      <c r="L58" s="2307" t="s">
        <v>1370</v>
      </c>
      <c r="M58" s="2311"/>
      <c r="N58" s="2312" t="str">
        <f ca="1">NUMBERSTRING(INT(N57*10000),2)&amp;"元整"</f>
        <v>叁亿玖仟玖佰玖拾肆万元整</v>
      </c>
      <c r="O58" s="2313"/>
    </row>
    <row r="59" spans="1:35" ht="26.5" thickBot="1">
      <c r="A59" s="3289" t="s">
        <v>1371</v>
      </c>
      <c r="B59" s="3290"/>
      <c r="C59" s="3290"/>
      <c r="D59" s="2336">
        <f ca="1">IF(H59="非个人房产","——",IF(H59="个人住宅（满五唯一有凭证）",0,IF(H59="个人其他（无凭证）",ROUND(D45*F59,0),ROUND(C67*F59,0))))</f>
        <v>661</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287">
        <f>J57+1</f>
        <v>6</v>
      </c>
      <c r="K59" s="3285" t="s">
        <v>1372</v>
      </c>
      <c r="L59" s="2300" t="s">
        <v>1368</v>
      </c>
      <c r="M59" s="2314"/>
      <c r="N59" s="2315">
        <f ca="1">M49-N57</f>
        <v>29438</v>
      </c>
      <c r="O59" s="2316"/>
    </row>
    <row r="60" spans="1:35" ht="12" customHeight="1">
      <c r="A60" s="1662"/>
      <c r="B60" s="638"/>
      <c r="C60" s="638"/>
      <c r="D60" s="638"/>
      <c r="E60" s="1458"/>
      <c r="F60" s="1661"/>
      <c r="G60" s="1661"/>
      <c r="H60" s="145"/>
      <c r="I60" s="115"/>
      <c r="J60" s="3288"/>
      <c r="K60" s="3285"/>
      <c r="L60" s="2307" t="s">
        <v>1370</v>
      </c>
      <c r="M60" s="2311"/>
      <c r="N60" s="2312" t="str">
        <f ca="1">NUMBERSTRING(INT(N59*10000),2)&amp;"元整"</f>
        <v>贰亿玖仟肆佰叁拾捌万元整</v>
      </c>
      <c r="O60" s="2313"/>
    </row>
    <row r="61" spans="1:35" ht="13.5" thickBot="1">
      <c r="A61" s="3344" t="s">
        <v>1373</v>
      </c>
      <c r="B61" s="3344"/>
      <c r="C61" s="3344"/>
      <c r="D61" s="3344"/>
      <c r="E61" s="3344"/>
      <c r="F61" s="1661"/>
      <c r="G61" s="1661"/>
      <c r="H61" s="145"/>
      <c r="I61" s="115"/>
      <c r="J61" s="2300">
        <f>J59+1</f>
        <v>7</v>
      </c>
      <c r="K61" s="3285" t="s">
        <v>1374</v>
      </c>
      <c r="L61" s="3285"/>
      <c r="M61" s="2317"/>
      <c r="N61" s="2318">
        <f ca="1">ROUND(N59*10000/'数据-汇总表'!E3,0)</f>
        <v>7039</v>
      </c>
      <c r="O61" s="2319"/>
    </row>
    <row r="62" spans="1:35" ht="13">
      <c r="A62" s="3304" t="s">
        <v>1375</v>
      </c>
      <c r="B62" s="3305"/>
      <c r="C62" s="1856"/>
      <c r="D62" s="1856" t="s">
        <v>1376</v>
      </c>
      <c r="E62" s="152" t="s">
        <v>1377</v>
      </c>
      <c r="F62" s="1661"/>
      <c r="G62" s="1661"/>
      <c r="H62" s="145"/>
      <c r="I62" s="115"/>
    </row>
    <row r="63" spans="1:35" ht="13">
      <c r="A63" s="159" t="s">
        <v>330</v>
      </c>
      <c r="B63" s="153" t="s">
        <v>1378</v>
      </c>
      <c r="C63" s="2340">
        <f ca="1">ROUND((C64+C65)/(1+'数据-取费表'!C42),0)</f>
        <v>66126</v>
      </c>
      <c r="D63" s="153"/>
      <c r="E63" s="154"/>
      <c r="F63" s="1661"/>
      <c r="G63" s="1661"/>
      <c r="H63" s="145"/>
      <c r="I63" s="115"/>
      <c r="J63" s="3268" t="s">
        <v>1379</v>
      </c>
      <c r="K63" s="1237" t="s">
        <v>1380</v>
      </c>
      <c r="L63" s="1237">
        <f ca="1">IF(M49&gt;10000,M49*0.5%,IF(AND(M49&gt;1000,M49&lt;=10000),M49*1%,IF(AND(M49&gt;100,M49&lt;=1000),M49*3%,IF(AND(M49&gt;10,M49&lt;=100),M49*5%,M49*8%))))</f>
        <v>347.16</v>
      </c>
      <c r="M63" s="288">
        <f ca="1">ROUND(L63,1)</f>
        <v>347.2</v>
      </c>
      <c r="N63" s="2320"/>
      <c r="Z63" s="1614"/>
      <c r="AI63" s="1553"/>
    </row>
    <row r="64" spans="1:35" ht="14.25" customHeight="1">
      <c r="A64" s="155" t="s">
        <v>325</v>
      </c>
      <c r="B64" s="156" t="s">
        <v>1381</v>
      </c>
      <c r="C64" s="2341">
        <f ca="1">D45</f>
        <v>69432</v>
      </c>
      <c r="D64" s="156" t="s">
        <v>26</v>
      </c>
      <c r="E64" s="158"/>
      <c r="F64" s="1661"/>
      <c r="G64" s="1661"/>
      <c r="H64" s="145"/>
      <c r="I64" s="115"/>
      <c r="J64" s="3268"/>
      <c r="K64" s="1237" t="s">
        <v>1382</v>
      </c>
      <c r="L64" s="1237">
        <f ca="1">IF(M49&gt;2000,M49*0.5%,IF(AND(M49&gt;1000,M49&lt;=2000),M49*0.6%,IF(AND(M49&gt;500,M49&lt;=1000),M49*0.7%,IF(AND(M49&gt;200,M49&lt;=500),M49*0.8%,IF(AND(M49&gt;100,M49&lt;=200),M49*0.9%,IF(AND(M49&gt;50,M49&lt;=100),M49*1%,IF(AND(M49&gt;20,M49&lt;=50),M49*1.5%,IF(AND(M49&gt;10,M49&lt;=20),M49*2%,IF(AND(M49&gt;1,M49&lt;=10),M49*2.5%)))))))))</f>
        <v>347.16</v>
      </c>
      <c r="M64" s="288">
        <f t="shared" ref="M64:M65" ca="1" si="1">ROUND(L64,1)</f>
        <v>347.2</v>
      </c>
      <c r="N64" s="2321" t="s">
        <v>1383</v>
      </c>
      <c r="Z64" s="1614"/>
      <c r="AI64" s="1553"/>
    </row>
    <row r="65" spans="1:35" ht="14.25" customHeight="1">
      <c r="A65" s="155" t="s">
        <v>326</v>
      </c>
      <c r="B65" s="156" t="s">
        <v>1384</v>
      </c>
      <c r="C65" s="2342"/>
      <c r="D65" s="156"/>
      <c r="E65" s="158"/>
      <c r="F65" s="1661"/>
      <c r="G65" s="1661"/>
      <c r="H65" s="145"/>
      <c r="I65" s="115"/>
      <c r="J65" s="3268"/>
      <c r="K65" s="1237" t="s">
        <v>1385</v>
      </c>
      <c r="L65" s="1237">
        <f ca="1">IF(M49&gt;1000,M49*0.1%,IF(AND(M49&gt;500,M49&lt;=1000),M49*0.5%,IF(AND(M49&gt;50,M49&lt;=500),M49*1%,IF(AND(M49&gt;1,M49&lt;=50),M49*1.5%))))</f>
        <v>69.432000000000002</v>
      </c>
      <c r="M65" s="288">
        <f t="shared" ca="1" si="1"/>
        <v>69.400000000000006</v>
      </c>
      <c r="N65" s="2321" t="s">
        <v>1383</v>
      </c>
      <c r="Z65" s="1614"/>
      <c r="AI65" s="1553"/>
    </row>
    <row r="66" spans="1:35" ht="14.25" customHeight="1">
      <c r="A66" s="159" t="s">
        <v>327</v>
      </c>
      <c r="B66" s="160" t="s">
        <v>1386</v>
      </c>
      <c r="C66" s="2343"/>
      <c r="D66" s="160" t="s">
        <v>26</v>
      </c>
      <c r="E66" s="1243" t="s">
        <v>671</v>
      </c>
      <c r="F66" s="1661"/>
      <c r="G66" s="1661"/>
      <c r="H66" s="145"/>
      <c r="I66" s="115"/>
      <c r="J66" s="3268"/>
      <c r="K66" s="1237" t="s">
        <v>1387</v>
      </c>
      <c r="L66" s="1237">
        <f ca="1">M49*0.5%</f>
        <v>347.16</v>
      </c>
      <c r="M66" s="288">
        <f ca="1">IF(L66&gt;0.5,0.5,ROUND(L66,0))</f>
        <v>0.5</v>
      </c>
      <c r="N66" s="2321" t="s">
        <v>1388</v>
      </c>
      <c r="Z66" s="1614"/>
      <c r="AI66" s="1553"/>
    </row>
    <row r="67" spans="1:35" ht="14.25" customHeight="1">
      <c r="A67" s="159" t="s">
        <v>328</v>
      </c>
      <c r="B67" s="160" t="s">
        <v>1389</v>
      </c>
      <c r="C67" s="2344">
        <f ca="1">C63-C66</f>
        <v>66126</v>
      </c>
      <c r="D67" s="156" t="s">
        <v>26</v>
      </c>
      <c r="E67" s="158"/>
      <c r="F67" s="1661"/>
      <c r="G67" s="1661"/>
      <c r="H67" s="145"/>
      <c r="I67" s="115"/>
      <c r="J67" s="3268"/>
      <c r="K67" s="1237" t="s">
        <v>1390</v>
      </c>
      <c r="L67" s="1237">
        <f ca="1">IF(M49&gt;=10000,(8.25+(M49-10000)*0.01%),IF(AND(M49&gt;=8000,M49&lt;10000),(7.85+(M49-8000)*0.02%),IF(AND(M49&gt;=5000,M49&lt;8000),(6.65+(M49-5000)*0.04%),IF(AND(M49&gt;=2000,M49&lt;5000),(4.25+(PM49-2000)*0.08%),IF(AND(M49&gt;=1000,M49&lt;2000),(2.75+(M49-1000)*0.15%),IF(AND(M49&gt;=100,M49&lt;1000),(0.5+(M49-100)*0.25%),IF(AND(M49&gt;0,M49&lt;100),M49*0.5%)))))))</f>
        <v>14.193200000000001</v>
      </c>
      <c r="M67" s="288">
        <f ca="1">ROUND(L67*0.9,1)</f>
        <v>12.8</v>
      </c>
      <c r="N67" s="2320"/>
      <c r="Z67" s="1614"/>
      <c r="AI67" s="1553"/>
    </row>
    <row r="68" spans="1:35" ht="14.25" customHeight="1" thickBot="1">
      <c r="A68" s="162" t="s">
        <v>329</v>
      </c>
      <c r="B68" s="163" t="s">
        <v>1391</v>
      </c>
      <c r="C68" s="2345">
        <f ca="1">IF(C67&lt;=0,0,ROUND(C67*D68,0))</f>
        <v>3703</v>
      </c>
      <c r="D68" s="2346">
        <f>'数据-取费表'!B41</f>
        <v>5.6000000000000001E-2</v>
      </c>
      <c r="E68" s="164"/>
      <c r="F68" s="1661"/>
      <c r="G68" s="1661"/>
      <c r="H68" s="145"/>
      <c r="I68" s="115"/>
      <c r="J68" s="3268"/>
      <c r="K68" s="1237" t="s">
        <v>1392</v>
      </c>
      <c r="L68" s="1237">
        <f ca="1">IF(M49&gt;10000,M49*0.5%,IF(AND(M49&gt;5000,M49&lt;=10000),M49*1%,IF(AND(M49&gt;1000,M49&lt;=5000),M49*2%,IF(AND(M49&gt;200,M49&lt;=1000),M49*3%,M49*5%))))</f>
        <v>347.16</v>
      </c>
      <c r="M68" s="288">
        <f ca="1">ROUND(L68,1)</f>
        <v>347.2</v>
      </c>
      <c r="N68" s="2320"/>
      <c r="Z68" s="1614"/>
      <c r="AI68" s="1553"/>
    </row>
    <row r="69" spans="1:35" ht="16.5" customHeight="1">
      <c r="A69" s="1663"/>
      <c r="B69" s="1664"/>
      <c r="C69" s="1665"/>
      <c r="D69" s="1666"/>
      <c r="E69" s="1667"/>
      <c r="F69" s="1458"/>
      <c r="G69" s="1458"/>
      <c r="H69" s="1459"/>
      <c r="I69" s="638"/>
      <c r="J69" s="3268"/>
      <c r="K69" s="1237" t="s">
        <v>1393</v>
      </c>
      <c r="L69" s="1237"/>
      <c r="M69" s="288">
        <f ca="1">ROUND(SUM(M63:M68),0)</f>
        <v>1124</v>
      </c>
      <c r="N69" s="2322">
        <f ca="1">M69/M49</f>
        <v>1.6188500979375506E-2</v>
      </c>
      <c r="Z69" s="1614"/>
      <c r="AI69" s="1553"/>
    </row>
    <row r="70" spans="1:35" s="634" customFormat="1" ht="14.5" thickBot="1">
      <c r="A70" s="3312" t="s">
        <v>1394</v>
      </c>
      <c r="B70" s="3313"/>
      <c r="C70" s="3313"/>
      <c r="D70" s="3313"/>
      <c r="E70" s="3313"/>
      <c r="F70" s="3313"/>
      <c r="G70" s="3313"/>
      <c r="H70" s="3313"/>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
      <c r="A71" s="3304" t="s">
        <v>1375</v>
      </c>
      <c r="B71" s="3305"/>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
      <c r="A72" s="159" t="s">
        <v>330</v>
      </c>
      <c r="B72" s="160" t="s">
        <v>1395</v>
      </c>
      <c r="C72" s="2344">
        <f ca="1">ROUND(D45/(1+'数据-取费表'!C42),0)</f>
        <v>66126</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
      <c r="A73" s="159" t="s">
        <v>327</v>
      </c>
      <c r="B73" s="149" t="s">
        <v>1396</v>
      </c>
      <c r="C73" s="2344">
        <f ca="1">C74+C78</f>
        <v>397</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6">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309" t="s">
        <v>1402</v>
      </c>
      <c r="F76" s="3308"/>
      <c r="G76" s="3308"/>
      <c r="H76" s="3311"/>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397</v>
      </c>
      <c r="D78" s="2353">
        <f>'数据-取费表'!B43</f>
        <v>6.000000000000001E-3</v>
      </c>
      <c r="E78" s="3301" t="s">
        <v>1406</v>
      </c>
      <c r="F78" s="3302"/>
      <c r="G78" s="3302"/>
      <c r="H78" s="3303"/>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
      <c r="A79" s="159" t="s">
        <v>334</v>
      </c>
      <c r="B79" s="160" t="s">
        <v>1407</v>
      </c>
      <c r="C79" s="2344">
        <f ca="1">C72-C73</f>
        <v>65729</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6">
      <c r="A80" s="159" t="s">
        <v>335</v>
      </c>
      <c r="B80" s="160" t="s">
        <v>1408</v>
      </c>
      <c r="C80" s="2354">
        <f ca="1">IF(C79&lt;=0,0,C79/C73)</f>
        <v>165.56423173803526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6.5" thickBot="1">
      <c r="A81" s="162" t="s">
        <v>336</v>
      </c>
      <c r="B81" s="163" t="s">
        <v>1409</v>
      </c>
      <c r="C81" s="2355">
        <f ca="1">ROUND(IF(C79&lt;=0,0,IF(C80&gt;=200%,C79*60%-C73*35%,IF(C80&gt;=100%,C79*50%-C73*15%,IF(C80&gt;=50%,C79*40%-C73*5%,IF(C80&lt;50%,C79*30%,0))))),0)</f>
        <v>39298</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4.5" thickBot="1">
      <c r="A83" s="3312" t="s">
        <v>1410</v>
      </c>
      <c r="B83" s="3313"/>
      <c r="C83" s="3313"/>
      <c r="D83" s="3313"/>
      <c r="E83" s="3313"/>
      <c r="F83" s="3313"/>
      <c r="G83" s="3313"/>
      <c r="H83" s="3313"/>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
      <c r="A84" s="3304" t="s">
        <v>1375</v>
      </c>
      <c r="B84" s="3305"/>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
      <c r="A85" s="159" t="s">
        <v>330</v>
      </c>
      <c r="B85" s="160" t="s">
        <v>1395</v>
      </c>
      <c r="C85" s="2344">
        <f ca="1">ROUND(D45/(1+'数据-取费表'!C42),0)</f>
        <v>66126</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
      <c r="A86" s="159" t="s">
        <v>327</v>
      </c>
      <c r="B86" s="149" t="s">
        <v>1396</v>
      </c>
      <c r="C86" s="2344">
        <f ca="1">IF(H88="仅含出让金",C87+C90+C91+C92+C93+C94,C87+C91+C92+C93+C94)</f>
        <v>397</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
      <c r="A90" s="155" t="s">
        <v>326</v>
      </c>
      <c r="B90" s="156" t="s">
        <v>1416</v>
      </c>
      <c r="C90" s="2358"/>
      <c r="D90" s="2353"/>
      <c r="E90" s="179" t="str">
        <f>IF(H88="-","土地取得成本中已包含该笔费用"," ")</f>
        <v xml:space="preserve"> </v>
      </c>
      <c r="F90" s="2139"/>
      <c r="G90" s="3270" t="s">
        <v>2129</v>
      </c>
      <c r="H90" s="3271"/>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301" t="s">
        <v>1419</v>
      </c>
      <c r="F91" s="3302"/>
      <c r="G91" s="3302"/>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301" t="s">
        <v>1422</v>
      </c>
      <c r="F92" s="3302"/>
      <c r="G92" s="3302"/>
      <c r="H92" s="3303"/>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397</v>
      </c>
      <c r="D93" s="2353">
        <f>'数据-取费表'!B43</f>
        <v>6.000000000000001E-3</v>
      </c>
      <c r="E93" s="3301" t="s">
        <v>1406</v>
      </c>
      <c r="F93" s="3302"/>
      <c r="G93" s="3302"/>
      <c r="H93" s="3303"/>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346" t="s">
        <v>1426</v>
      </c>
      <c r="F94" s="3347"/>
      <c r="G94" s="3347"/>
      <c r="H94" s="3348"/>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
      <c r="A95" s="159" t="s">
        <v>334</v>
      </c>
      <c r="B95" s="160" t="s">
        <v>1407</v>
      </c>
      <c r="C95" s="2344">
        <f ca="1">ROUND(C85-C86,0)</f>
        <v>65729</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6">
      <c r="A96" s="159" t="s">
        <v>335</v>
      </c>
      <c r="B96" s="160" t="s">
        <v>1408</v>
      </c>
      <c r="C96" s="2354">
        <f ca="1">IF(C95&lt;=0,0,C95/C86)</f>
        <v>165.56423173803526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6.5" thickBot="1">
      <c r="A97" s="162" t="s">
        <v>336</v>
      </c>
      <c r="B97" s="163" t="s">
        <v>1409</v>
      </c>
      <c r="C97" s="2355">
        <f ca="1">ROUND(IF(C95&lt;=0,0,IF(C96&gt;=200%,C95*60%-C86*35%,IF(C96&gt;=100%,C95*50%-C86*15%,IF(C96&gt;=50%,C95*40%-C86*5%,IF(C96&lt;50%,C95*30%,0))))),0)</f>
        <v>39298</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1" t="s">
        <v>1428</v>
      </c>
      <c r="B100" s="3252"/>
      <c r="C100" s="3252"/>
      <c r="D100" s="3286"/>
      <c r="E100" s="3252" t="s">
        <v>1429</v>
      </c>
      <c r="F100" s="3252"/>
      <c r="G100" s="3252"/>
      <c r="H100" s="3286"/>
      <c r="I100" s="115"/>
    </row>
    <row r="101" spans="1:35" ht="18.75" customHeight="1">
      <c r="A101" s="3294" t="s">
        <v>1430</v>
      </c>
      <c r="B101" s="3295"/>
      <c r="C101" s="2361" t="str">
        <f>C4</f>
        <v>成本法</v>
      </c>
      <c r="D101" s="2362" t="str">
        <f>D4</f>
        <v>收益法-酒店模型</v>
      </c>
      <c r="E101" s="3264" t="s">
        <v>1431</v>
      </c>
      <c r="F101" s="3265"/>
      <c r="G101" s="1678" t="s">
        <v>1432</v>
      </c>
      <c r="H101" s="2371">
        <f ca="1">H118</f>
        <v>69432</v>
      </c>
      <c r="I101" s="115"/>
    </row>
    <row r="102" spans="1:35" ht="18.75" customHeight="1">
      <c r="A102" s="3296" t="s">
        <v>1433</v>
      </c>
      <c r="B102" s="2360" t="s">
        <v>1432</v>
      </c>
      <c r="C102" s="2361">
        <f ca="1">IF(D32="楼面单价",ROUND(C19,0),C19)</f>
        <v>75636</v>
      </c>
      <c r="D102" s="2362">
        <f ca="1">IF(D32="楼面单价",ROUND(D19,0),D19)</f>
        <v>60126</v>
      </c>
      <c r="E102" s="3264"/>
      <c r="F102" s="3265"/>
      <c r="G102" s="1678" t="s">
        <v>1434</v>
      </c>
      <c r="H102" s="2331">
        <f ca="1">I118</f>
        <v>16603</v>
      </c>
      <c r="I102" s="115"/>
    </row>
    <row r="103" spans="1:35" ht="42.75" customHeight="1">
      <c r="A103" s="3296"/>
      <c r="B103" s="2360" t="s">
        <v>1434</v>
      </c>
      <c r="C103" s="2363">
        <f ca="1">C20</f>
        <v>18086</v>
      </c>
      <c r="D103" s="2364">
        <f ca="1">D20</f>
        <v>14377</v>
      </c>
      <c r="E103" s="3257" t="s">
        <v>1435</v>
      </c>
      <c r="F103" s="3258"/>
      <c r="G103" s="1679" t="s">
        <v>1436</v>
      </c>
      <c r="H103" s="2371">
        <f>IF(D36="正常操作",H104+H105+H106,H105+H106)</f>
        <v>0</v>
      </c>
      <c r="I103" s="115"/>
    </row>
    <row r="104" spans="1:35" ht="18.75" customHeight="1">
      <c r="A104" s="3296" t="s">
        <v>1437</v>
      </c>
      <c r="B104" s="2365" t="s">
        <v>1432</v>
      </c>
      <c r="C104" s="2366">
        <f ca="1">H118</f>
        <v>69432</v>
      </c>
      <c r="D104" s="2367"/>
      <c r="E104" s="1547" t="s">
        <v>1438</v>
      </c>
      <c r="F104" s="1540"/>
      <c r="G104" s="1679" t="s">
        <v>1436</v>
      </c>
      <c r="H104" s="2372">
        <f>IF(D36="同一抵押权人同一抵押物续贷",C36&amp;"（续贷，未扣减，详见特别提示）",C36)</f>
        <v>0</v>
      </c>
      <c r="I104" s="115"/>
    </row>
    <row r="105" spans="1:35" ht="18.75" customHeight="1" thickBot="1">
      <c r="A105" s="3306"/>
      <c r="B105" s="2368" t="s">
        <v>1434</v>
      </c>
      <c r="C105" s="2369">
        <f ca="1">I118</f>
        <v>16603</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297" t="str">
        <f>IF(项目基本情况!E8="已注销","——","3.房地产抵押价值")</f>
        <v>3.房地产抵押价值</v>
      </c>
      <c r="F107" s="3265"/>
      <c r="G107" s="1678" t="s">
        <v>1432</v>
      </c>
      <c r="H107" s="2371">
        <f ca="1">IF(E107="——","——",H101-H103)</f>
        <v>69432</v>
      </c>
      <c r="I107" s="115"/>
    </row>
    <row r="108" spans="1:35" ht="18.75" customHeight="1">
      <c r="A108" s="115"/>
      <c r="B108" s="115"/>
      <c r="C108" s="115"/>
      <c r="D108" s="115"/>
      <c r="E108" s="3297"/>
      <c r="F108" s="3265"/>
      <c r="G108" s="1678" t="s">
        <v>1434</v>
      </c>
      <c r="H108" s="2331">
        <f ca="1">IF(H107=H101,H102,ROUND(H107*10000/'数据-汇总表'!E3,0))</f>
        <v>16603</v>
      </c>
      <c r="I108" s="115"/>
    </row>
    <row r="109" spans="1:35" ht="18.75" customHeight="1">
      <c r="A109" s="115"/>
      <c r="B109" s="115"/>
      <c r="C109" s="115"/>
      <c r="D109" s="115"/>
      <c r="E109" s="3297" t="str">
        <f>IF(项目基本情况!E8="已注销及未注销","4.抵押担保权已注销时的房地产抵押价值",IF(项目基本情况!E8="已注销","3.抵押担保权已注销时的房地产抵押价值","——"))</f>
        <v>——</v>
      </c>
      <c r="F109" s="3265"/>
      <c r="G109" s="1678" t="s">
        <v>1432</v>
      </c>
      <c r="H109" s="2374" t="str">
        <f>IF(E109="——","——",H101-H105-H106)</f>
        <v>——</v>
      </c>
      <c r="I109" s="115"/>
    </row>
    <row r="110" spans="1:35" ht="18.75" customHeight="1">
      <c r="A110" s="115"/>
      <c r="B110" s="115"/>
      <c r="C110" s="115"/>
      <c r="D110" s="115"/>
      <c r="E110" s="3297"/>
      <c r="F110" s="3265"/>
      <c r="G110" s="1678" t="s">
        <v>1434</v>
      </c>
      <c r="H110" s="2331" t="str">
        <f>IF(H109="——","——",ROUND(H109*10000/'数据-汇总表'!E3,0))</f>
        <v>——</v>
      </c>
      <c r="I110" s="115"/>
    </row>
    <row r="111" spans="1:35" ht="18.75" customHeight="1">
      <c r="A111" s="115"/>
      <c r="B111" s="115"/>
      <c r="C111" s="115"/>
      <c r="D111" s="115"/>
      <c r="E111" s="3298" t="str">
        <f>IF(项目基本情况!E9="抵押净值",IF(OR(项目基本情况!E8="已注销",项目基本情况!E8="房地产抵押价值"),"4.抵押净值","5.抵押净值"),"——")</f>
        <v>——</v>
      </c>
      <c r="F111" s="3284"/>
      <c r="G111" s="1678" t="s">
        <v>1432</v>
      </c>
      <c r="H111" s="2371" t="str">
        <f>IF(E111="——","——",N59)</f>
        <v>——</v>
      </c>
      <c r="I111" s="115"/>
    </row>
    <row r="112" spans="1:35" ht="18.75" customHeight="1" thickBot="1">
      <c r="A112" s="115"/>
      <c r="B112" s="115"/>
      <c r="C112" s="115"/>
      <c r="D112" s="115"/>
      <c r="E112" s="3299"/>
      <c r="F112" s="3300"/>
      <c r="G112" s="1681" t="s">
        <v>1434</v>
      </c>
      <c r="H112" s="2375" t="str">
        <f>IF(E111="——","——",N61)</f>
        <v>——</v>
      </c>
      <c r="I112" s="115"/>
    </row>
    <row r="113" spans="1:27" ht="18.75" customHeight="1">
      <c r="A113" s="115"/>
      <c r="B113" s="115"/>
      <c r="C113" s="115"/>
      <c r="D113" s="115"/>
      <c r="E113" s="3307" t="s">
        <v>1440</v>
      </c>
      <c r="F113" s="3307"/>
      <c r="G113" s="3307"/>
      <c r="H113" s="3307"/>
      <c r="I113" s="115"/>
    </row>
    <row r="114" spans="1:27" ht="3.75" customHeight="1">
      <c r="A114" s="638"/>
      <c r="B114" s="638"/>
      <c r="C114" s="638"/>
      <c r="D114" s="638"/>
      <c r="E114" s="1662"/>
      <c r="F114" s="1662"/>
      <c r="G114" s="1662"/>
      <c r="H114" s="1662"/>
      <c r="I114" s="638"/>
    </row>
    <row r="115" spans="1:27" ht="18.75" customHeight="1">
      <c r="A115" s="3315" t="s">
        <v>1442</v>
      </c>
      <c r="B115" s="3316"/>
      <c r="C115" s="3316"/>
      <c r="D115" s="3316"/>
      <c r="E115" s="3316"/>
      <c r="F115" s="3316"/>
      <c r="G115" s="3316"/>
      <c r="H115" s="3316"/>
      <c r="I115" s="3317"/>
    </row>
    <row r="116" spans="1:27" ht="27" customHeight="1">
      <c r="A116" s="3272" t="s">
        <v>1443</v>
      </c>
      <c r="B116" s="3276" t="s">
        <v>1444</v>
      </c>
      <c r="C116" s="3276" t="s">
        <v>1445</v>
      </c>
      <c r="D116" s="3282" t="s">
        <v>1446</v>
      </c>
      <c r="E116" s="3283"/>
      <c r="F116" s="3314" t="s">
        <v>1447</v>
      </c>
      <c r="G116" s="3314"/>
      <c r="H116" s="3272" t="s">
        <v>1448</v>
      </c>
      <c r="I116" s="3272"/>
    </row>
    <row r="117" spans="1:27" ht="18.75" customHeight="1">
      <c r="A117" s="3272"/>
      <c r="B117" s="3277"/>
      <c r="C117" s="3277"/>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41819.959999999992</v>
      </c>
      <c r="C118" s="2141">
        <f>M19</f>
        <v>0</v>
      </c>
      <c r="D118" s="2141">
        <f ca="1">ROUND(IF(D32="总价",C34,E118*B118/10000),0)</f>
        <v>11803</v>
      </c>
      <c r="E118" s="2141">
        <f ca="1">ROUND(IF(C33="自定义",IF(D32="楼面单价",C34,D118*10000/B118),I118-G118),0)</f>
        <v>2823</v>
      </c>
      <c r="F118" s="2141">
        <f ca="1">ROUND(IF(D32="总价",C35,G118*B118/10000),0)</f>
        <v>57629</v>
      </c>
      <c r="G118" s="2141">
        <f ca="1">ROUND(IF(D32="楼面单价",C35,F118*10000/B118),0)</f>
        <v>13780</v>
      </c>
      <c r="H118" s="2141">
        <f ca="1">ROUND(IF(D32="总价",C32,I118*B118/10000),0)</f>
        <v>69432</v>
      </c>
      <c r="I118" s="2141">
        <f ca="1">ROUND(IF(D32="楼面单价",C32,H118*10000/B118),0)</f>
        <v>16603</v>
      </c>
    </row>
    <row r="119" spans="1:27" ht="18.75" customHeight="1">
      <c r="A119" s="3272" t="s">
        <v>1452</v>
      </c>
      <c r="B119" s="3272"/>
      <c r="C119" s="3272"/>
      <c r="D119" s="3278" t="str">
        <f ca="1">NUMBERSTRING(INT(D118*10000),2)&amp;"元整"</f>
        <v>壹亿壹仟捌佰零叁万元整</v>
      </c>
      <c r="E119" s="3279"/>
      <c r="F119" s="3278" t="str">
        <f ca="1">NUMBERSTRING(INT(F118*10000),2)&amp;"元整"</f>
        <v>伍亿柒仟陆佰贰拾玖万元整</v>
      </c>
      <c r="G119" s="3279"/>
      <c r="H119" s="3278" t="str">
        <f ca="1">NUMBERSTRING(INT(H118*10000),2)&amp;"元整"</f>
        <v>陆亿玖仟肆佰叁拾贰万元整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278" t="s">
        <v>1452</v>
      </c>
      <c r="B121" s="3280"/>
      <c r="C121" s="3279"/>
      <c r="D121" s="3278" t="str">
        <f>IF(D120=0,"零元整",NUMBERSTRING(INT(D120*10000),2)&amp;"元整")</f>
        <v>零元整</v>
      </c>
      <c r="E121" s="3280"/>
      <c r="F121" s="3280"/>
      <c r="G121" s="3280"/>
      <c r="H121" s="3280"/>
      <c r="I121" s="3279"/>
      <c r="AA121" s="676"/>
    </row>
    <row r="122" spans="1:27" ht="18.75" customHeight="1">
      <c r="A122" s="3284" t="str">
        <f>IF(项目基本情况!B9="房地产市场价值","",MID(E107,3,LEN(E107)-2))</f>
        <v>房地产抵押价值</v>
      </c>
      <c r="B122" s="3284"/>
      <c r="C122" s="3284"/>
      <c r="D122" s="3273">
        <f ca="1">H107</f>
        <v>69432</v>
      </c>
      <c r="E122" s="3274"/>
      <c r="F122" s="3274"/>
      <c r="G122" s="3274"/>
      <c r="H122" s="3274"/>
      <c r="I122" s="3275"/>
      <c r="AA122" s="676"/>
    </row>
    <row r="123" spans="1:27" ht="18.75" customHeight="1">
      <c r="A123" s="3272" t="s">
        <v>1452</v>
      </c>
      <c r="B123" s="3272"/>
      <c r="C123" s="3272"/>
      <c r="D123" s="3278" t="str">
        <f ca="1">NUMBERSTRING(INT(D122*10000),2)&amp;"元整"</f>
        <v>陆亿玖仟肆佰叁拾贰万元整</v>
      </c>
      <c r="E123" s="3280"/>
      <c r="F123" s="3280"/>
      <c r="G123" s="3280"/>
      <c r="H123" s="3280"/>
      <c r="I123" s="3279"/>
      <c r="AA123" s="676"/>
    </row>
    <row r="124" spans="1:27" ht="18.75" customHeight="1">
      <c r="A124" s="3284" t="str">
        <f>IF(项目基本情况!B9="房地产市场价值","",MID(E109,3,LEN(E109)-2))</f>
        <v/>
      </c>
      <c r="B124" s="3284"/>
      <c r="C124" s="3284"/>
      <c r="D124" s="3273" t="str">
        <f>H109</f>
        <v>——</v>
      </c>
      <c r="E124" s="3274"/>
      <c r="F124" s="3274"/>
      <c r="G124" s="3274"/>
      <c r="H124" s="3274"/>
      <c r="I124" s="3275"/>
      <c r="AA124" s="676"/>
    </row>
    <row r="125" spans="1:27" ht="18.75" customHeight="1">
      <c r="A125" s="3272" t="s">
        <v>1452</v>
      </c>
      <c r="B125" s="3272"/>
      <c r="C125" s="3272"/>
      <c r="D125" s="3278" t="e">
        <f>NUMBERSTRING(INT(D124*10000),2)&amp;"元整"</f>
        <v>#VALUE!</v>
      </c>
      <c r="E125" s="3280"/>
      <c r="F125" s="3280"/>
      <c r="G125" s="3280"/>
      <c r="H125" s="3280"/>
      <c r="I125" s="3279"/>
      <c r="AA125" s="676"/>
    </row>
    <row r="126" spans="1:27" ht="18.75" customHeight="1">
      <c r="A126" s="3284" t="str">
        <f>IF(项目基本情况!B9="房地产市场价值","",MID(E111,3,LEN(E111)-2))</f>
        <v/>
      </c>
      <c r="B126" s="3284"/>
      <c r="C126" s="3284"/>
      <c r="D126" s="3273" t="str">
        <f>H111</f>
        <v>——</v>
      </c>
      <c r="E126" s="3274"/>
      <c r="F126" s="3274"/>
      <c r="G126" s="3274"/>
      <c r="H126" s="3274"/>
      <c r="I126" s="3275"/>
      <c r="AA126" s="676"/>
    </row>
    <row r="127" spans="1:27" ht="18.75" customHeight="1">
      <c r="A127" s="3272" t="s">
        <v>1452</v>
      </c>
      <c r="B127" s="3272"/>
      <c r="C127" s="3272"/>
      <c r="D127" s="3278" t="e">
        <f>NUMBERSTRING(INT(D126*10000),2)&amp;"元整"</f>
        <v>#VALUE!</v>
      </c>
      <c r="E127" s="3280"/>
      <c r="F127" s="3280"/>
      <c r="G127" s="3280"/>
      <c r="H127" s="3280"/>
      <c r="I127" s="3279"/>
      <c r="AA127" s="676"/>
    </row>
    <row r="128" spans="1:27" ht="21.75" customHeight="1">
      <c r="A128" s="3281" t="s">
        <v>1453</v>
      </c>
      <c r="B128" s="3281"/>
      <c r="C128" s="3281"/>
      <c r="D128" s="3281"/>
      <c r="E128" s="3281"/>
      <c r="F128" s="3281"/>
      <c r="G128" s="3281"/>
      <c r="H128" s="3281"/>
      <c r="I128" s="3281"/>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1"/>
  <sheetViews>
    <sheetView view="pageBreakPreview" topLeftCell="A13" zoomScale="70" zoomScaleNormal="60" zoomScaleSheetLayoutView="70" workbookViewId="0">
      <selection activeCell="G117" sqref="G117"/>
    </sheetView>
  </sheetViews>
  <sheetFormatPr defaultColWidth="9" defaultRowHeight="14"/>
  <cols>
    <col min="1" max="1" width="14.36328125" style="341" customWidth="1"/>
    <col min="2" max="2" width="15.7265625" style="341" customWidth="1"/>
    <col min="3" max="3" width="22.26953125" style="341" customWidth="1"/>
    <col min="4" max="4" width="14.0898437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341"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8832</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2112</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ht="45.75" customHeight="1">
      <c r="A5" s="342"/>
      <c r="B5" s="343"/>
      <c r="C5" s="3362" t="s">
        <v>1673</v>
      </c>
      <c r="D5" s="3363"/>
      <c r="E5" s="3360" t="str">
        <f>土地案例!A3</f>
        <v>高新区金阳园区内,东邻长岭南路,南邻毕节路,西邻交通质检站,北邻神州科技</v>
      </c>
      <c r="F5" s="3361"/>
      <c r="G5" s="3362" t="str">
        <f>土地案例!A10</f>
        <v>贵阳市观山湖区长岭南路以东、观山东路以南</v>
      </c>
      <c r="H5" s="3363"/>
      <c r="I5" s="3362" t="str">
        <f>土地案例!A11</f>
        <v>贵阳市观山湖区金阳街道办事处辖区,皂角丫碧海南路东侧</v>
      </c>
      <c r="J5" s="3363"/>
      <c r="K5" s="531"/>
      <c r="L5" s="2476"/>
      <c r="M5" s="2477"/>
      <c r="N5" s="2477"/>
      <c r="O5" s="2477"/>
      <c r="P5" s="3375"/>
      <c r="Q5" s="3376"/>
      <c r="R5" s="3358"/>
      <c r="S5" s="3359"/>
      <c r="T5" s="3358"/>
      <c r="U5" s="3359"/>
      <c r="V5" s="3381"/>
      <c r="W5" s="3381"/>
      <c r="X5" s="1257"/>
      <c r="Y5" s="3358"/>
      <c r="Z5" s="3359"/>
      <c r="AA5" s="3352"/>
      <c r="AB5" s="3352"/>
      <c r="AC5" s="3352"/>
    </row>
    <row r="6" spans="1:29" ht="1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54" t="s">
        <v>1680</v>
      </c>
      <c r="Q7" s="3382"/>
      <c r="R7" s="656" t="s">
        <v>14</v>
      </c>
      <c r="S7" s="657">
        <f t="shared" ref="S7:S15" si="0">F7</f>
        <v>100</v>
      </c>
      <c r="T7" s="656" t="s">
        <v>14</v>
      </c>
      <c r="U7" s="657">
        <f t="shared" ref="U7:U15" si="1">H7</f>
        <v>100</v>
      </c>
      <c r="V7" s="656" t="s">
        <v>14</v>
      </c>
      <c r="W7" s="657">
        <f t="shared" ref="W7:W15" si="2">J7</f>
        <v>100</v>
      </c>
      <c r="X7" s="658"/>
      <c r="Y7" s="3354" t="s">
        <v>1680</v>
      </c>
      <c r="Z7" s="3355"/>
      <c r="AA7" s="50">
        <f>D7/F7</f>
        <v>1</v>
      </c>
      <c r="AB7" s="50">
        <f>D7/H7</f>
        <v>1</v>
      </c>
      <c r="AC7" s="50">
        <f>D7/J7</f>
        <v>1</v>
      </c>
    </row>
    <row r="8" spans="1:29" s="102" customFormat="1" ht="14.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8">
      <c r="A10" s="357"/>
      <c r="B10" s="358" t="s">
        <v>1688</v>
      </c>
      <c r="C10" s="365"/>
      <c r="D10" s="113">
        <v>100</v>
      </c>
      <c r="E10" s="397"/>
      <c r="F10" s="113">
        <f>ROUND(100/'数据-取费表'!G16,0)</f>
        <v>121</v>
      </c>
      <c r="G10" s="396"/>
      <c r="H10" s="113">
        <f>ROUND(100/'数据-取费表'!G16,0)</f>
        <v>121</v>
      </c>
      <c r="I10" s="396"/>
      <c r="J10" s="113">
        <f>ROUND(100/'数据-取费表'!G16,0)</f>
        <v>121</v>
      </c>
      <c r="K10" s="586"/>
      <c r="L10" s="2479"/>
      <c r="M10" s="2480"/>
      <c r="N10" s="2480"/>
      <c r="O10" s="2531"/>
      <c r="P10" s="3368"/>
      <c r="Q10" s="524" t="str">
        <f t="shared" si="6"/>
        <v>土地使用年限（年）</v>
      </c>
      <c r="R10" s="656" t="s">
        <v>14</v>
      </c>
      <c r="S10" s="657">
        <f t="shared" si="0"/>
        <v>121</v>
      </c>
      <c r="T10" s="656" t="s">
        <v>14</v>
      </c>
      <c r="U10" s="657">
        <f t="shared" si="1"/>
        <v>121</v>
      </c>
      <c r="V10" s="656" t="s">
        <v>14</v>
      </c>
      <c r="W10" s="657">
        <f t="shared" si="2"/>
        <v>121</v>
      </c>
      <c r="X10" s="658"/>
      <c r="Y10" s="3327"/>
      <c r="Z10" s="50" t="str">
        <f t="shared" si="7"/>
        <v>土地使用年限（年）</v>
      </c>
      <c r="AA10" s="50">
        <f t="shared" si="3"/>
        <v>0.82644628099173556</v>
      </c>
      <c r="AB10" s="50">
        <f t="shared" si="4"/>
        <v>0.82644628099173556</v>
      </c>
      <c r="AC10" s="50">
        <f t="shared" si="5"/>
        <v>0.82644628099173556</v>
      </c>
    </row>
    <row r="11" spans="1:29" ht="15.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68"/>
      <c r="Q11" s="524" t="str">
        <f t="shared" si="6"/>
        <v>容积率</v>
      </c>
      <c r="R11" s="656" t="s">
        <v>14</v>
      </c>
      <c r="S11" s="657">
        <f t="shared" si="0"/>
        <v>100</v>
      </c>
      <c r="T11" s="656" t="s">
        <v>14</v>
      </c>
      <c r="U11" s="657">
        <f t="shared" si="1"/>
        <v>88</v>
      </c>
      <c r="V11" s="656" t="s">
        <v>14</v>
      </c>
      <c r="W11" s="657">
        <f t="shared" si="2"/>
        <v>100</v>
      </c>
      <c r="X11" s="658"/>
      <c r="Y11" s="3327"/>
      <c r="Z11" s="50" t="str">
        <f t="shared" si="7"/>
        <v>容积率</v>
      </c>
      <c r="AA11" s="50">
        <f t="shared" si="3"/>
        <v>1</v>
      </c>
      <c r="AB11" s="50">
        <f t="shared" si="4"/>
        <v>1.1363636363636365</v>
      </c>
      <c r="AC11" s="50">
        <f t="shared" si="5"/>
        <v>1</v>
      </c>
    </row>
    <row r="12" spans="1:29" s="102" customFormat="1" ht="15.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68"/>
      <c r="Q12" s="524" t="str">
        <f t="shared" si="6"/>
        <v>配建</v>
      </c>
      <c r="R12" s="656" t="s">
        <v>14</v>
      </c>
      <c r="S12" s="657">
        <f t="shared" si="0"/>
        <v>100</v>
      </c>
      <c r="T12" s="656" t="s">
        <v>14</v>
      </c>
      <c r="U12" s="657">
        <f t="shared" si="1"/>
        <v>100</v>
      </c>
      <c r="V12" s="656" t="s">
        <v>14</v>
      </c>
      <c r="W12" s="657">
        <f t="shared" si="2"/>
        <v>100</v>
      </c>
      <c r="X12" s="658"/>
      <c r="Y12" s="3327"/>
      <c r="Z12" s="50" t="str">
        <f t="shared" si="7"/>
        <v>配建</v>
      </c>
      <c r="AA12" s="50">
        <f>D12/F12</f>
        <v>1</v>
      </c>
      <c r="AB12" s="50">
        <f>D12/H12</f>
        <v>1</v>
      </c>
      <c r="AC12" s="50">
        <f>D12/J12</f>
        <v>1</v>
      </c>
    </row>
    <row r="13" spans="1:29" ht="15.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D13/F13</f>
        <v>1</v>
      </c>
      <c r="AB13" s="50">
        <f>D13/H13</f>
        <v>1</v>
      </c>
      <c r="AC13" s="50">
        <f>D13/J13</f>
        <v>1</v>
      </c>
    </row>
    <row r="14" spans="1:29" ht="16"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83" t="s">
        <v>1691</v>
      </c>
      <c r="Q15" s="1255" t="str">
        <f t="shared" si="6"/>
        <v>居住社区成熟度</v>
      </c>
      <c r="R15" s="659" t="s">
        <v>14</v>
      </c>
      <c r="S15" s="660">
        <f t="shared" si="0"/>
        <v>100</v>
      </c>
      <c r="T15" s="659" t="s">
        <v>14</v>
      </c>
      <c r="U15" s="660">
        <f t="shared" si="1"/>
        <v>100</v>
      </c>
      <c r="V15" s="659" t="s">
        <v>14</v>
      </c>
      <c r="W15" s="660">
        <f t="shared" si="2"/>
        <v>100</v>
      </c>
      <c r="X15" s="1257"/>
      <c r="Y15" s="3383" t="s">
        <v>1691</v>
      </c>
      <c r="Z15" s="1256" t="str">
        <f t="shared" si="7"/>
        <v>居住社区成熟度</v>
      </c>
      <c r="AA15" s="1256">
        <f t="shared" si="3"/>
        <v>1</v>
      </c>
      <c r="AB15" s="1256">
        <f t="shared" si="4"/>
        <v>1</v>
      </c>
      <c r="AC15" s="1256">
        <f t="shared" si="5"/>
        <v>1</v>
      </c>
    </row>
    <row r="16" spans="1:29" ht="15.5">
      <c r="A16" s="361"/>
      <c r="B16" s="379"/>
      <c r="C16" s="380"/>
      <c r="D16" s="381"/>
      <c r="E16" s="1743"/>
      <c r="F16" s="381"/>
      <c r="G16" s="1743"/>
      <c r="H16" s="383"/>
      <c r="I16" s="1742"/>
      <c r="J16" s="381"/>
      <c r="K16" s="586"/>
      <c r="L16" s="2482"/>
      <c r="M16" s="2477"/>
      <c r="N16" s="2477"/>
      <c r="O16" s="2532"/>
      <c r="P16" s="3384"/>
      <c r="Q16" s="1255"/>
      <c r="R16" s="659"/>
      <c r="S16" s="660"/>
      <c r="T16" s="659"/>
      <c r="U16" s="660"/>
      <c r="V16" s="659"/>
      <c r="W16" s="660"/>
      <c r="X16" s="1257"/>
      <c r="Y16" s="3384"/>
      <c r="Z16" s="1256"/>
      <c r="AA16" s="1256">
        <v>1</v>
      </c>
      <c r="AB16" s="1256">
        <v>1</v>
      </c>
      <c r="AC16" s="1256">
        <v>1</v>
      </c>
    </row>
    <row r="17" spans="1:29" ht="70">
      <c r="A17" s="361"/>
      <c r="B17" s="384" t="s">
        <v>1777</v>
      </c>
      <c r="C17" s="1797" t="str">
        <f>估价对象房地状况!C16</f>
        <v>估价对象位于会展金融商圈，周边办公楼项目较多，有金融中心、招商银行大厦等，入驻率高，办公集聚程度好</v>
      </c>
      <c r="D17" s="383">
        <v>100</v>
      </c>
      <c r="E17" s="3146" t="s">
        <v>3585</v>
      </c>
      <c r="F17" s="383">
        <f>SUMIF(89:89,E18,90:90)-SUMIF(89:89,C18,90:90)+100</f>
        <v>97</v>
      </c>
      <c r="G17" s="385" t="s">
        <v>3583</v>
      </c>
      <c r="H17" s="388">
        <f>SUMIF(89:89,G18,90:90)-SUMIF(89:89,C18,90:90)+100</f>
        <v>97</v>
      </c>
      <c r="I17" s="3146" t="s">
        <v>3582</v>
      </c>
      <c r="J17" s="388">
        <f>SUMIF(89:89,I18,90:90)-SUMIF(89:89,C18,90:90)+100</f>
        <v>97</v>
      </c>
      <c r="K17" s="587">
        <v>3</v>
      </c>
      <c r="L17" s="2482"/>
      <c r="M17" s="2477"/>
      <c r="N17" s="2477"/>
      <c r="O17" s="2532"/>
      <c r="P17" s="3384"/>
      <c r="Q17" s="1255" t="str">
        <f>B17</f>
        <v>商业繁华度</v>
      </c>
      <c r="R17" s="659" t="s">
        <v>14</v>
      </c>
      <c r="S17" s="660">
        <f>F17</f>
        <v>97</v>
      </c>
      <c r="T17" s="659" t="s">
        <v>14</v>
      </c>
      <c r="U17" s="660">
        <f>H17</f>
        <v>97</v>
      </c>
      <c r="V17" s="659" t="s">
        <v>14</v>
      </c>
      <c r="W17" s="660">
        <f>J17</f>
        <v>97</v>
      </c>
      <c r="X17" s="1257"/>
      <c r="Y17" s="3384"/>
      <c r="Z17" s="1256" t="str">
        <f>Q17</f>
        <v>商业繁华度</v>
      </c>
      <c r="AA17" s="1256">
        <f t="shared" si="3"/>
        <v>1.0309278350515463</v>
      </c>
      <c r="AB17" s="1256">
        <f t="shared" si="4"/>
        <v>1.0309278350515463</v>
      </c>
      <c r="AC17" s="1256">
        <f t="shared" si="5"/>
        <v>1.0309278350515463</v>
      </c>
    </row>
    <row r="18" spans="1:29" ht="15.5">
      <c r="A18" s="361"/>
      <c r="B18" s="389"/>
      <c r="C18" s="1746" t="s">
        <v>3581</v>
      </c>
      <c r="D18" s="383"/>
      <c r="E18" s="1748" t="s">
        <v>3584</v>
      </c>
      <c r="F18" s="383"/>
      <c r="G18" s="1748" t="s">
        <v>3584</v>
      </c>
      <c r="H18" s="381"/>
      <c r="I18" s="1747" t="s">
        <v>3584</v>
      </c>
      <c r="J18" s="381"/>
      <c r="K18" s="586"/>
      <c r="L18" s="2482"/>
      <c r="M18" s="2477"/>
      <c r="N18" s="2477"/>
      <c r="O18" s="2532"/>
      <c r="P18" s="3384"/>
      <c r="Q18" s="1255"/>
      <c r="R18" s="659"/>
      <c r="S18" s="660"/>
      <c r="T18" s="659"/>
      <c r="U18" s="660"/>
      <c r="V18" s="659"/>
      <c r="W18" s="660"/>
      <c r="X18" s="1257"/>
      <c r="Y18" s="3384"/>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84"/>
      <c r="Q19" s="1255" t="str">
        <f>B19</f>
        <v>办公集聚程度</v>
      </c>
      <c r="R19" s="659" t="s">
        <v>14</v>
      </c>
      <c r="S19" s="660">
        <f>F19</f>
        <v>100</v>
      </c>
      <c r="T19" s="659" t="s">
        <v>14</v>
      </c>
      <c r="U19" s="660">
        <f>H19</f>
        <v>100</v>
      </c>
      <c r="V19" s="659" t="s">
        <v>14</v>
      </c>
      <c r="W19" s="660">
        <f>J19</f>
        <v>100</v>
      </c>
      <c r="X19" s="1257"/>
      <c r="Y19" s="3384"/>
      <c r="Z19" s="1256" t="str">
        <f>Q19</f>
        <v>办公集聚程度</v>
      </c>
      <c r="AA19" s="1256">
        <f t="shared" si="3"/>
        <v>1</v>
      </c>
      <c r="AB19" s="1256">
        <f t="shared" si="4"/>
        <v>1</v>
      </c>
      <c r="AC19" s="1256">
        <f t="shared" si="5"/>
        <v>1</v>
      </c>
    </row>
    <row r="20" spans="1:29" ht="15.5">
      <c r="A20" s="361"/>
      <c r="B20" s="389"/>
      <c r="C20" s="380"/>
      <c r="D20" s="381"/>
      <c r="E20" s="1743"/>
      <c r="F20" s="381"/>
      <c r="G20" s="1743"/>
      <c r="H20" s="381"/>
      <c r="I20" s="1742"/>
      <c r="J20" s="381"/>
      <c r="K20" s="586"/>
      <c r="L20" s="2482"/>
      <c r="M20" s="2477"/>
      <c r="N20" s="2477"/>
      <c r="O20" s="2532"/>
      <c r="P20" s="3384"/>
      <c r="Q20" s="1255"/>
      <c r="R20" s="659"/>
      <c r="S20" s="660"/>
      <c r="T20" s="659"/>
      <c r="U20" s="660"/>
      <c r="V20" s="659"/>
      <c r="W20" s="660"/>
      <c r="X20" s="1257"/>
      <c r="Y20" s="3384"/>
      <c r="Z20" s="1256"/>
      <c r="AA20" s="1256">
        <v>1</v>
      </c>
      <c r="AB20" s="1256">
        <v>1</v>
      </c>
      <c r="AC20" s="1256">
        <v>1</v>
      </c>
    </row>
    <row r="21" spans="1:29" ht="98">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84"/>
      <c r="Q21" s="1255" t="str">
        <f>B21</f>
        <v>交通便捷度</v>
      </c>
      <c r="R21" s="659" t="s">
        <v>14</v>
      </c>
      <c r="S21" s="660">
        <f>F21</f>
        <v>100</v>
      </c>
      <c r="T21" s="659" t="s">
        <v>14</v>
      </c>
      <c r="U21" s="660">
        <f>H21</f>
        <v>100</v>
      </c>
      <c r="V21" s="659" t="s">
        <v>14</v>
      </c>
      <c r="W21" s="660">
        <f>J21</f>
        <v>100</v>
      </c>
      <c r="X21" s="1257"/>
      <c r="Y21" s="3384"/>
      <c r="Z21" s="1256" t="str">
        <f>Q21</f>
        <v>交通便捷度</v>
      </c>
      <c r="AA21" s="1256">
        <f t="shared" si="3"/>
        <v>1</v>
      </c>
      <c r="AB21" s="1256">
        <f t="shared" si="4"/>
        <v>1</v>
      </c>
      <c r="AC21" s="1256">
        <f t="shared" si="5"/>
        <v>1</v>
      </c>
    </row>
    <row r="22" spans="1:29" ht="15.5">
      <c r="A22" s="361"/>
      <c r="B22" s="580"/>
      <c r="C22" s="380" t="s">
        <v>3584</v>
      </c>
      <c r="D22" s="383"/>
      <c r="E22" s="380" t="s">
        <v>3584</v>
      </c>
      <c r="F22" s="381"/>
      <c r="G22" s="380" t="s">
        <v>3584</v>
      </c>
      <c r="H22" s="381"/>
      <c r="I22" s="380" t="s">
        <v>3584</v>
      </c>
      <c r="J22" s="381"/>
      <c r="K22" s="586"/>
      <c r="L22" s="2482"/>
      <c r="M22" s="2477"/>
      <c r="N22" s="2477"/>
      <c r="O22" s="2532"/>
      <c r="P22" s="3384"/>
      <c r="Q22" s="1255"/>
      <c r="R22" s="659"/>
      <c r="S22" s="660"/>
      <c r="T22" s="659"/>
      <c r="U22" s="660"/>
      <c r="V22" s="659"/>
      <c r="W22" s="660"/>
      <c r="X22" s="1257"/>
      <c r="Y22" s="3384"/>
      <c r="Z22" s="1256"/>
      <c r="AA22" s="1256">
        <v>1</v>
      </c>
      <c r="AB22" s="1256">
        <v>1</v>
      </c>
      <c r="AC22" s="1256">
        <v>1</v>
      </c>
    </row>
    <row r="23" spans="1:29" ht="28">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84"/>
      <c r="Q23" s="1255" t="str">
        <f t="shared" ref="Q23:Q37" si="8">B23</f>
        <v>区域土地利用方向</v>
      </c>
      <c r="R23" s="659" t="s">
        <v>14</v>
      </c>
      <c r="S23" s="660">
        <f>F23</f>
        <v>100</v>
      </c>
      <c r="T23" s="659" t="s">
        <v>14</v>
      </c>
      <c r="U23" s="660">
        <f>H23</f>
        <v>100</v>
      </c>
      <c r="V23" s="659" t="s">
        <v>14</v>
      </c>
      <c r="W23" s="660">
        <f>J23</f>
        <v>100</v>
      </c>
      <c r="X23" s="1257"/>
      <c r="Y23" s="3384"/>
      <c r="Z23" s="1256" t="str">
        <f>Q23</f>
        <v>区域土地利用方向</v>
      </c>
      <c r="AA23" s="1256">
        <f t="shared" si="3"/>
        <v>1</v>
      </c>
      <c r="AB23" s="1256">
        <f t="shared" si="4"/>
        <v>1</v>
      </c>
      <c r="AC23" s="1256">
        <f t="shared" si="5"/>
        <v>1</v>
      </c>
    </row>
    <row r="24" spans="1:29" ht="15.5">
      <c r="A24" s="342"/>
      <c r="B24" s="389"/>
      <c r="C24" s="536" t="s">
        <v>3584</v>
      </c>
      <c r="D24" s="381"/>
      <c r="E24" s="536" t="s">
        <v>3584</v>
      </c>
      <c r="F24" s="381"/>
      <c r="G24" s="536" t="s">
        <v>3584</v>
      </c>
      <c r="H24" s="381"/>
      <c r="I24" s="536" t="s">
        <v>3584</v>
      </c>
      <c r="J24" s="381"/>
      <c r="K24" s="691"/>
      <c r="L24" s="2482"/>
      <c r="M24" s="2477"/>
      <c r="N24" s="2477"/>
      <c r="O24" s="2532"/>
      <c r="P24" s="3384"/>
      <c r="Q24" s="1255"/>
      <c r="R24" s="659"/>
      <c r="S24" s="660"/>
      <c r="T24" s="659"/>
      <c r="U24" s="660"/>
      <c r="V24" s="659"/>
      <c r="W24" s="660"/>
      <c r="X24" s="1257"/>
      <c r="Y24" s="3384"/>
      <c r="Z24" s="1256"/>
      <c r="AA24" s="1256"/>
      <c r="AB24" s="1256"/>
      <c r="AC24" s="1256"/>
    </row>
    <row r="25" spans="1:29" ht="56">
      <c r="A25" s="342"/>
      <c r="B25" s="580" t="s">
        <v>1872</v>
      </c>
      <c r="C25" s="1797" t="str">
        <f>估价对象房地状况!C20</f>
        <v>区域自然环境：观山湖公园；人文环境：贵阳国际会议中心；综合评价环境状况好</v>
      </c>
      <c r="D25" s="383">
        <v>100</v>
      </c>
      <c r="E25" s="3146" t="s">
        <v>3591</v>
      </c>
      <c r="F25" s="383">
        <f>SUMIF(97:97,E26,98:98)-SUMIF(97:97,C26,98:98)+100</f>
        <v>97</v>
      </c>
      <c r="G25" s="3146" t="s">
        <v>3591</v>
      </c>
      <c r="H25" s="383">
        <f>SUMIF(97:97,G26,98:98)-SUMIF(97:97,C26,98:98)+100</f>
        <v>97</v>
      </c>
      <c r="I25" s="3146" t="s">
        <v>3586</v>
      </c>
      <c r="J25" s="383">
        <f>SUMIF(97:97,I26,98:98)-SUMIF(97:97,C26,98:98)+100</f>
        <v>97</v>
      </c>
      <c r="K25" s="587">
        <v>3</v>
      </c>
      <c r="L25" s="2482"/>
      <c r="M25" s="2477"/>
      <c r="N25" s="2477"/>
      <c r="O25" s="2532"/>
      <c r="P25" s="3384"/>
      <c r="Q25" s="1255" t="str">
        <f t="shared" si="8"/>
        <v>自然及人文环境状况</v>
      </c>
      <c r="R25" s="659" t="s">
        <v>14</v>
      </c>
      <c r="S25" s="660">
        <f>F25</f>
        <v>97</v>
      </c>
      <c r="T25" s="659" t="s">
        <v>14</v>
      </c>
      <c r="U25" s="660">
        <f>H25</f>
        <v>97</v>
      </c>
      <c r="V25" s="659" t="s">
        <v>14</v>
      </c>
      <c r="W25" s="660">
        <f>J25</f>
        <v>97</v>
      </c>
      <c r="X25" s="1257"/>
      <c r="Y25" s="3384"/>
      <c r="Z25" s="1256" t="str">
        <f>Q25</f>
        <v>自然及人文环境状况</v>
      </c>
      <c r="AA25" s="1256">
        <f t="shared" si="3"/>
        <v>1.0309278350515463</v>
      </c>
      <c r="AB25" s="1256">
        <f t="shared" si="4"/>
        <v>1.0309278350515463</v>
      </c>
      <c r="AC25" s="1256">
        <f t="shared" si="5"/>
        <v>1.0309278350515463</v>
      </c>
    </row>
    <row r="26" spans="1:29" ht="15.5">
      <c r="A26" s="342"/>
      <c r="B26" s="389"/>
      <c r="C26" s="380" t="s">
        <v>3581</v>
      </c>
      <c r="D26" s="381"/>
      <c r="E26" s="380" t="s">
        <v>3584</v>
      </c>
      <c r="F26" s="381"/>
      <c r="G26" s="380" t="s">
        <v>3584</v>
      </c>
      <c r="H26" s="381"/>
      <c r="I26" s="380" t="s">
        <v>3584</v>
      </c>
      <c r="J26" s="381"/>
      <c r="K26" s="586"/>
      <c r="L26" s="2482"/>
      <c r="M26" s="2477"/>
      <c r="N26" s="2477"/>
      <c r="O26" s="2532"/>
      <c r="P26" s="3384"/>
      <c r="Q26" s="1255"/>
      <c r="R26" s="659"/>
      <c r="S26" s="660"/>
      <c r="T26" s="659"/>
      <c r="U26" s="660"/>
      <c r="V26" s="659"/>
      <c r="W26" s="660"/>
      <c r="X26" s="1257"/>
      <c r="Y26" s="3384"/>
      <c r="Z26" s="1256"/>
      <c r="AA26" s="1256">
        <v>1</v>
      </c>
      <c r="AB26" s="1256">
        <v>1</v>
      </c>
      <c r="AC26" s="1256">
        <v>1</v>
      </c>
    </row>
    <row r="27" spans="1:29" s="102" customFormat="1" ht="28">
      <c r="A27" s="437"/>
      <c r="B27" s="580" t="s">
        <v>1778</v>
      </c>
      <c r="C27" s="1745" t="str">
        <f>估价对象房地状况!C21</f>
        <v>估价对象所在区域公共配套设施齐备情况较好</v>
      </c>
      <c r="D27" s="383">
        <v>100</v>
      </c>
      <c r="E27" s="385"/>
      <c r="F27" s="383">
        <f>SUMIF(99:99,E28,100:100)-SUMIF(99:99,C28,100:100)+100</f>
        <v>97</v>
      </c>
      <c r="G27" s="385"/>
      <c r="H27" s="383">
        <f>SUMIF(99:99,G28,100:100)-SUMIF(99:99,C28,100:100)+100</f>
        <v>97</v>
      </c>
      <c r="I27" s="387"/>
      <c r="J27" s="383">
        <f>SUMIF(99:99,I28,100:100)-SUMIF(99:99,C28,100:100)+100</f>
        <v>100</v>
      </c>
      <c r="K27" s="587">
        <v>3</v>
      </c>
      <c r="L27" s="2478"/>
      <c r="M27" s="2429"/>
      <c r="N27" s="2429"/>
      <c r="O27" s="2530"/>
      <c r="P27" s="3384"/>
      <c r="Q27" s="524" t="str">
        <f t="shared" si="8"/>
        <v>公共配套设施</v>
      </c>
      <c r="R27" s="656" t="s">
        <v>14</v>
      </c>
      <c r="S27" s="657">
        <f>F27</f>
        <v>97</v>
      </c>
      <c r="T27" s="656" t="s">
        <v>14</v>
      </c>
      <c r="U27" s="657">
        <f>H27</f>
        <v>97</v>
      </c>
      <c r="V27" s="656" t="s">
        <v>14</v>
      </c>
      <c r="W27" s="657">
        <f>J27</f>
        <v>100</v>
      </c>
      <c r="X27" s="658"/>
      <c r="Y27" s="3384"/>
      <c r="Z27" s="50" t="str">
        <f>Q27</f>
        <v>公共配套设施</v>
      </c>
      <c r="AA27" s="1256">
        <f>D27/F27</f>
        <v>1.0309278350515463</v>
      </c>
      <c r="AB27" s="1256">
        <f>D27/H27</f>
        <v>1.0309278350515463</v>
      </c>
      <c r="AC27" s="1256">
        <f>D27/J27</f>
        <v>1</v>
      </c>
    </row>
    <row r="28" spans="1:29" s="102" customFormat="1" ht="15.5">
      <c r="A28" s="437"/>
      <c r="B28" s="389"/>
      <c r="C28" s="1817" t="s">
        <v>3584</v>
      </c>
      <c r="D28" s="381"/>
      <c r="E28" s="1817" t="s">
        <v>3592</v>
      </c>
      <c r="F28" s="381"/>
      <c r="G28" s="1817" t="s">
        <v>3592</v>
      </c>
      <c r="H28" s="381"/>
      <c r="I28" s="1817" t="s">
        <v>3584</v>
      </c>
      <c r="J28" s="381"/>
      <c r="K28" s="586"/>
      <c r="L28" s="2478"/>
      <c r="M28" s="2429"/>
      <c r="N28" s="2429"/>
      <c r="O28" s="2530"/>
      <c r="P28" s="3384"/>
      <c r="Q28" s="524"/>
      <c r="R28" s="656"/>
      <c r="S28" s="657"/>
      <c r="T28" s="656"/>
      <c r="U28" s="657"/>
      <c r="V28" s="656"/>
      <c r="W28" s="657"/>
      <c r="X28" s="658"/>
      <c r="Y28" s="3384"/>
      <c r="Z28" s="50"/>
      <c r="AA28" s="1256">
        <v>1</v>
      </c>
      <c r="AB28" s="1256">
        <v>1</v>
      </c>
      <c r="AC28" s="1256">
        <v>1</v>
      </c>
    </row>
    <row r="29" spans="1:29" s="102" customFormat="1" ht="15.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84"/>
      <c r="Q29" s="524" t="str">
        <f t="shared" ref="Q29" si="9">B29</f>
        <v>基础设施水平</v>
      </c>
      <c r="R29" s="656" t="s">
        <v>14</v>
      </c>
      <c r="S29" s="657">
        <f>F29</f>
        <v>100</v>
      </c>
      <c r="T29" s="656" t="s">
        <v>14</v>
      </c>
      <c r="U29" s="657">
        <f>H29</f>
        <v>100</v>
      </c>
      <c r="V29" s="656" t="s">
        <v>14</v>
      </c>
      <c r="W29" s="657">
        <f>J29</f>
        <v>100</v>
      </c>
      <c r="X29" s="658"/>
      <c r="Y29" s="3384"/>
      <c r="Z29" s="50" t="str">
        <f>Q29</f>
        <v>基础设施水平</v>
      </c>
      <c r="AA29" s="1256">
        <f>D29/F29</f>
        <v>1</v>
      </c>
      <c r="AB29" s="1256">
        <f>D29/H29</f>
        <v>1</v>
      </c>
      <c r="AC29" s="1256">
        <f>D29/J29</f>
        <v>1</v>
      </c>
    </row>
    <row r="30" spans="1:29" s="102" customFormat="1" ht="15.5">
      <c r="A30" s="437"/>
      <c r="B30" s="389"/>
      <c r="C30" s="1817" t="s">
        <v>3587</v>
      </c>
      <c r="D30" s="381"/>
      <c r="E30" s="1817" t="s">
        <v>3587</v>
      </c>
      <c r="F30" s="381"/>
      <c r="G30" s="1817" t="s">
        <v>3587</v>
      </c>
      <c r="H30" s="381"/>
      <c r="I30" s="1817" t="s">
        <v>3587</v>
      </c>
      <c r="J30" s="381"/>
      <c r="K30" s="586"/>
      <c r="L30" s="2478"/>
      <c r="M30" s="2429"/>
      <c r="N30" s="2429"/>
      <c r="O30" s="2530"/>
      <c r="P30" s="3384"/>
      <c r="Q30" s="524"/>
      <c r="R30" s="656"/>
      <c r="S30" s="657"/>
      <c r="T30" s="656"/>
      <c r="U30" s="657"/>
      <c r="V30" s="656"/>
      <c r="W30" s="657"/>
      <c r="X30" s="658"/>
      <c r="Y30" s="3384"/>
      <c r="Z30" s="50"/>
      <c r="AA30" s="1256">
        <v>1</v>
      </c>
      <c r="AB30" s="1256">
        <v>1</v>
      </c>
      <c r="AC30" s="1256">
        <v>1</v>
      </c>
    </row>
    <row r="31" spans="1:29" ht="15.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84"/>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84"/>
      <c r="Z31" s="1256" t="str">
        <f t="shared" ref="Z31:Z45" si="13">Q31</f>
        <v>临街状况</v>
      </c>
      <c r="AA31" s="1256">
        <f t="shared" si="3"/>
        <v>1</v>
      </c>
      <c r="AB31" s="1256">
        <f t="shared" si="4"/>
        <v>1</v>
      </c>
      <c r="AC31" s="1256">
        <f t="shared" si="5"/>
        <v>1</v>
      </c>
    </row>
    <row r="32" spans="1:29" ht="28">
      <c r="A32" s="361"/>
      <c r="B32" s="580" t="s">
        <v>1815</v>
      </c>
      <c r="C32" s="3146" t="s">
        <v>3595</v>
      </c>
      <c r="D32" s="383">
        <v>100</v>
      </c>
      <c r="E32" s="3147" t="s">
        <v>3593</v>
      </c>
      <c r="F32" s="383">
        <f>SUMIF(105:105,E33,106:106)-SUMIF(105:105,C33,106:106)+100</f>
        <v>101</v>
      </c>
      <c r="G32" s="3147" t="s">
        <v>3593</v>
      </c>
      <c r="H32" s="383">
        <f>SUMIF(105:105,G33,106:106)-SUMIF(105:105,C33,106:106)+100</f>
        <v>101</v>
      </c>
      <c r="I32" s="3146" t="s">
        <v>3588</v>
      </c>
      <c r="J32" s="383">
        <f>SUMIF(105:105,I33,106:106)-SUMIF(105:105,C33,106:106)+100</f>
        <v>100</v>
      </c>
      <c r="K32" s="587">
        <v>1</v>
      </c>
      <c r="L32" s="2482"/>
      <c r="M32" s="2477"/>
      <c r="N32" s="2477"/>
      <c r="O32" s="2532"/>
      <c r="P32" s="3384"/>
      <c r="Q32" s="1255" t="str">
        <f t="shared" si="8"/>
        <v>毗邻道路的类型与等级</v>
      </c>
      <c r="R32" s="659" t="s">
        <v>14</v>
      </c>
      <c r="S32" s="660">
        <f t="shared" si="10"/>
        <v>101</v>
      </c>
      <c r="T32" s="659" t="s">
        <v>14</v>
      </c>
      <c r="U32" s="660">
        <f t="shared" si="11"/>
        <v>101</v>
      </c>
      <c r="V32" s="659" t="s">
        <v>14</v>
      </c>
      <c r="W32" s="660">
        <f t="shared" si="12"/>
        <v>100</v>
      </c>
      <c r="X32" s="1257"/>
      <c r="Y32" s="3384"/>
      <c r="Z32" s="1256" t="str">
        <f t="shared" si="13"/>
        <v>毗邻道路的类型与等级</v>
      </c>
      <c r="AA32" s="1256">
        <f t="shared" si="3"/>
        <v>0.99009900990099009</v>
      </c>
      <c r="AB32" s="1256">
        <f t="shared" si="4"/>
        <v>0.99009900990099009</v>
      </c>
      <c r="AC32" s="1256">
        <f t="shared" si="5"/>
        <v>1</v>
      </c>
    </row>
    <row r="33" spans="1:29" ht="15.5">
      <c r="A33" s="361"/>
      <c r="B33" s="389"/>
      <c r="C33" s="380" t="s">
        <v>3589</v>
      </c>
      <c r="D33" s="381"/>
      <c r="E33" s="380" t="s">
        <v>3594</v>
      </c>
      <c r="F33" s="381"/>
      <c r="G33" s="380" t="s">
        <v>3594</v>
      </c>
      <c r="H33" s="381"/>
      <c r="I33" s="380" t="s">
        <v>3589</v>
      </c>
      <c r="J33" s="381"/>
      <c r="K33" s="533"/>
      <c r="L33" s="2482"/>
      <c r="M33" s="2477"/>
      <c r="N33" s="2477"/>
      <c r="O33" s="2532"/>
      <c r="P33" s="3384"/>
      <c r="Q33" s="1255"/>
      <c r="R33" s="659"/>
      <c r="S33" s="660"/>
      <c r="T33" s="659"/>
      <c r="U33" s="660"/>
      <c r="V33" s="659"/>
      <c r="W33" s="660"/>
      <c r="X33" s="1257"/>
      <c r="Y33" s="3384"/>
      <c r="Z33" s="1256"/>
      <c r="AA33" s="1256">
        <v>1</v>
      </c>
      <c r="AB33" s="1256">
        <v>1</v>
      </c>
      <c r="AC33" s="1256">
        <v>1</v>
      </c>
    </row>
    <row r="34" spans="1:29" ht="15.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84"/>
      <c r="Q34" s="1255" t="str">
        <f t="shared" si="8"/>
        <v>土地级别</v>
      </c>
      <c r="R34" s="659" t="s">
        <v>14</v>
      </c>
      <c r="S34" s="660">
        <f t="shared" si="10"/>
        <v>100</v>
      </c>
      <c r="T34" s="659" t="s">
        <v>14</v>
      </c>
      <c r="U34" s="660">
        <f t="shared" si="11"/>
        <v>100</v>
      </c>
      <c r="V34" s="659" t="s">
        <v>14</v>
      </c>
      <c r="W34" s="660">
        <f t="shared" si="12"/>
        <v>100</v>
      </c>
      <c r="X34" s="1257"/>
      <c r="Y34" s="3384"/>
      <c r="Z34" s="1256" t="str">
        <f t="shared" si="13"/>
        <v>土地级别</v>
      </c>
      <c r="AA34" s="1256">
        <f t="shared" si="3"/>
        <v>1</v>
      </c>
      <c r="AB34" s="1256">
        <f t="shared" si="4"/>
        <v>1</v>
      </c>
      <c r="AC34" s="1256">
        <f t="shared" si="5"/>
        <v>1</v>
      </c>
    </row>
    <row r="35" spans="1:29" ht="15.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84"/>
      <c r="Q35" s="1255">
        <f t="shared" si="8"/>
        <v>111</v>
      </c>
      <c r="R35" s="659" t="s">
        <v>14</v>
      </c>
      <c r="S35" s="660">
        <f t="shared" si="10"/>
        <v>100</v>
      </c>
      <c r="T35" s="659" t="s">
        <v>14</v>
      </c>
      <c r="U35" s="660">
        <f t="shared" si="11"/>
        <v>100</v>
      </c>
      <c r="V35" s="659" t="s">
        <v>14</v>
      </c>
      <c r="W35" s="660">
        <f t="shared" si="12"/>
        <v>100</v>
      </c>
      <c r="X35" s="1257"/>
      <c r="Y35" s="3384"/>
      <c r="Z35" s="1256">
        <f t="shared" si="13"/>
        <v>111</v>
      </c>
      <c r="AA35" s="1256">
        <f t="shared" si="3"/>
        <v>1</v>
      </c>
      <c r="AB35" s="1256">
        <f t="shared" si="4"/>
        <v>1</v>
      </c>
      <c r="AC35" s="1256">
        <f t="shared" si="5"/>
        <v>1</v>
      </c>
    </row>
    <row r="36" spans="1:29" ht="15.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85" t="s">
        <v>1696</v>
      </c>
      <c r="Q36" s="1255">
        <f t="shared" si="8"/>
        <v>111</v>
      </c>
      <c r="R36" s="659" t="s">
        <v>14</v>
      </c>
      <c r="S36" s="660">
        <f t="shared" si="10"/>
        <v>100</v>
      </c>
      <c r="T36" s="659" t="s">
        <v>14</v>
      </c>
      <c r="U36" s="660">
        <f t="shared" si="11"/>
        <v>100</v>
      </c>
      <c r="V36" s="659" t="s">
        <v>14</v>
      </c>
      <c r="W36" s="660">
        <f t="shared" si="12"/>
        <v>100</v>
      </c>
      <c r="X36" s="1257"/>
      <c r="Y36" s="3386" t="s">
        <v>1696</v>
      </c>
      <c r="Z36" s="1256">
        <f t="shared" si="13"/>
        <v>111</v>
      </c>
      <c r="AA36" s="1256">
        <f t="shared" si="3"/>
        <v>1</v>
      </c>
      <c r="AB36" s="1256">
        <f t="shared" si="4"/>
        <v>1</v>
      </c>
      <c r="AC36" s="1256">
        <f t="shared" si="5"/>
        <v>1</v>
      </c>
    </row>
    <row r="37" spans="1:29" s="402" customFormat="1" ht="16"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86"/>
      <c r="Q37" s="1255">
        <f t="shared" si="8"/>
        <v>111</v>
      </c>
      <c r="R37" s="661" t="s">
        <v>14</v>
      </c>
      <c r="S37" s="662">
        <f t="shared" si="10"/>
        <v>100</v>
      </c>
      <c r="T37" s="661" t="s">
        <v>14</v>
      </c>
      <c r="U37" s="662">
        <f t="shared" si="11"/>
        <v>100</v>
      </c>
      <c r="V37" s="661" t="s">
        <v>14</v>
      </c>
      <c r="W37" s="662">
        <f t="shared" si="12"/>
        <v>100</v>
      </c>
      <c r="X37" s="663"/>
      <c r="Y37" s="3386"/>
      <c r="Z37" s="664">
        <f t="shared" si="13"/>
        <v>111</v>
      </c>
      <c r="AA37" s="1256">
        <f t="shared" si="3"/>
        <v>1</v>
      </c>
      <c r="AB37" s="1256">
        <f t="shared" si="4"/>
        <v>1</v>
      </c>
      <c r="AC37" s="1256">
        <f t="shared" si="5"/>
        <v>1</v>
      </c>
    </row>
    <row r="38" spans="1:29" ht="15.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86"/>
      <c r="Q38" s="1255" t="str">
        <f>B38</f>
        <v>宗地面积</v>
      </c>
      <c r="R38" s="659" t="s">
        <v>14</v>
      </c>
      <c r="S38" s="660">
        <f t="shared" si="10"/>
        <v>98</v>
      </c>
      <c r="T38" s="659" t="s">
        <v>14</v>
      </c>
      <c r="U38" s="660">
        <f t="shared" si="11"/>
        <v>98</v>
      </c>
      <c r="V38" s="659" t="s">
        <v>14</v>
      </c>
      <c r="W38" s="660">
        <f t="shared" si="12"/>
        <v>98</v>
      </c>
      <c r="X38" s="1257"/>
      <c r="Y38" s="3386"/>
      <c r="Z38" s="1256" t="str">
        <f t="shared" si="13"/>
        <v>宗地面积</v>
      </c>
      <c r="AA38" s="1256">
        <f t="shared" si="3"/>
        <v>1.0204081632653061</v>
      </c>
      <c r="AB38" s="1256">
        <f t="shared" si="4"/>
        <v>1.0204081632653061</v>
      </c>
      <c r="AC38" s="1256">
        <f t="shared" si="5"/>
        <v>1.0204081632653061</v>
      </c>
    </row>
    <row r="39" spans="1:29" ht="15.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86"/>
      <c r="Q39" s="1255" t="str">
        <f t="shared" ref="Q39:Q45" si="14">B39</f>
        <v>宗地形状</v>
      </c>
      <c r="R39" s="659" t="s">
        <v>14</v>
      </c>
      <c r="S39" s="660">
        <f t="shared" si="10"/>
        <v>100</v>
      </c>
      <c r="T39" s="659" t="s">
        <v>14</v>
      </c>
      <c r="U39" s="660">
        <f t="shared" si="11"/>
        <v>100</v>
      </c>
      <c r="V39" s="659" t="s">
        <v>14</v>
      </c>
      <c r="W39" s="660">
        <f t="shared" si="12"/>
        <v>100</v>
      </c>
      <c r="X39" s="1257"/>
      <c r="Y39" s="3386"/>
      <c r="Z39" s="1256" t="str">
        <f t="shared" si="13"/>
        <v>宗地形状</v>
      </c>
      <c r="AA39" s="1256">
        <f t="shared" si="3"/>
        <v>1</v>
      </c>
      <c r="AB39" s="1256">
        <f t="shared" si="4"/>
        <v>1</v>
      </c>
      <c r="AC39" s="1256">
        <f t="shared" si="5"/>
        <v>1</v>
      </c>
    </row>
    <row r="40" spans="1:29" ht="15.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86"/>
      <c r="Q40" s="1255" t="str">
        <f t="shared" si="14"/>
        <v>临街宽度及深度</v>
      </c>
      <c r="R40" s="659" t="s">
        <v>14</v>
      </c>
      <c r="S40" s="660">
        <f t="shared" si="10"/>
        <v>100</v>
      </c>
      <c r="T40" s="659" t="s">
        <v>14</v>
      </c>
      <c r="U40" s="660">
        <f t="shared" si="11"/>
        <v>100</v>
      </c>
      <c r="V40" s="659" t="s">
        <v>14</v>
      </c>
      <c r="W40" s="660">
        <f t="shared" si="12"/>
        <v>100</v>
      </c>
      <c r="X40" s="1257"/>
      <c r="Y40" s="3386"/>
      <c r="Z40" s="1256" t="str">
        <f t="shared" si="13"/>
        <v>临街宽度及深度</v>
      </c>
      <c r="AA40" s="1256">
        <f t="shared" si="3"/>
        <v>1</v>
      </c>
      <c r="AB40" s="1256">
        <f t="shared" si="4"/>
        <v>1</v>
      </c>
      <c r="AC40" s="1256">
        <f t="shared" si="5"/>
        <v>1</v>
      </c>
    </row>
    <row r="41" spans="1:29" s="102" customFormat="1" ht="15.5">
      <c r="A41" s="404"/>
      <c r="B41" s="358" t="s">
        <v>1877</v>
      </c>
      <c r="C41" s="1819" t="s">
        <v>3596</v>
      </c>
      <c r="D41" s="113">
        <v>100</v>
      </c>
      <c r="E41" s="1819" t="s">
        <v>3596</v>
      </c>
      <c r="F41" s="368">
        <f>SUMIF(122:122,E41,123:123)-SUMIF(122:122,C41,123:123)+100</f>
        <v>100</v>
      </c>
      <c r="G41" s="1819" t="s">
        <v>3596</v>
      </c>
      <c r="H41" s="368">
        <f>SUMIF(122:122,G41,123:123)-SUMIF(122:122,C41,123:123)+100</f>
        <v>100</v>
      </c>
      <c r="I41" s="1819" t="s">
        <v>3596</v>
      </c>
      <c r="J41" s="368">
        <f>SUMIF(122:122,I41,123:123)-SUMIF(122:122,C41,123:123)+100</f>
        <v>100</v>
      </c>
      <c r="K41" s="532"/>
      <c r="L41" s="2478"/>
      <c r="M41" s="2429"/>
      <c r="N41" s="2429"/>
      <c r="O41" s="2530"/>
      <c r="P41" s="3386"/>
      <c r="Q41" s="1255" t="str">
        <f t="shared" si="14"/>
        <v>宗地开发程度</v>
      </c>
      <c r="R41" s="656" t="s">
        <v>14</v>
      </c>
      <c r="S41" s="657">
        <f t="shared" si="10"/>
        <v>100</v>
      </c>
      <c r="T41" s="656" t="s">
        <v>14</v>
      </c>
      <c r="U41" s="657">
        <f t="shared" si="11"/>
        <v>100</v>
      </c>
      <c r="V41" s="656" t="s">
        <v>14</v>
      </c>
      <c r="W41" s="657">
        <f t="shared" si="12"/>
        <v>100</v>
      </c>
      <c r="X41" s="658"/>
      <c r="Y41" s="3386"/>
      <c r="Z41" s="50" t="str">
        <f t="shared" si="13"/>
        <v>宗地开发程度</v>
      </c>
      <c r="AA41" s="50">
        <f t="shared" si="3"/>
        <v>1</v>
      </c>
      <c r="AB41" s="50">
        <f t="shared" si="4"/>
        <v>1</v>
      </c>
      <c r="AC41" s="50">
        <f t="shared" si="5"/>
        <v>1</v>
      </c>
    </row>
    <row r="42" spans="1:29" ht="15.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86" t="s">
        <v>1696</v>
      </c>
      <c r="Q42" s="1255" t="str">
        <f t="shared" si="14"/>
        <v>工程地质条件</v>
      </c>
      <c r="R42" s="659" t="s">
        <v>14</v>
      </c>
      <c r="S42" s="660">
        <f t="shared" si="10"/>
        <v>100</v>
      </c>
      <c r="T42" s="659" t="s">
        <v>14</v>
      </c>
      <c r="U42" s="660">
        <f t="shared" si="11"/>
        <v>100</v>
      </c>
      <c r="V42" s="659" t="s">
        <v>14</v>
      </c>
      <c r="W42" s="660">
        <f t="shared" si="12"/>
        <v>100</v>
      </c>
      <c r="X42" s="1257"/>
      <c r="Y42" s="3386" t="s">
        <v>1696</v>
      </c>
      <c r="Z42" s="1256" t="str">
        <f t="shared" si="13"/>
        <v>工程地质条件</v>
      </c>
      <c r="AA42" s="1256">
        <f t="shared" si="3"/>
        <v>1</v>
      </c>
      <c r="AB42" s="1256">
        <f t="shared" si="4"/>
        <v>1</v>
      </c>
      <c r="AC42" s="1256">
        <f t="shared" si="5"/>
        <v>1</v>
      </c>
    </row>
    <row r="43" spans="1:29" ht="15.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86"/>
      <c r="Q43" s="1255">
        <f t="shared" si="14"/>
        <v>111</v>
      </c>
      <c r="R43" s="659" t="s">
        <v>14</v>
      </c>
      <c r="S43" s="660">
        <f t="shared" si="10"/>
        <v>100</v>
      </c>
      <c r="T43" s="659" t="s">
        <v>14</v>
      </c>
      <c r="U43" s="660">
        <f t="shared" si="11"/>
        <v>100</v>
      </c>
      <c r="V43" s="659" t="s">
        <v>14</v>
      </c>
      <c r="W43" s="660">
        <f t="shared" si="12"/>
        <v>100</v>
      </c>
      <c r="X43" s="1257"/>
      <c r="Y43" s="3386"/>
      <c r="Z43" s="1256">
        <f t="shared" si="13"/>
        <v>111</v>
      </c>
      <c r="AA43" s="1256">
        <f t="shared" si="3"/>
        <v>1</v>
      </c>
      <c r="AB43" s="1256">
        <f t="shared" si="4"/>
        <v>1</v>
      </c>
      <c r="AC43" s="1256">
        <f t="shared" si="5"/>
        <v>1</v>
      </c>
    </row>
    <row r="44" spans="1:29" ht="15.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86"/>
      <c r="Q44" s="1255">
        <f t="shared" si="14"/>
        <v>111</v>
      </c>
      <c r="R44" s="659" t="s">
        <v>14</v>
      </c>
      <c r="S44" s="660">
        <f t="shared" si="10"/>
        <v>100</v>
      </c>
      <c r="T44" s="659" t="s">
        <v>14</v>
      </c>
      <c r="U44" s="660">
        <f t="shared" si="11"/>
        <v>100</v>
      </c>
      <c r="V44" s="659" t="s">
        <v>14</v>
      </c>
      <c r="W44" s="660">
        <f t="shared" si="12"/>
        <v>100</v>
      </c>
      <c r="X44" s="1257"/>
      <c r="Y44" s="3386"/>
      <c r="Z44" s="1256">
        <f t="shared" si="13"/>
        <v>111</v>
      </c>
      <c r="AA44" s="1256">
        <f t="shared" si="3"/>
        <v>1</v>
      </c>
      <c r="AB44" s="1256">
        <f t="shared" si="4"/>
        <v>1</v>
      </c>
      <c r="AC44" s="1256">
        <f t="shared" si="5"/>
        <v>1</v>
      </c>
    </row>
    <row r="45" spans="1:29" s="402" customFormat="1" ht="16"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86"/>
      <c r="Q45" s="1255">
        <f t="shared" si="14"/>
        <v>111</v>
      </c>
      <c r="R45" s="661" t="s">
        <v>14</v>
      </c>
      <c r="S45" s="662">
        <f t="shared" si="10"/>
        <v>100</v>
      </c>
      <c r="T45" s="661" t="s">
        <v>14</v>
      </c>
      <c r="U45" s="662">
        <f t="shared" si="11"/>
        <v>100</v>
      </c>
      <c r="V45" s="661" t="s">
        <v>14</v>
      </c>
      <c r="W45" s="662">
        <f t="shared" si="12"/>
        <v>100</v>
      </c>
      <c r="X45" s="663"/>
      <c r="Y45" s="3386"/>
      <c r="Z45" s="664">
        <f t="shared" si="13"/>
        <v>111</v>
      </c>
      <c r="AA45" s="1256">
        <f t="shared" si="3"/>
        <v>1</v>
      </c>
      <c r="AB45" s="1256">
        <f t="shared" si="4"/>
        <v>1</v>
      </c>
      <c r="AC45" s="1256">
        <f t="shared" si="5"/>
        <v>1</v>
      </c>
    </row>
    <row r="46" spans="1:29">
      <c r="A46" s="410" t="s">
        <v>1844</v>
      </c>
      <c r="B46" s="1821" t="s">
        <v>1879</v>
      </c>
      <c r="C46" s="596" t="s">
        <v>0</v>
      </c>
      <c r="D46" s="412"/>
      <c r="E46" s="413">
        <f>土地案例!AR3</f>
        <v>2100</v>
      </c>
      <c r="F46" s="414"/>
      <c r="G46" s="415">
        <f>土地案例!AR10</f>
        <v>2036</v>
      </c>
      <c r="H46" s="416"/>
      <c r="I46" s="413">
        <f>土地案例!AR11</f>
        <v>2565</v>
      </c>
      <c r="J46" s="416"/>
      <c r="K46" s="666"/>
      <c r="L46" s="2484"/>
      <c r="M46" s="2477"/>
      <c r="N46" s="2477"/>
      <c r="O46" s="2477"/>
      <c r="P46" s="3368" t="str">
        <f>A46</f>
        <v>成交单价</v>
      </c>
      <c r="Q46" s="3368"/>
      <c r="R46" s="3381">
        <f>E46</f>
        <v>2100</v>
      </c>
      <c r="S46" s="3381"/>
      <c r="T46" s="3381">
        <f>G46</f>
        <v>2036</v>
      </c>
      <c r="U46" s="3381"/>
      <c r="V46" s="3381">
        <f>I46</f>
        <v>2565</v>
      </c>
      <c r="W46" s="3381"/>
      <c r="X46" s="379"/>
      <c r="Y46" s="665"/>
      <c r="Z46" s="379"/>
      <c r="AA46" s="379"/>
      <c r="AB46" s="379"/>
      <c r="AC46" s="379"/>
    </row>
    <row r="47" spans="1:29" ht="14.5" thickBot="1">
      <c r="A47" s="417" t="s">
        <v>1793</v>
      </c>
      <c r="B47" s="597"/>
      <c r="C47" s="420">
        <f>R48</f>
        <v>2112</v>
      </c>
      <c r="D47" s="2132" t="s">
        <v>2138</v>
      </c>
      <c r="E47" s="420">
        <f>R47</f>
        <v>1921</v>
      </c>
      <c r="F47" s="2133"/>
      <c r="G47" s="419">
        <f>T47</f>
        <v>2117</v>
      </c>
      <c r="H47" s="2133"/>
      <c r="I47" s="420">
        <f>V47</f>
        <v>2299</v>
      </c>
      <c r="J47" s="2133"/>
      <c r="K47" s="2135">
        <f>F47+H47+J47</f>
        <v>0</v>
      </c>
      <c r="L47" s="2484"/>
      <c r="M47" s="2477"/>
      <c r="N47" s="2477"/>
      <c r="O47" s="2477"/>
      <c r="P47" s="3368" t="str">
        <f>A47</f>
        <v>比较价值（元/平方米）</v>
      </c>
      <c r="Q47" s="3368"/>
      <c r="R47" s="3387">
        <f>ROUND(PRODUCT(R46,AA7:AA45),0)</f>
        <v>1921</v>
      </c>
      <c r="S47" s="3387"/>
      <c r="T47" s="3387">
        <f>ROUND(PRODUCT(T46,AB7:AB45),0)</f>
        <v>2117</v>
      </c>
      <c r="U47" s="3387"/>
      <c r="V47" s="3387">
        <f>ROUND(PRODUCT(V46,AC7:AC45),0)</f>
        <v>2299</v>
      </c>
      <c r="W47" s="3387"/>
      <c r="X47" s="379"/>
      <c r="Y47" s="379"/>
      <c r="Z47" s="379"/>
      <c r="AA47" s="379"/>
      <c r="AB47" s="379"/>
      <c r="AC47" s="379"/>
    </row>
    <row r="48" spans="1:29" ht="14.5" thickBot="1">
      <c r="A48" s="421" t="s">
        <v>1880</v>
      </c>
      <c r="B48" s="422"/>
      <c r="C48" s="423">
        <f>R48</f>
        <v>2112</v>
      </c>
      <c r="D48" s="423"/>
      <c r="E48" s="423"/>
      <c r="F48" s="423"/>
      <c r="G48" s="423"/>
      <c r="H48" s="423"/>
      <c r="I48" s="423"/>
      <c r="J48" s="423"/>
      <c r="K48" s="667"/>
      <c r="L48" s="2484"/>
      <c r="M48" s="2477"/>
      <c r="N48" s="2477"/>
      <c r="O48" s="2477"/>
      <c r="P48" s="3388" t="str">
        <f>A48</f>
        <v>估价对象XX用房的比较价值（楼面单价，元/平方米）</v>
      </c>
      <c r="Q48" s="3389"/>
      <c r="R48" s="3390">
        <f>ROUND(IF(D47="简单平均",AVERAGE(R47:W47),R47*F47+T47*H47+V47*J47),0)</f>
        <v>2112</v>
      </c>
      <c r="S48" s="3390"/>
      <c r="T48" s="3390"/>
      <c r="U48" s="3390"/>
      <c r="V48" s="3390"/>
      <c r="W48" s="3390"/>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9.3180635085892805E-2</v>
      </c>
      <c r="F51" s="429" t="str">
        <f>IF(OR(E51&gt;=0.3,E51&lt;=-0.3),"超过30%","")</f>
        <v/>
      </c>
      <c r="G51" s="428">
        <f>IF(G46&lt;G47,G47/G46-1,G46/G47-1)</f>
        <v>3.9783889980353537E-2</v>
      </c>
      <c r="H51" s="429" t="str">
        <f>IF(OR(G51&gt;=0.3,G51&lt;=-0.3),"超过30%","")</f>
        <v/>
      </c>
      <c r="I51" s="428">
        <f>IF(I46&lt;I47,I47/I46-1,I46/I47-1)</f>
        <v>0.11570247933884303</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0.10203019260801671</v>
      </c>
      <c r="F52" s="429" t="str">
        <f>IF(OR(E52&gt;=0.2,E52&lt;=-0.2),"超过20%","")</f>
        <v/>
      </c>
      <c r="G52" s="428">
        <f>IF(G47&lt;I47,I47/G47-1,G47/I47-1)</f>
        <v>8.5970713273500143E-2</v>
      </c>
      <c r="H52" s="429" t="str">
        <f>IF(OR(G52&gt;=0.2,G52&lt;=-0.2),"超过20%","")</f>
        <v/>
      </c>
      <c r="I52" s="428">
        <f>IF(I47&lt;E47,E47/I47-1,I47/E47-1)</f>
        <v>0.19677251431546061</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3.1434184675835031E-2</v>
      </c>
      <c r="F53" s="429" t="str">
        <f>IF(OR(E53&gt;=0.3,E53&lt;=-0.3),"超过30%","")</f>
        <v/>
      </c>
      <c r="G53" s="428">
        <f>IF(G46&lt;I46,I46/G46-1,G46/I46-1)</f>
        <v>0.25982318271119853</v>
      </c>
      <c r="H53" s="429" t="str">
        <f>IF(OR(G53&gt;=0.3,G53&lt;=-0.3),"超过30%","")</f>
        <v/>
      </c>
      <c r="I53" s="428">
        <f>IF(I46&lt;E46,E46/I46-1,I46/E46-1)</f>
        <v>0.22142857142857153</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4.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69" t="s">
        <v>1887</v>
      </c>
      <c r="H55" s="3391"/>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2112</v>
      </c>
      <c r="C56" s="604">
        <v>1</v>
      </c>
      <c r="D56" s="883">
        <v>1</v>
      </c>
      <c r="E56" s="604">
        <f>'数据-汇总表'!E8+'数据-汇总表'!E9</f>
        <v>41819.959999999992</v>
      </c>
      <c r="F56" s="826">
        <f t="shared" ref="F56:F64" si="15">ROUND(B56*E56/10000,0)</f>
        <v>8832</v>
      </c>
      <c r="G56" s="3392"/>
      <c r="H56" s="3368"/>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39"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0"/>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0"/>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4.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thickBot="1">
      <c r="A65" s="609" t="s">
        <v>1903</v>
      </c>
      <c r="B65" s="610" t="s">
        <v>22</v>
      </c>
      <c r="C65" s="610" t="s">
        <v>23</v>
      </c>
      <c r="D65" s="610" t="s">
        <v>392</v>
      </c>
      <c r="E65" s="610">
        <f>IF(B46="楼面地价",SUM(E56:E64),'数据-汇总表'!D3)</f>
        <v>41819.959999999992</v>
      </c>
      <c r="F65" s="611">
        <f>IF(B46="楼面地价",SUM(F56:F64),ROUND(C48*E65/10000,0))</f>
        <v>8832</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2023-11-1</v>
      </c>
      <c r="D67" s="648">
        <f>EDATE(C67,-3)</f>
        <v>45139</v>
      </c>
      <c r="E67" s="648">
        <f>EDATE(D67,-3)</f>
        <v>45047</v>
      </c>
      <c r="F67" s="648">
        <f t="shared" ref="F67:O67" si="18">EDATE(E67,-3)</f>
        <v>44958</v>
      </c>
      <c r="G67" s="648">
        <f t="shared" si="18"/>
        <v>44866</v>
      </c>
      <c r="H67" s="648">
        <f t="shared" si="18"/>
        <v>44774</v>
      </c>
      <c r="I67" s="648">
        <f t="shared" si="18"/>
        <v>44682</v>
      </c>
      <c r="J67" s="648">
        <f t="shared" si="18"/>
        <v>44593</v>
      </c>
      <c r="K67" s="648">
        <f t="shared" si="18"/>
        <v>44501</v>
      </c>
      <c r="L67" s="648">
        <f t="shared" si="18"/>
        <v>44409</v>
      </c>
      <c r="M67" s="648">
        <f t="shared" si="18"/>
        <v>44317</v>
      </c>
      <c r="N67" s="648">
        <f t="shared" si="18"/>
        <v>44228</v>
      </c>
      <c r="O67" s="648">
        <f t="shared" si="18"/>
        <v>44136</v>
      </c>
      <c r="P67" s="2477"/>
      <c r="Q67" s="2477"/>
      <c r="R67" s="2477"/>
      <c r="S67" s="2477"/>
      <c r="T67" s="2477"/>
      <c r="U67" s="2477"/>
      <c r="V67" s="2477"/>
      <c r="W67" s="2477"/>
      <c r="X67" s="2477"/>
      <c r="Y67" s="2477"/>
      <c r="Z67" s="2477"/>
      <c r="AA67" s="2477"/>
      <c r="AB67" s="2477"/>
      <c r="AC67" s="2477"/>
    </row>
    <row r="68" spans="1:29" ht="21.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c r="A69" s="1621" t="s">
        <v>1904</v>
      </c>
      <c r="B69" s="1039"/>
      <c r="C69" s="1093" t="str">
        <f>YEAR(C67)&amp;"-"&amp;ROUNDUP(MONTH(C67)/3,0)</f>
        <v>2023-4</v>
      </c>
      <c r="D69" s="1093" t="str">
        <f>YEAR(D67)&amp;"-"&amp;ROUNDUP(MONTH(D67)/3,0)</f>
        <v>2023-3</v>
      </c>
      <c r="E69" s="1093" t="str">
        <f t="shared" ref="E69:O69" si="19">YEAR(E67)&amp;"-"&amp;ROUNDUP(MONTH(E67)/3,0)</f>
        <v>2023-2</v>
      </c>
      <c r="F69" s="1093" t="str">
        <f t="shared" si="19"/>
        <v>2023-1</v>
      </c>
      <c r="G69" s="1093" t="str">
        <f t="shared" si="19"/>
        <v>2022-4</v>
      </c>
      <c r="H69" s="1093" t="str">
        <f t="shared" si="19"/>
        <v>2022-3</v>
      </c>
      <c r="I69" s="1093" t="str">
        <f t="shared" si="19"/>
        <v>2022-2</v>
      </c>
      <c r="J69" s="1093" t="str">
        <f t="shared" si="19"/>
        <v>2022-1</v>
      </c>
      <c r="K69" s="1093" t="str">
        <f t="shared" si="19"/>
        <v>2021-4</v>
      </c>
      <c r="L69" s="1093" t="str">
        <f t="shared" si="19"/>
        <v>2021-3</v>
      </c>
      <c r="M69" s="1093" t="str">
        <f t="shared" si="19"/>
        <v>2021-2</v>
      </c>
      <c r="N69" s="1093" t="str">
        <f t="shared" si="19"/>
        <v>2021-1</v>
      </c>
      <c r="O69" s="1093" t="str">
        <f t="shared" si="19"/>
        <v>2020-4</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4.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4.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39"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4.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8.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4.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4.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4.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4.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4.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4.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4.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4.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4.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4.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4.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4.5" thickBot="1">
      <c r="A90" s="361"/>
      <c r="B90" s="468"/>
      <c r="C90" s="469">
        <v>100</v>
      </c>
      <c r="D90" s="469">
        <f>C90-$K17</f>
        <v>97</v>
      </c>
      <c r="E90" s="469">
        <f>D90-$K17</f>
        <v>94</v>
      </c>
      <c r="F90" s="469">
        <f>E90-$K17</f>
        <v>91</v>
      </c>
      <c r="G90" s="469">
        <f>F90-$K17</f>
        <v>88</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4.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4.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4.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4.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28.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4.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8.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4.5" thickBot="1">
      <c r="A98" s="364"/>
      <c r="B98" s="468"/>
      <c r="C98" s="469">
        <v>100</v>
      </c>
      <c r="D98" s="469">
        <f>C98-$K25</f>
        <v>97</v>
      </c>
      <c r="E98" s="469">
        <f>D98-$K25</f>
        <v>94</v>
      </c>
      <c r="F98" s="469">
        <f>E98-$K25</f>
        <v>91</v>
      </c>
      <c r="G98" s="469">
        <f>F98-$K25</f>
        <v>88</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4.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4.5" thickBot="1">
      <c r="A100" s="478"/>
      <c r="B100" s="468"/>
      <c r="C100" s="469">
        <v>100</v>
      </c>
      <c r="D100" s="469">
        <f>C100-$K27</f>
        <v>97</v>
      </c>
      <c r="E100" s="469">
        <f>D100-$K27</f>
        <v>94</v>
      </c>
      <c r="F100" s="469">
        <f>E100-$K27</f>
        <v>91</v>
      </c>
      <c r="G100" s="469">
        <f>F100-$K27</f>
        <v>88</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4.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4.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4.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4.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8.5" thickTop="1">
      <c r="A105" s="361"/>
      <c r="B105" s="463" t="s">
        <v>1815</v>
      </c>
      <c r="C105" s="3148" t="s">
        <v>3597</v>
      </c>
      <c r="D105" s="3148" t="s">
        <v>3598</v>
      </c>
      <c r="E105" s="3148" t="s">
        <v>3599</v>
      </c>
      <c r="F105" s="3148" t="s">
        <v>3600</v>
      </c>
      <c r="G105" s="3148" t="s">
        <v>3601</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4.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4.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4.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4.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4.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4.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4.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4.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4.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100000(含)-200000</v>
      </c>
      <c r="G115" s="455" t="str">
        <f t="shared" si="26"/>
        <v>200000(含)-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c r="A116" s="361"/>
      <c r="B116" s="471"/>
      <c r="C116" s="6">
        <v>0</v>
      </c>
      <c r="D116" s="6">
        <v>30000</v>
      </c>
      <c r="E116" s="6">
        <v>60000</v>
      </c>
      <c r="F116" s="6">
        <v>100000</v>
      </c>
      <c r="G116" s="6">
        <v>200000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4.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4.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4.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4.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4.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4.5" thickTop="1">
      <c r="A122" s="400"/>
      <c r="B122" s="463" t="s">
        <v>1916</v>
      </c>
      <c r="C122" s="3149" t="s">
        <v>3602</v>
      </c>
      <c r="D122" s="3149" t="s">
        <v>3603</v>
      </c>
      <c r="E122" s="3149" t="s">
        <v>3604</v>
      </c>
      <c r="F122" s="3149" t="s">
        <v>3605</v>
      </c>
      <c r="G122" s="3149" t="s">
        <v>3606</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4.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4.5" thickTop="1">
      <c r="A124" s="403"/>
      <c r="B124" s="463" t="s">
        <v>1917</v>
      </c>
      <c r="C124" s="3148" t="s">
        <v>3607</v>
      </c>
      <c r="D124" s="3148" t="s">
        <v>3608</v>
      </c>
      <c r="E124" s="3150" t="s">
        <v>3609</v>
      </c>
      <c r="F124" s="3150" t="s">
        <v>3610</v>
      </c>
      <c r="G124" s="3150" t="s">
        <v>3611</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4.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4.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4.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4.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4.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4.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4.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1" xr:uid="{00000000-0002-0000-1200-000013000000}">
      <formula1>"商业,办公,住宅,工业"</formula1>
    </dataValidation>
    <dataValidation type="list" allowBlank="1" showInputMessage="1" showErrorMessage="1" sqref="G62" xr:uid="{00000000-0002-0000-1200-000014000000}">
      <formula1>"住宅,工业"</formula1>
    </dataValidation>
    <dataValidation type="list" allowBlank="1" showInputMessage="1" showErrorMessage="1" sqref="C30 E30 G30 I30" xr:uid="{00000000-0002-0000-1200-000015000000}">
      <formula1>基础设施水平</formula1>
    </dataValidation>
    <dataValidation type="list" allowBlank="1" showInputMessage="1" showErrorMessage="1" sqref="A70" xr:uid="{00000000-0002-0000-1200-000016000000}">
      <formula1>"综合,商业,办公,住宅"</formula1>
    </dataValidation>
    <dataValidation type="list" allowBlank="1" showInputMessage="1" showErrorMessage="1" sqref="D47" xr:uid="{00000000-0002-0000-1200-000017000000}">
      <formula1>"简单平均,加权平均"</formula1>
    </dataValidation>
    <dataValidation type="list" allowBlank="1" showInputMessage="1" showErrorMessage="1" sqref="D57:D64" xr:uid="{00000000-0002-0000-12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86" customWidth="1"/>
    <col min="2" max="9" width="10" style="786" customWidth="1"/>
    <col min="10" max="16384" width="9" style="786"/>
  </cols>
  <sheetData>
    <row r="36" spans="1:9">
      <c r="A36" s="785" t="s">
        <v>371</v>
      </c>
      <c r="B36" s="785" t="s">
        <v>372</v>
      </c>
    </row>
    <row r="37" spans="1:9" ht="27.75" customHeight="1">
      <c r="A37" s="785"/>
      <c r="B37" s="3169" t="str">
        <f>项目基本情况!B1</f>
        <v>北京市房地产抵押价值预评估</v>
      </c>
      <c r="C37" s="3169"/>
      <c r="D37" s="3169"/>
      <c r="E37" s="3169"/>
      <c r="F37" s="3169"/>
      <c r="G37" s="3169"/>
      <c r="H37" s="3169"/>
      <c r="I37" s="3169"/>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3.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A1:BE15"/>
  <sheetViews>
    <sheetView workbookViewId="0">
      <selection activeCell="AR27" sqref="AR27"/>
    </sheetView>
  </sheetViews>
  <sheetFormatPr defaultRowHeight="14"/>
  <cols>
    <col min="2" max="4" width="0" hidden="1" customWidth="1"/>
    <col min="13" max="16" width="0" hidden="1" customWidth="1"/>
    <col min="18" max="29" width="0" hidden="1" customWidth="1"/>
    <col min="30" max="30" width="11.63281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4">
        <v>45042.000497685185</v>
      </c>
      <c r="AB2" s="3134">
        <v>45064.000497685185</v>
      </c>
      <c r="AC2" s="3134">
        <v>45077.000497685185</v>
      </c>
      <c r="AD2" s="3134">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5" customFormat="1">
      <c r="A3" s="3135" t="s">
        <v>3459</v>
      </c>
      <c r="B3" s="3135" t="s">
        <v>3439</v>
      </c>
      <c r="C3" s="3135" t="s">
        <v>3460</v>
      </c>
      <c r="D3" s="3135" t="s">
        <v>3441</v>
      </c>
      <c r="E3" s="3135" t="s">
        <v>3442</v>
      </c>
      <c r="F3" s="3135" t="s">
        <v>3461</v>
      </c>
      <c r="G3" s="3135" t="s">
        <v>3462</v>
      </c>
      <c r="H3" s="3135" t="s">
        <v>3445</v>
      </c>
      <c r="I3" s="3135">
        <v>5805.69</v>
      </c>
      <c r="J3" s="3135">
        <v>31931.3</v>
      </c>
      <c r="K3" s="3135" t="s">
        <v>3463</v>
      </c>
      <c r="L3" s="3135">
        <v>5.5</v>
      </c>
      <c r="M3" s="3135" t="s">
        <v>3447</v>
      </c>
      <c r="N3" s="3135" t="s">
        <v>3448</v>
      </c>
      <c r="O3" s="3135" t="s">
        <v>3449</v>
      </c>
      <c r="P3" s="3135" t="s">
        <v>3450</v>
      </c>
      <c r="Q3" s="3135" t="s">
        <v>3464</v>
      </c>
      <c r="R3" s="3135" t="s">
        <v>3452</v>
      </c>
      <c r="S3" s="3135" t="s">
        <v>3452</v>
      </c>
      <c r="T3" s="3135" t="s">
        <v>3452</v>
      </c>
      <c r="U3" s="3135" t="s">
        <v>3452</v>
      </c>
      <c r="V3" s="3135" t="s">
        <v>3452</v>
      </c>
      <c r="W3" s="3135" t="s">
        <v>3452</v>
      </c>
      <c r="X3" s="3135" t="s">
        <v>3452</v>
      </c>
      <c r="Y3" s="3135">
        <v>0</v>
      </c>
      <c r="Z3" s="3135">
        <v>0</v>
      </c>
      <c r="AA3" s="3136">
        <v>45037.000497685185</v>
      </c>
      <c r="AB3" s="3136">
        <v>45057.000497685185</v>
      </c>
      <c r="AC3" s="3136">
        <v>45070.000497685185</v>
      </c>
      <c r="AD3" s="3136">
        <v>45070.000497685185</v>
      </c>
      <c r="AE3" s="3135" t="s">
        <v>3465</v>
      </c>
      <c r="AF3" s="3135" t="s">
        <v>3454</v>
      </c>
      <c r="AG3" s="3135" t="s">
        <v>3466</v>
      </c>
      <c r="AH3" s="3135" t="s">
        <v>3467</v>
      </c>
      <c r="AI3" s="3135" t="s">
        <v>3452</v>
      </c>
      <c r="AJ3" s="3135">
        <v>6705.57</v>
      </c>
      <c r="AK3" s="3135">
        <v>1345</v>
      </c>
      <c r="AL3" s="3135" t="s">
        <v>3468</v>
      </c>
      <c r="AM3" s="3135">
        <v>6705.57</v>
      </c>
      <c r="AN3" s="3135">
        <v>11549.99</v>
      </c>
      <c r="AO3" s="3135">
        <v>11549.99</v>
      </c>
      <c r="AP3" s="3135">
        <v>770</v>
      </c>
      <c r="AQ3" s="3135">
        <v>770</v>
      </c>
      <c r="AR3" s="3135">
        <v>2100</v>
      </c>
      <c r="AS3" s="3135">
        <v>2100</v>
      </c>
      <c r="AT3" s="3135" t="s">
        <v>3452</v>
      </c>
      <c r="AU3" s="3135" t="s">
        <v>3452</v>
      </c>
      <c r="AV3" s="3135">
        <v>0</v>
      </c>
      <c r="AW3" s="3135" t="s">
        <v>3457</v>
      </c>
      <c r="AX3" s="3135" t="s">
        <v>3450</v>
      </c>
      <c r="AY3" s="3135" t="s">
        <v>3452</v>
      </c>
      <c r="AZ3" s="3135" t="s">
        <v>3450</v>
      </c>
      <c r="BA3" s="3135" t="s">
        <v>3452</v>
      </c>
      <c r="BB3" s="3135" t="s">
        <v>3452</v>
      </c>
      <c r="BC3" s="3135" t="s">
        <v>3452</v>
      </c>
      <c r="BD3" s="3135" t="s">
        <v>3452</v>
      </c>
      <c r="BE3" s="3135"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4">
        <v>44879.000497685185</v>
      </c>
      <c r="AB4" s="3134">
        <v>44898.000497685185</v>
      </c>
      <c r="AC4" s="3134">
        <v>44908.000497685185</v>
      </c>
      <c r="AD4" s="3134">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4">
        <v>44879.000497685185</v>
      </c>
      <c r="AB5" s="3134">
        <v>44898.000497685185</v>
      </c>
      <c r="AC5" s="3134">
        <v>44908.000497685185</v>
      </c>
      <c r="AD5" s="3134">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4">
        <v>44867.000497685185</v>
      </c>
      <c r="AB6" s="3134">
        <v>44890.000497685185</v>
      </c>
      <c r="AC6" s="3134">
        <v>44903.000497685185</v>
      </c>
      <c r="AD6" s="3134">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4">
        <v>44834.000497685185</v>
      </c>
      <c r="AB7" s="3134">
        <v>44859.000497685185</v>
      </c>
      <c r="AC7" s="3134">
        <v>44872.000497685185</v>
      </c>
      <c r="AD7" s="3134">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4">
        <v>44833.000497685185</v>
      </c>
      <c r="AB8" s="3134">
        <v>44855.000497685185</v>
      </c>
      <c r="AC8" s="3134">
        <v>44868.000497685185</v>
      </c>
      <c r="AD8" s="3134">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4">
        <v>44725.000497685185</v>
      </c>
      <c r="AB9" s="3134">
        <v>44745.000497685185</v>
      </c>
      <c r="AC9" s="3134">
        <v>44756.000497685185</v>
      </c>
      <c r="AD9" s="3134">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5" customFormat="1">
      <c r="A10" s="3135" t="s">
        <v>3508</v>
      </c>
      <c r="B10" s="3135" t="s">
        <v>3439</v>
      </c>
      <c r="C10" s="3135" t="s">
        <v>3509</v>
      </c>
      <c r="D10" s="3135" t="s">
        <v>3441</v>
      </c>
      <c r="E10" s="3135" t="s">
        <v>3442</v>
      </c>
      <c r="F10" s="3135" t="s">
        <v>3510</v>
      </c>
      <c r="G10" s="3135" t="s">
        <v>3511</v>
      </c>
      <c r="H10" s="3135" t="s">
        <v>3445</v>
      </c>
      <c r="I10" s="3135">
        <v>8284.66</v>
      </c>
      <c r="J10" s="3135">
        <v>57992.62</v>
      </c>
      <c r="K10" s="3135" t="s">
        <v>3512</v>
      </c>
      <c r="L10" s="3135">
        <v>0</v>
      </c>
      <c r="M10" s="3135" t="s">
        <v>3447</v>
      </c>
      <c r="N10" s="3135" t="s">
        <v>3513</v>
      </c>
      <c r="O10" s="3135" t="s">
        <v>3449</v>
      </c>
      <c r="P10" s="3135" t="s">
        <v>3450</v>
      </c>
      <c r="Q10" s="3135" t="s">
        <v>3514</v>
      </c>
      <c r="R10" s="3135" t="s">
        <v>3515</v>
      </c>
      <c r="S10" s="3135" t="s">
        <v>3452</v>
      </c>
      <c r="T10" s="3135" t="s">
        <v>3452</v>
      </c>
      <c r="U10" s="3135" t="s">
        <v>3452</v>
      </c>
      <c r="V10" s="3135" t="s">
        <v>3452</v>
      </c>
      <c r="W10" s="3135" t="s">
        <v>3452</v>
      </c>
      <c r="X10" s="3135" t="s">
        <v>3452</v>
      </c>
      <c r="Y10" s="3135">
        <v>0</v>
      </c>
      <c r="Z10" s="3135">
        <v>0</v>
      </c>
      <c r="AA10" s="3136">
        <v>44463.000497685185</v>
      </c>
      <c r="AB10" s="3136">
        <v>44492.000497685185</v>
      </c>
      <c r="AC10" s="3136">
        <v>44503.000497685185</v>
      </c>
      <c r="AD10" s="3136">
        <v>44503.000497685185</v>
      </c>
      <c r="AE10" s="3135" t="s">
        <v>3516</v>
      </c>
      <c r="AF10" s="3135" t="s">
        <v>3454</v>
      </c>
      <c r="AG10" s="3135" t="s">
        <v>3517</v>
      </c>
      <c r="AH10" s="3135" t="s">
        <v>3452</v>
      </c>
      <c r="AI10" s="3135" t="s">
        <v>3452</v>
      </c>
      <c r="AJ10" s="3135">
        <v>11807.3</v>
      </c>
      <c r="AK10" s="3135">
        <v>3545</v>
      </c>
      <c r="AL10" s="3135" t="s">
        <v>3518</v>
      </c>
      <c r="AM10" s="3135">
        <v>12161.05</v>
      </c>
      <c r="AN10" s="3135">
        <v>14252</v>
      </c>
      <c r="AO10" s="3135">
        <v>14678.99</v>
      </c>
      <c r="AP10" s="3135">
        <v>950.13</v>
      </c>
      <c r="AQ10" s="3135">
        <v>978.6</v>
      </c>
      <c r="AR10" s="3135">
        <v>2036</v>
      </c>
      <c r="AS10" s="3135">
        <v>2097</v>
      </c>
      <c r="AT10" s="3135" t="s">
        <v>3452</v>
      </c>
      <c r="AU10" s="3135" t="s">
        <v>3452</v>
      </c>
      <c r="AV10" s="3135">
        <v>3</v>
      </c>
      <c r="AW10" s="3135" t="s">
        <v>3457</v>
      </c>
      <c r="AX10" s="3135" t="s">
        <v>3450</v>
      </c>
      <c r="AY10" s="3135" t="s">
        <v>3452</v>
      </c>
      <c r="AZ10" s="3135" t="s">
        <v>3450</v>
      </c>
      <c r="BA10" s="3135" t="s">
        <v>3452</v>
      </c>
      <c r="BB10" s="3135" t="s">
        <v>3452</v>
      </c>
      <c r="BC10" s="3135" t="s">
        <v>3452</v>
      </c>
      <c r="BD10" s="3135" t="s">
        <v>3452</v>
      </c>
      <c r="BE10" s="3135" t="s">
        <v>3458</v>
      </c>
    </row>
    <row r="11" spans="1:57" s="3135" customFormat="1">
      <c r="A11" s="3135" t="s">
        <v>3519</v>
      </c>
      <c r="B11" s="3135" t="s">
        <v>3439</v>
      </c>
      <c r="C11" s="3135" t="s">
        <v>3520</v>
      </c>
      <c r="D11" s="3135" t="s">
        <v>3441</v>
      </c>
      <c r="E11" s="3135" t="s">
        <v>3442</v>
      </c>
      <c r="F11" s="3135" t="s">
        <v>3521</v>
      </c>
      <c r="G11" s="3135" t="s">
        <v>3522</v>
      </c>
      <c r="H11" s="3135" t="s">
        <v>3445</v>
      </c>
      <c r="I11" s="3135">
        <v>23299</v>
      </c>
      <c r="J11" s="3135">
        <v>116495</v>
      </c>
      <c r="K11" s="3135" t="s">
        <v>3523</v>
      </c>
      <c r="L11" s="3135">
        <v>5</v>
      </c>
      <c r="M11" s="3135" t="s">
        <v>3447</v>
      </c>
      <c r="N11" s="3135" t="s">
        <v>3524</v>
      </c>
      <c r="O11" s="3135" t="s">
        <v>3449</v>
      </c>
      <c r="P11" s="3135" t="s">
        <v>3450</v>
      </c>
      <c r="Q11" s="3135" t="s">
        <v>3525</v>
      </c>
      <c r="R11" s="3135" t="s">
        <v>3526</v>
      </c>
      <c r="S11" s="3135" t="s">
        <v>3452</v>
      </c>
      <c r="T11" s="3135" t="s">
        <v>3452</v>
      </c>
      <c r="U11" s="3135" t="s">
        <v>3452</v>
      </c>
      <c r="V11" s="3135" t="s">
        <v>3452</v>
      </c>
      <c r="W11" s="3135">
        <v>0</v>
      </c>
      <c r="X11" s="3135">
        <v>0</v>
      </c>
      <c r="Y11" s="3135">
        <v>0</v>
      </c>
      <c r="Z11" s="3135">
        <v>0</v>
      </c>
      <c r="AA11" s="3136">
        <v>44273.000497685185</v>
      </c>
      <c r="AB11" s="3136">
        <v>44294.000497685185</v>
      </c>
      <c r="AC11" s="3136">
        <v>44307.000497685185</v>
      </c>
      <c r="AD11" s="3136">
        <v>44307.000497685185</v>
      </c>
      <c r="AE11" s="3135" t="s">
        <v>3527</v>
      </c>
      <c r="AF11" s="3135" t="s">
        <v>3454</v>
      </c>
      <c r="AG11" s="3135" t="s">
        <v>3528</v>
      </c>
      <c r="AH11" s="3135" t="s">
        <v>3529</v>
      </c>
      <c r="AI11" s="3135" t="s">
        <v>3530</v>
      </c>
      <c r="AJ11" s="3135">
        <v>29880.97</v>
      </c>
      <c r="AK11" s="3135">
        <v>8965</v>
      </c>
      <c r="AL11" s="3135" t="s">
        <v>3531</v>
      </c>
      <c r="AM11" s="3135">
        <v>30510.04</v>
      </c>
      <c r="AN11" s="3135">
        <v>12825</v>
      </c>
      <c r="AO11" s="3135">
        <v>13095</v>
      </c>
      <c r="AP11" s="3135">
        <v>855</v>
      </c>
      <c r="AQ11" s="3135">
        <v>873</v>
      </c>
      <c r="AR11" s="3135">
        <v>2565</v>
      </c>
      <c r="AS11" s="3135">
        <v>2619</v>
      </c>
      <c r="AT11" s="3135" t="s">
        <v>3452</v>
      </c>
      <c r="AU11" s="3135" t="s">
        <v>3452</v>
      </c>
      <c r="AV11" s="3135">
        <v>2.11</v>
      </c>
      <c r="AW11" s="3135" t="s">
        <v>3532</v>
      </c>
      <c r="AX11" s="3135" t="s">
        <v>3450</v>
      </c>
      <c r="AY11" s="3135" t="s">
        <v>3452</v>
      </c>
      <c r="AZ11" s="3135" t="s">
        <v>3450</v>
      </c>
      <c r="BA11" s="3135" t="s">
        <v>3452</v>
      </c>
      <c r="BB11" s="3135" t="s">
        <v>3452</v>
      </c>
      <c r="BC11" s="3135" t="s">
        <v>3452</v>
      </c>
      <c r="BD11" s="3135" t="s">
        <v>3452</v>
      </c>
      <c r="BE11" s="3135"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4">
        <v>44217.000497685185</v>
      </c>
      <c r="AB12" s="3134">
        <v>44246.000497685185</v>
      </c>
      <c r="AC12" s="3134">
        <v>44258.000497685185</v>
      </c>
      <c r="AD12" s="3134">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4">
        <v>44138.000497685185</v>
      </c>
      <c r="AB13" s="3134">
        <v>44159.000497685185</v>
      </c>
      <c r="AC13" s="3134">
        <v>44172.000497685185</v>
      </c>
      <c r="AD13" s="3134">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4">
        <v>44138.000497685185</v>
      </c>
      <c r="AB14" s="3134">
        <v>44159.000497685185</v>
      </c>
      <c r="AC14" s="3134">
        <v>44172.000497685185</v>
      </c>
      <c r="AD14" s="3134">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4">
        <v>43999.000497685185</v>
      </c>
      <c r="AB15" s="3134">
        <v>44021.000497685185</v>
      </c>
      <c r="AC15" s="3134">
        <v>44034.000497685185</v>
      </c>
      <c r="AD15" s="3134">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85" zoomScaleNormal="70" zoomScaleSheetLayoutView="85" workbookViewId="0">
      <selection activeCell="C41" sqref="C41"/>
    </sheetView>
  </sheetViews>
  <sheetFormatPr defaultColWidth="8.36328125" defaultRowHeight="12.5"/>
  <cols>
    <col min="1" max="1" width="10.36328125" style="255" customWidth="1"/>
    <col min="2" max="2" width="29.26953125" style="237" customWidth="1"/>
    <col min="3" max="3" width="12.08984375" style="237" customWidth="1"/>
    <col min="4" max="5" width="11.26953125" style="258" customWidth="1"/>
    <col min="6" max="6" width="9.453125" style="237" customWidth="1"/>
    <col min="7" max="7" width="31.90625" style="237" customWidth="1"/>
    <col min="8" max="254" width="9" style="237" customWidth="1"/>
    <col min="255" max="16384" width="8.36328125" style="237"/>
  </cols>
  <sheetData>
    <row r="1" spans="1:9" s="186" customFormat="1" ht="21">
      <c r="A1" s="182" t="s">
        <v>1461</v>
      </c>
      <c r="B1" s="1366" t="s">
        <v>3612</v>
      </c>
      <c r="C1" s="184"/>
      <c r="D1" s="184"/>
      <c r="E1" s="184"/>
      <c r="F1" s="184"/>
      <c r="G1" s="1055">
        <f>MATCH(B1,'数据-取费表'!A6:A16,0)+5</f>
        <v>6</v>
      </c>
    </row>
    <row r="2" spans="1:9" s="186" customFormat="1" ht="18" customHeight="1">
      <c r="A2" s="187" t="s">
        <v>1462</v>
      </c>
      <c r="B2" s="188">
        <f ca="1">IF(D2="——",C52,C52-E2)</f>
        <v>75636</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18086</v>
      </c>
      <c r="C3" s="185" t="s">
        <v>1465</v>
      </c>
      <c r="D3" s="185"/>
      <c r="E3" s="185"/>
      <c r="F3" s="185"/>
      <c r="G3" s="185"/>
    </row>
    <row r="4" spans="1:9" s="194" customFormat="1" ht="16">
      <c r="A4" s="191" t="s">
        <v>1466</v>
      </c>
      <c r="B4" s="192"/>
      <c r="C4" s="192"/>
      <c r="D4" s="192"/>
      <c r="E4" s="192"/>
      <c r="F4" s="192"/>
      <c r="G4" s="193"/>
    </row>
    <row r="5" spans="1:9" s="200" customFormat="1" ht="13.5" customHeight="1">
      <c r="A5" s="241" t="s">
        <v>1467</v>
      </c>
      <c r="B5" s="196" t="s">
        <v>1468</v>
      </c>
      <c r="C5" s="197">
        <f ca="1">C6+C7+C8</f>
        <v>9477</v>
      </c>
      <c r="D5" s="197" t="s">
        <v>1469</v>
      </c>
      <c r="E5" s="198" t="s">
        <v>1470</v>
      </c>
      <c r="F5" s="198" t="s">
        <v>1471</v>
      </c>
      <c r="G5" s="199"/>
    </row>
    <row r="6" spans="1:9" s="200" customFormat="1" ht="13.5" customHeight="1">
      <c r="A6" s="725" t="s">
        <v>1472</v>
      </c>
      <c r="B6" s="201" t="s">
        <v>1473</v>
      </c>
      <c r="C6" s="202">
        <f>'土地比较法-住宅、综合'!F56</f>
        <v>8832</v>
      </c>
      <c r="D6" s="203"/>
      <c r="E6" s="204"/>
      <c r="F6" s="204"/>
      <c r="G6" s="205"/>
    </row>
    <row r="7" spans="1:9" s="200" customFormat="1" ht="13.5" customHeight="1">
      <c r="A7" s="725" t="s">
        <v>1474</v>
      </c>
      <c r="B7" s="201" t="s">
        <v>1475</v>
      </c>
      <c r="C7" s="206">
        <f>ROUND(C6*F7,0)</f>
        <v>269</v>
      </c>
      <c r="D7" s="206"/>
      <c r="E7" s="204"/>
      <c r="F7" s="207">
        <f>IF(项目基本情况!B8="出让",0,'数据-取费表'!B48+'数据-取费表'!B49)</f>
        <v>3.0499999999999999E-2</v>
      </c>
      <c r="G7" s="205"/>
    </row>
    <row r="8" spans="1:9" s="209" customFormat="1" ht="13">
      <c r="A8" s="725" t="s">
        <v>1476</v>
      </c>
      <c r="B8" s="201" t="s">
        <v>1477</v>
      </c>
      <c r="C8" s="206">
        <f ca="1">IF(G8="已包含在土地购买价格中","0",IF(B1="",'数据-取费表'!B29,IF(G9="全部缴纳",C9+C10,H9)))</f>
        <v>376</v>
      </c>
      <c r="D8" s="208"/>
      <c r="E8" s="206"/>
      <c r="F8" s="207"/>
      <c r="G8" s="1705" t="s">
        <v>3623</v>
      </c>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t="s">
        <v>3624</v>
      </c>
      <c r="H9" s="1063"/>
      <c r="I9" s="1707" t="s">
        <v>1479</v>
      </c>
    </row>
    <row r="10" spans="1:9" s="200" customFormat="1" ht="13.5" customHeight="1">
      <c r="A10" s="726" t="s">
        <v>356</v>
      </c>
      <c r="B10" s="210" t="s">
        <v>1480</v>
      </c>
      <c r="C10" s="211">
        <f ca="1">ROUND(D10*E10/10000,0)</f>
        <v>376</v>
      </c>
      <c r="D10" s="788">
        <f ca="1">IF(B1="",'数据-汇总表'!E6,IF(INDIRECT("'数据-取费表'!c"&amp;$G$1)="住宅",INDIRECT("'数据-取费表'!s"&amp;$G$1),INDIRECT("'数据-取费表'!k"&amp;$G$1)+INDIRECT("'数据-取费表'!s"&amp;$G$1)))</f>
        <v>41819.959999999992</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41819.959999999992</v>
      </c>
      <c r="E19" s="197">
        <f>'数据-取费表'!B31</f>
        <v>200</v>
      </c>
      <c r="F19" s="217"/>
      <c r="G19" s="1705" t="s">
        <v>3625</v>
      </c>
    </row>
    <row r="20" spans="1:7" s="200" customFormat="1" ht="13.5" customHeight="1">
      <c r="A20" s="241" t="s">
        <v>1493</v>
      </c>
      <c r="B20" s="196" t="s">
        <v>1494</v>
      </c>
      <c r="C20" s="218">
        <f ca="1">ROUND((C5+C19)*F20,0)</f>
        <v>284</v>
      </c>
      <c r="D20" s="218"/>
      <c r="E20" s="218"/>
      <c r="F20" s="219">
        <f>'数据-取费表'!B37</f>
        <v>0.03</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34">
        <f ca="1">ROUND(SUM(C23:C25),0)</f>
        <v>675</v>
      </c>
      <c r="D22" s="221">
        <f ca="1">C26</f>
        <v>6.9999999999999999E-4</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665</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0</v>
      </c>
      <c r="D24" s="224"/>
      <c r="E24" s="224"/>
      <c r="F24" s="225"/>
      <c r="G24" s="226" t="s">
        <v>1507</v>
      </c>
    </row>
    <row r="25" spans="1:7" s="200" customFormat="1" ht="26">
      <c r="A25" s="727" t="s">
        <v>1508</v>
      </c>
      <c r="B25" s="201" t="s">
        <v>1509</v>
      </c>
      <c r="C25" s="1035">
        <f ca="1">ROUND(IF('数据-取费表'!B22&lt;=1,C20*F22*'数据-取费表'!B23/2,C20*(POWER((1+F22),'数据-取费表'!B23/2)-1)),0)</f>
        <v>10</v>
      </c>
      <c r="D25" s="224"/>
      <c r="E25" s="227"/>
      <c r="F25" s="225"/>
      <c r="G25" s="228" t="s">
        <v>1510</v>
      </c>
    </row>
    <row r="26" spans="1:7" s="200" customFormat="1" ht="13">
      <c r="A26" s="727" t="s">
        <v>350</v>
      </c>
      <c r="B26" s="201" t="s">
        <v>1511</v>
      </c>
      <c r="C26" s="224">
        <f ca="1">ROUND(IF('数据-取费表'!B22&lt;=1,F21*F22*'数据-取费表'!B23/2,F21*(POWER((1+F22),'数据-取费表'!B23/2)-1)),4)</f>
        <v>6.9999999999999999E-4</v>
      </c>
      <c r="D26" s="224"/>
      <c r="E26" s="227"/>
      <c r="F26" s="225"/>
      <c r="G26" s="229"/>
    </row>
    <row r="27" spans="1:7" s="200" customFormat="1" ht="27">
      <c r="A27" s="241" t="s">
        <v>1512</v>
      </c>
      <c r="B27" s="230" t="s">
        <v>1513</v>
      </c>
      <c r="C27" s="231">
        <f ca="1">C28</f>
        <v>1464</v>
      </c>
      <c r="D27" s="221">
        <f ca="1">C29</f>
        <v>3.0000000000000001E-3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1464</v>
      </c>
      <c r="D28" s="221"/>
      <c r="E28" s="222"/>
      <c r="F28" s="232"/>
      <c r="G28" s="233"/>
    </row>
    <row r="29" spans="1:7" s="200" customFormat="1" ht="13.5" customHeight="1">
      <c r="A29" s="727" t="s">
        <v>347</v>
      </c>
      <c r="B29" s="234" t="s">
        <v>1517</v>
      </c>
      <c r="C29" s="224">
        <f ca="1">ROUND(C21*F27*'数据-取费表'!B21/'数据-取费表'!B20,4)</f>
        <v>3.0000000000000001E-3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12893</v>
      </c>
      <c r="D31" s="216"/>
      <c r="E31" s="197"/>
      <c r="F31" s="236"/>
      <c r="G31" s="220" t="s">
        <v>1522</v>
      </c>
    </row>
    <row r="32" spans="1:7" s="194" customFormat="1" ht="16">
      <c r="A32" s="238" t="s">
        <v>1523</v>
      </c>
      <c r="B32" s="239"/>
      <c r="C32" s="239"/>
      <c r="D32" s="239"/>
      <c r="E32" s="239"/>
      <c r="F32" s="239"/>
      <c r="G32" s="240"/>
    </row>
    <row r="33" spans="1:7" s="200" customFormat="1" ht="13.5" customHeight="1">
      <c r="A33" s="241" t="s">
        <v>337</v>
      </c>
      <c r="B33" s="196" t="s">
        <v>1524</v>
      </c>
      <c r="C33" s="242">
        <f ca="1">SUM(C34:C38)</f>
        <v>56509</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52275</v>
      </c>
      <c r="D34" s="203"/>
      <c r="E34" s="206"/>
      <c r="F34" s="243">
        <f ca="1">IF('数据-取费表'!B24=0,1,IF(B1="",'数据-取费表'!N16,INDIRECT("'数据-取费表'!n"&amp;$G$1)))</f>
        <v>1</v>
      </c>
      <c r="G34" s="205" t="s">
        <v>1526</v>
      </c>
    </row>
    <row r="35" spans="1:7" ht="13.5" customHeight="1">
      <c r="A35" s="727" t="s">
        <v>351</v>
      </c>
      <c r="B35" s="201" t="s">
        <v>1527</v>
      </c>
      <c r="C35" s="206">
        <f ca="1">ROUND(C34*F35,0)</f>
        <v>2614</v>
      </c>
      <c r="D35" s="206"/>
      <c r="E35" s="206"/>
      <c r="F35" s="245">
        <f>'数据-取费表'!B33</f>
        <v>0.05</v>
      </c>
      <c r="G35" s="205" t="s">
        <v>1528</v>
      </c>
    </row>
    <row r="36" spans="1:7" ht="26">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836</v>
      </c>
      <c r="D37" s="203">
        <f ca="1">D19</f>
        <v>41819.959999999992</v>
      </c>
      <c r="E37" s="235">
        <f>'数据-取费表'!B35</f>
        <v>200</v>
      </c>
      <c r="F37" s="245"/>
      <c r="G37" s="247" t="s">
        <v>1532</v>
      </c>
    </row>
    <row r="38" spans="1:7" ht="13.5" customHeight="1">
      <c r="A38" s="727" t="s">
        <v>354</v>
      </c>
      <c r="B38" s="201" t="s">
        <v>1533</v>
      </c>
      <c r="C38" s="206">
        <f ca="1">ROUND(C34*F38,0)</f>
        <v>784</v>
      </c>
      <c r="D38" s="206"/>
      <c r="E38" s="206"/>
      <c r="F38" s="245">
        <f>'数据-取费表'!B36</f>
        <v>1.4999999999999999E-2</v>
      </c>
      <c r="G38" s="205" t="s">
        <v>1528</v>
      </c>
    </row>
    <row r="39" spans="1:7" s="200" customFormat="1" ht="13.5" customHeight="1">
      <c r="A39" s="241" t="s">
        <v>1534</v>
      </c>
      <c r="B39" s="196" t="s">
        <v>1535</v>
      </c>
      <c r="C39" s="218">
        <f ca="1">ROUND(C33*F20,0)</f>
        <v>1695</v>
      </c>
      <c r="D39" s="218"/>
      <c r="E39" s="218"/>
      <c r="F39" s="219">
        <f>F20</f>
        <v>0.03</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2008</v>
      </c>
      <c r="D41" s="221">
        <f ca="1">C44</f>
        <v>6.9999999999999999E-4</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1950</v>
      </c>
      <c r="D42" s="224"/>
      <c r="E42" s="224"/>
      <c r="F42" s="225"/>
      <c r="G42" s="3393" t="s">
        <v>1544</v>
      </c>
    </row>
    <row r="43" spans="1:7" ht="13.5" customHeight="1">
      <c r="A43" s="727" t="s">
        <v>347</v>
      </c>
      <c r="B43" s="201" t="s">
        <v>1545</v>
      </c>
      <c r="C43" s="224">
        <f ca="1">ROUND(IF('数据-取费表'!B22&lt;=1,C39*F22*'数据-取费表'!B21/2,C39*(POWER((1+F22),'数据-取费表'!B21/2)-1)),0)</f>
        <v>58</v>
      </c>
      <c r="D43" s="224"/>
      <c r="E43" s="224"/>
      <c r="F43" s="225"/>
      <c r="G43" s="3394"/>
    </row>
    <row r="44" spans="1:7" ht="13.5" customHeight="1">
      <c r="A44" s="727" t="s">
        <v>348</v>
      </c>
      <c r="B44" s="201" t="s">
        <v>1546</v>
      </c>
      <c r="C44" s="224">
        <f ca="1">ROUND(IF('数据-取费表'!B22&lt;=1,C40*F22*'数据-取费表'!B21/2,C40*(POWER((1+F22),'数据-取费表'!B21/2)-1)),4)</f>
        <v>6.9999999999999999E-4</v>
      </c>
      <c r="D44" s="224"/>
      <c r="E44" s="224"/>
      <c r="F44" s="225"/>
      <c r="G44" s="3395"/>
    </row>
    <row r="45" spans="1:7" s="200" customFormat="1" ht="13.5" customHeight="1">
      <c r="A45" s="241" t="s">
        <v>1547</v>
      </c>
      <c r="B45" s="230" t="s">
        <v>1513</v>
      </c>
      <c r="C45" s="231">
        <f ca="1">C46</f>
        <v>8731</v>
      </c>
      <c r="D45" s="221">
        <f ca="1">C47</f>
        <v>3.0000000000000001E-3</v>
      </c>
      <c r="E45" s="222" t="s">
        <v>1539</v>
      </c>
      <c r="F45" s="232">
        <f ca="1">F27</f>
        <v>0.15</v>
      </c>
      <c r="G45" s="233" t="s">
        <v>1548</v>
      </c>
    </row>
    <row r="46" spans="1:7" s="200" customFormat="1" ht="13.5" customHeight="1">
      <c r="A46" s="727" t="s">
        <v>346</v>
      </c>
      <c r="B46" s="234" t="s">
        <v>1549</v>
      </c>
      <c r="C46" s="235">
        <f ca="1">ROUND((C33+C39)*F27,0)</f>
        <v>8731</v>
      </c>
      <c r="D46" s="249"/>
      <c r="E46" s="222"/>
      <c r="F46" s="232"/>
      <c r="G46" s="233"/>
    </row>
    <row r="47" spans="1:7" s="200" customFormat="1" ht="13.5" customHeight="1">
      <c r="A47" s="727" t="s">
        <v>347</v>
      </c>
      <c r="B47" s="234" t="s">
        <v>1550</v>
      </c>
      <c r="C47" s="224">
        <f ca="1">ROUND(C40*F27,4)</f>
        <v>3.0000000000000001E-3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74694</v>
      </c>
      <c r="D49" s="218"/>
      <c r="E49" s="218"/>
      <c r="F49" s="250"/>
      <c r="G49" s="220" t="s">
        <v>1554</v>
      </c>
    </row>
    <row r="50" spans="1:7" s="244" customFormat="1" ht="26">
      <c r="A50" s="241" t="s">
        <v>1555</v>
      </c>
      <c r="B50" s="196" t="s">
        <v>1556</v>
      </c>
      <c r="C50" s="218"/>
      <c r="D50" s="218"/>
      <c r="E50" s="218"/>
      <c r="F50" s="250">
        <f>IF('数据-取费表'!B24=0,'数据-取费表'!N16,1)</f>
        <v>0.84</v>
      </c>
      <c r="G50" s="233" t="s">
        <v>1557</v>
      </c>
    </row>
    <row r="51" spans="1:7" ht="16.5" customHeight="1">
      <c r="A51" s="241" t="s">
        <v>1558</v>
      </c>
      <c r="B51" s="196" t="s">
        <v>1559</v>
      </c>
      <c r="C51" s="218">
        <f ca="1">ROUND(C49*F50,0)</f>
        <v>62743</v>
      </c>
      <c r="D51" s="218"/>
      <c r="E51" s="218"/>
      <c r="F51" s="250"/>
      <c r="G51" s="220" t="s">
        <v>1560</v>
      </c>
    </row>
    <row r="52" spans="1:7" s="194" customFormat="1" ht="16.5" thickBot="1">
      <c r="A52" s="251" t="s">
        <v>1561</v>
      </c>
      <c r="B52" s="252"/>
      <c r="C52" s="253">
        <f ca="1">C31+C51</f>
        <v>75636</v>
      </c>
      <c r="D52" s="252"/>
      <c r="E52" s="252"/>
      <c r="F52" s="252"/>
      <c r="G52" s="254"/>
    </row>
    <row r="55" spans="1:7" ht="15.5">
      <c r="B55" s="256" t="s">
        <v>1562</v>
      </c>
      <c r="C55" s="257"/>
    </row>
    <row r="56" spans="1:7" ht="13">
      <c r="B56" s="259" t="s">
        <v>802</v>
      </c>
      <c r="C56" s="261">
        <f ca="1">1-C57</f>
        <v>0.17000000000000004</v>
      </c>
    </row>
    <row r="57" spans="1:7" ht="13">
      <c r="B57" s="259" t="s">
        <v>803</v>
      </c>
      <c r="C57" s="260">
        <f ca="1">ROUND(C51/C52,3)</f>
        <v>0.83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55" customWidth="1"/>
    <col min="2" max="2" width="29.26953125" style="237" customWidth="1"/>
    <col min="3" max="3" width="12.08984375" style="237" customWidth="1"/>
    <col min="4" max="5" width="11.26953125" style="258" customWidth="1"/>
    <col min="6" max="6" width="9.453125" style="237" customWidth="1"/>
    <col min="7" max="7" width="31.90625" style="237" customWidth="1"/>
    <col min="8" max="8" width="10.7265625" style="237" customWidth="1"/>
    <col min="9" max="254" width="9" style="237" customWidth="1"/>
    <col min="255" max="16384" width="8.36328125" style="237"/>
  </cols>
  <sheetData>
    <row r="1" spans="1:8" s="186" customFormat="1" ht="21">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1">
        <f ca="1">ROUND(IF(D2="——",C52/10000,C52/10000-E2),4)</f>
        <v>64393.529699999999</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15398</v>
      </c>
      <c r="C3" s="185" t="s">
        <v>1465</v>
      </c>
      <c r="D3" s="185"/>
      <c r="E3" s="185"/>
      <c r="F3" s="185"/>
      <c r="G3" s="185"/>
    </row>
    <row r="4" spans="1:8" s="194" customFormat="1" ht="16">
      <c r="A4" s="191" t="s">
        <v>1466</v>
      </c>
      <c r="B4" s="192"/>
      <c r="C4" s="192"/>
      <c r="D4" s="192"/>
      <c r="E4" s="192"/>
      <c r="F4" s="192"/>
      <c r="G4" s="193"/>
    </row>
    <row r="5" spans="1:8" s="200" customFormat="1" ht="13.5" customHeight="1">
      <c r="A5" s="241" t="s">
        <v>1467</v>
      </c>
      <c r="B5" s="196" t="s">
        <v>1468</v>
      </c>
      <c r="C5" s="197">
        <f ca="1">C6+C7+C8</f>
        <v>3763796</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ht="13">
      <c r="A8" s="725" t="s">
        <v>1476</v>
      </c>
      <c r="B8" s="201" t="s">
        <v>1477</v>
      </c>
      <c r="C8" s="206">
        <f ca="1">IF(G8="已包含在土地购买价格中",0,C9+C10)</f>
        <v>3763796</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3763796</v>
      </c>
      <c r="D10" s="788">
        <f ca="1">IF(B1="",'数据-汇总表'!E6,IF(INDIRECT("'数据-取费表'!c"&amp;$G$1)="住宅",INDIRECT("'数据-取费表'!s"&amp;$G$1),INDIRECT("'数据-取费表'!k"&amp;$G$1)+INDIRECT("'数据-取费表'!s"&amp;$G$1)))</f>
        <v>41819.959999999992</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8363992</v>
      </c>
      <c r="D19" s="198">
        <f ca="1">D9+D10</f>
        <v>41819.959999999992</v>
      </c>
      <c r="E19" s="197">
        <f>'数据-取费表'!B31</f>
        <v>200</v>
      </c>
      <c r="F19" s="217"/>
      <c r="G19" s="1705"/>
    </row>
    <row r="20" spans="1:7" s="200" customFormat="1" ht="13.5" customHeight="1">
      <c r="A20" s="241" t="s">
        <v>1574</v>
      </c>
      <c r="B20" s="196" t="s">
        <v>1575</v>
      </c>
      <c r="C20" s="218">
        <f ca="1">ROUND((C5+C19)*F20,0)</f>
        <v>363834</v>
      </c>
      <c r="D20" s="218"/>
      <c r="E20" s="218"/>
      <c r="F20" s="219">
        <f>'数据-取费表'!B37</f>
        <v>0.03</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863805</v>
      </c>
      <c r="D22" s="221">
        <f ca="1">C26</f>
        <v>6.9999999999999999E-4</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264182</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587071</v>
      </c>
      <c r="D24" s="224"/>
      <c r="E24" s="224"/>
      <c r="F24" s="225"/>
      <c r="G24" s="226" t="s">
        <v>1586</v>
      </c>
    </row>
    <row r="25" spans="1:7" s="200" customFormat="1" ht="26">
      <c r="A25" s="727" t="s">
        <v>1476</v>
      </c>
      <c r="B25" s="201" t="s">
        <v>1587</v>
      </c>
      <c r="C25" s="224">
        <f ca="1">ROUND(IF('数据-取费表'!B22&lt;=1,C20*F22*'数据-取费表'!B22/2,C20*(POWER((1+F22),'数据-取费表'!B22/2)-1)),0)</f>
        <v>12552</v>
      </c>
      <c r="D25" s="224"/>
      <c r="E25" s="227"/>
      <c r="F25" s="225"/>
      <c r="G25" s="228" t="s">
        <v>1588</v>
      </c>
    </row>
    <row r="26" spans="1:7" s="200" customFormat="1" ht="13">
      <c r="A26" s="727" t="s">
        <v>350</v>
      </c>
      <c r="B26" s="201" t="s">
        <v>1511</v>
      </c>
      <c r="C26" s="224">
        <f ca="1">ROUND(IF('数据-取费表'!B22&lt;=1,F21*F22*'数据-取费表'!B22/2,F21*(POWER((1+F22),'数据-取费表'!B22/2)-1)),4)</f>
        <v>6.9999999999999999E-4</v>
      </c>
      <c r="D26" s="224"/>
      <c r="E26" s="227"/>
      <c r="F26" s="225"/>
      <c r="G26" s="229"/>
    </row>
    <row r="27" spans="1:7" s="200" customFormat="1" ht="27">
      <c r="A27" s="241" t="s">
        <v>1512</v>
      </c>
      <c r="B27" s="230" t="s">
        <v>1513</v>
      </c>
      <c r="C27" s="231">
        <f ca="1">C28</f>
        <v>1873743</v>
      </c>
      <c r="D27" s="221">
        <f ca="1">C29</f>
        <v>3.0000000000000001E-3</v>
      </c>
      <c r="E27" s="222" t="s">
        <v>1514</v>
      </c>
      <c r="F27" s="232">
        <f ca="1">IF(B1="",'数据-取费表'!Q16,INDIRECT("'数据-取费表'!q"&amp;$G$1))</f>
        <v>0.15</v>
      </c>
      <c r="G27" s="233" t="s">
        <v>1515</v>
      </c>
    </row>
    <row r="28" spans="1:7" s="200" customFormat="1" ht="13.5" customHeight="1">
      <c r="A28" s="727" t="s">
        <v>346</v>
      </c>
      <c r="B28" s="234" t="s">
        <v>1516</v>
      </c>
      <c r="C28" s="235">
        <f ca="1">ROUND((C5+C19+C20)*F27,0)</f>
        <v>1873743</v>
      </c>
      <c r="D28" s="221"/>
      <c r="E28" s="222"/>
      <c r="F28" s="232"/>
      <c r="G28" s="233"/>
    </row>
    <row r="29" spans="1:7" s="200" customFormat="1" ht="13.5" customHeight="1">
      <c r="A29" s="727" t="s">
        <v>347</v>
      </c>
      <c r="B29" s="234" t="s">
        <v>1517</v>
      </c>
      <c r="C29" s="224">
        <f ca="1">ROUND(C21*F27,4)</f>
        <v>3.0000000000000001E-3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16499642</v>
      </c>
      <c r="D31" s="216"/>
      <c r="E31" s="197"/>
      <c r="F31" s="236"/>
      <c r="G31" s="220" t="s">
        <v>1522</v>
      </c>
    </row>
    <row r="32" spans="1:7" s="194" customFormat="1" ht="16">
      <c r="A32" s="238" t="s">
        <v>1589</v>
      </c>
      <c r="B32" s="239"/>
      <c r="C32" s="239"/>
      <c r="D32" s="239"/>
      <c r="E32" s="239"/>
      <c r="F32" s="239"/>
      <c r="G32" s="240"/>
    </row>
    <row r="33" spans="1:7" s="200" customFormat="1" ht="13.5" customHeight="1">
      <c r="A33" s="241" t="s">
        <v>337</v>
      </c>
      <c r="B33" s="196" t="s">
        <v>1590</v>
      </c>
      <c r="C33" s="242">
        <f ca="1">SUM(C34:C38)</f>
        <v>565092210</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522749500</v>
      </c>
      <c r="D34" s="203"/>
      <c r="E34" s="206"/>
      <c r="F34" s="243"/>
      <c r="G34" s="205"/>
    </row>
    <row r="35" spans="1:7" ht="13.5" customHeight="1">
      <c r="A35" s="727" t="s">
        <v>351</v>
      </c>
      <c r="B35" s="201" t="s">
        <v>1527</v>
      </c>
      <c r="C35" s="206">
        <f ca="1">ROUND(C34*F35,0)</f>
        <v>26137475</v>
      </c>
      <c r="D35" s="206"/>
      <c r="E35" s="206"/>
      <c r="F35" s="245">
        <f>'数据-取费表'!B33</f>
        <v>0.05</v>
      </c>
      <c r="G35" s="205" t="s">
        <v>1528</v>
      </c>
    </row>
    <row r="36" spans="1:7" ht="26">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8363992</v>
      </c>
      <c r="D37" s="203">
        <f ca="1">D19</f>
        <v>41819.959999999992</v>
      </c>
      <c r="E37" s="235">
        <f>'数据-取费表'!B35</f>
        <v>200</v>
      </c>
      <c r="F37" s="245"/>
      <c r="G37" s="247"/>
    </row>
    <row r="38" spans="1:7" ht="13.5" customHeight="1">
      <c r="A38" s="727" t="s">
        <v>354</v>
      </c>
      <c r="B38" s="201" t="s">
        <v>1533</v>
      </c>
      <c r="C38" s="206">
        <f ca="1">ROUND(C34*F38,0)</f>
        <v>7841243</v>
      </c>
      <c r="D38" s="206"/>
      <c r="E38" s="206"/>
      <c r="F38" s="245">
        <f>'数据-取费表'!B36</f>
        <v>1.4999999999999999E-2</v>
      </c>
      <c r="G38" s="205" t="s">
        <v>1528</v>
      </c>
    </row>
    <row r="39" spans="1:7" s="200" customFormat="1" ht="13.5" customHeight="1">
      <c r="A39" s="241" t="s">
        <v>1534</v>
      </c>
      <c r="B39" s="196" t="s">
        <v>1535</v>
      </c>
      <c r="C39" s="218">
        <f ca="1">ROUND(C33*F20,0)</f>
        <v>16952766</v>
      </c>
      <c r="D39" s="218"/>
      <c r="E39" s="218"/>
      <c r="F39" s="219">
        <f>F20</f>
        <v>0.03</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20080551</v>
      </c>
      <c r="D41" s="221">
        <f ca="1">C44</f>
        <v>6.9999999999999999E-4</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19495681</v>
      </c>
      <c r="D42" s="224"/>
      <c r="E42" s="224"/>
      <c r="F42" s="225"/>
      <c r="G42" s="3393" t="s">
        <v>1591</v>
      </c>
    </row>
    <row r="43" spans="1:7" ht="13.5" customHeight="1">
      <c r="A43" s="727" t="s">
        <v>347</v>
      </c>
      <c r="B43" s="201" t="s">
        <v>1545</v>
      </c>
      <c r="C43" s="224">
        <f ca="1">ROUND(IF('数据-取费表'!B22&lt;=1,C39*F22*'数据-取费表'!B20/2,C39*(POWER((1+F22),'数据-取费表'!B20/2)-1)),0)</f>
        <v>584870</v>
      </c>
      <c r="D43" s="224"/>
      <c r="E43" s="224"/>
      <c r="F43" s="225"/>
      <c r="G43" s="3394"/>
    </row>
    <row r="44" spans="1:7" ht="13.5" customHeight="1">
      <c r="A44" s="727" t="s">
        <v>348</v>
      </c>
      <c r="B44" s="201" t="s">
        <v>1546</v>
      </c>
      <c r="C44" s="224">
        <f ca="1">ROUND(IF('数据-取费表'!B22&lt;=1,C40*F22*'数据-取费表'!B20/2,C40*(POWER((1+F22),'数据-取费表'!B20/2)-1)),4)</f>
        <v>6.9999999999999999E-4</v>
      </c>
      <c r="D44" s="224"/>
      <c r="E44" s="224"/>
      <c r="F44" s="225"/>
      <c r="G44" s="3395"/>
    </row>
    <row r="45" spans="1:7" s="200" customFormat="1" ht="13.5" customHeight="1">
      <c r="A45" s="241" t="s">
        <v>1547</v>
      </c>
      <c r="B45" s="230" t="s">
        <v>1513</v>
      </c>
      <c r="C45" s="231">
        <f ca="1">C46</f>
        <v>87306746</v>
      </c>
      <c r="D45" s="221">
        <f ca="1">C47</f>
        <v>3.0000000000000001E-3</v>
      </c>
      <c r="E45" s="222" t="s">
        <v>1539</v>
      </c>
      <c r="F45" s="232">
        <f ca="1">F27</f>
        <v>0.15</v>
      </c>
      <c r="G45" s="233" t="s">
        <v>1548</v>
      </c>
    </row>
    <row r="46" spans="1:7" s="200" customFormat="1" ht="13.5" customHeight="1">
      <c r="A46" s="727" t="s">
        <v>346</v>
      </c>
      <c r="B46" s="234" t="s">
        <v>1549</v>
      </c>
      <c r="C46" s="235">
        <f ca="1">ROUND((C33+C39)*F27,0)</f>
        <v>87306746</v>
      </c>
      <c r="D46" s="249"/>
      <c r="E46" s="222"/>
      <c r="F46" s="232"/>
      <c r="G46" s="233"/>
    </row>
    <row r="47" spans="1:7" s="200" customFormat="1" ht="13.5" customHeight="1">
      <c r="A47" s="727" t="s">
        <v>347</v>
      </c>
      <c r="B47" s="234" t="s">
        <v>1550</v>
      </c>
      <c r="C47" s="224">
        <f ca="1">ROUND(C40*F27,4)</f>
        <v>3.0000000000000001E-3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746947208</v>
      </c>
      <c r="D49" s="218"/>
      <c r="E49" s="218"/>
      <c r="F49" s="250"/>
      <c r="G49" s="220" t="s">
        <v>1554</v>
      </c>
    </row>
    <row r="50" spans="1:7" s="244" customFormat="1" ht="13.5">
      <c r="A50" s="241" t="s">
        <v>1555</v>
      </c>
      <c r="B50" s="196" t="s">
        <v>1556</v>
      </c>
      <c r="C50" s="218"/>
      <c r="D50" s="218"/>
      <c r="E50" s="218"/>
      <c r="F50" s="250">
        <f>IF('数据-取费表'!B24=0,'数据-取费表'!N16,1)</f>
        <v>0.84</v>
      </c>
      <c r="G50" s="233"/>
    </row>
    <row r="51" spans="1:7" ht="16.5" customHeight="1">
      <c r="A51" s="241" t="s">
        <v>1558</v>
      </c>
      <c r="B51" s="196" t="s">
        <v>1593</v>
      </c>
      <c r="C51" s="218">
        <f ca="1">ROUND(C49*F50,0)</f>
        <v>627435655</v>
      </c>
      <c r="D51" s="218"/>
      <c r="E51" s="218"/>
      <c r="F51" s="250"/>
      <c r="G51" s="220" t="s">
        <v>1560</v>
      </c>
    </row>
    <row r="52" spans="1:7" s="194" customFormat="1" ht="16.5" thickBot="1">
      <c r="A52" s="251" t="s">
        <v>1561</v>
      </c>
      <c r="B52" s="252"/>
      <c r="C52" s="253">
        <f ca="1">C31+C51</f>
        <v>643935297</v>
      </c>
      <c r="D52" s="252"/>
      <c r="E52" s="252"/>
      <c r="F52" s="252"/>
      <c r="G52" s="254"/>
    </row>
    <row r="55" spans="1:7" ht="15.5">
      <c r="B55" s="256" t="s">
        <v>1562</v>
      </c>
      <c r="C55" s="257"/>
    </row>
    <row r="56" spans="1:7" ht="13">
      <c r="B56" s="259" t="s">
        <v>802</v>
      </c>
      <c r="C56" s="261">
        <f ca="1">1-C57</f>
        <v>2.6000000000000023E-2</v>
      </c>
    </row>
    <row r="57" spans="1:7" ht="13">
      <c r="B57" s="259" t="s">
        <v>803</v>
      </c>
      <c r="C57" s="260">
        <f ca="1">ROUND(C51/C52,3)</f>
        <v>0.97399999999999998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79" customWidth="1"/>
    <col min="2" max="2" width="25.7265625" style="728" customWidth="1"/>
    <col min="3" max="3" width="10.36328125" style="767" customWidth="1"/>
    <col min="4" max="4" width="9.90625" style="728" customWidth="1"/>
    <col min="5" max="5" width="9.453125" style="679" customWidth="1"/>
    <col min="6" max="6" width="10.08984375" style="728" customWidth="1"/>
    <col min="7" max="7" width="10.7265625" style="728" customWidth="1"/>
    <col min="8" max="8" width="10" style="728" customWidth="1"/>
    <col min="9" max="11" width="9.453125" style="728" customWidth="1"/>
    <col min="12" max="12" width="9" style="728" customWidth="1"/>
    <col min="13" max="13" width="10.453125" style="728" bestFit="1" customWidth="1"/>
    <col min="14" max="254" width="9" style="728" customWidth="1"/>
    <col min="255" max="16384" width="6.6328125" style="728"/>
  </cols>
  <sheetData>
    <row r="1" spans="1:33" ht="21">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4">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41819.959999999992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41819.959999999992</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376</v>
      </c>
      <c r="D20" s="789">
        <f ca="1">IF(C1="",'数据-汇总表'!E6,IF(INDIRECT("'数据-取费表'!c"&amp;$K$1)="住宅",INDIRECT("'数据-取费表'!s"&amp;$K$1),INDIRECT("'数据-取费表'!k"&amp;$K$1)+INDIRECT("'数据-取费表'!s"&amp;$K$1)))</f>
        <v>41819.959999999992</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0.02</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C28" zoomScale="85" zoomScaleNormal="70" zoomScaleSheetLayoutView="85" workbookViewId="0">
      <selection activeCell="I40" sqref="I40"/>
    </sheetView>
  </sheetViews>
  <sheetFormatPr defaultColWidth="9" defaultRowHeight="12.5"/>
  <cols>
    <col min="1" max="1" width="9" style="244" customWidth="1"/>
    <col min="2" max="2" width="20.6328125" style="619" customWidth="1"/>
    <col min="3" max="3" width="11.90625" style="619" customWidth="1"/>
    <col min="4" max="4" width="40.453125" style="244" customWidth="1"/>
    <col min="5" max="5" width="15.7265625" style="244" customWidth="1"/>
    <col min="6" max="6" width="10.6328125" style="244" customWidth="1"/>
    <col min="7" max="7" width="4.90625" style="244" customWidth="1"/>
    <col min="8" max="8" width="8.453125" style="244" customWidth="1"/>
    <col min="9" max="9" width="21.26953125" style="244" customWidth="1"/>
    <col min="10" max="10" width="12.26953125" style="244" customWidth="1"/>
    <col min="11" max="11" width="45.08984375" style="1364" customWidth="1"/>
    <col min="12" max="12" width="16.36328125" style="244" customWidth="1"/>
    <col min="13" max="13" width="13" style="244" customWidth="1"/>
    <col min="14" max="14" width="13.7265625" style="1284" customWidth="1"/>
    <col min="15" max="15" width="5.08984375" style="1284" customWidth="1"/>
    <col min="16" max="16" width="25.7265625" style="1284" customWidth="1"/>
    <col min="17" max="17" width="13.7265625" style="1284" customWidth="1"/>
    <col min="18" max="18" width="20.453125" style="1284" customWidth="1"/>
    <col min="19" max="19" width="13.26953125" style="1284" customWidth="1"/>
    <col min="20" max="37" width="9" style="1284"/>
    <col min="38" max="16384" width="9" style="244"/>
  </cols>
  <sheetData>
    <row r="1" spans="1:37" s="279" customFormat="1" ht="21">
      <c r="A1" s="1275" t="s">
        <v>877</v>
      </c>
      <c r="B1" s="655"/>
      <c r="C1" s="1279" t="s">
        <v>3612</v>
      </c>
      <c r="D1" s="1263" t="s">
        <v>43</v>
      </c>
      <c r="E1" s="1264" t="s">
        <v>678</v>
      </c>
      <c r="F1" s="992">
        <f ca="1">J53</f>
        <v>25.14</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-14477</v>
      </c>
      <c r="C2" s="1281" t="s">
        <v>805</v>
      </c>
      <c r="D2" s="1281"/>
      <c r="E2" s="1287"/>
      <c r="F2" s="1288"/>
      <c r="G2" s="2468"/>
      <c r="H2" s="2458"/>
      <c r="I2" s="2458"/>
      <c r="J2" s="2458"/>
      <c r="K2" s="2459"/>
      <c r="L2" s="2458"/>
      <c r="M2" s="2458"/>
    </row>
    <row r="3" spans="1:37" ht="18" customHeight="1" thickBot="1">
      <c r="A3" s="1289" t="s">
        <v>806</v>
      </c>
      <c r="B3" s="1290">
        <f ca="1">IF(ISERROR(B2*10000/F43),0,ROUND(B2*10000/F43,0))</f>
        <v>-3462</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0</v>
      </c>
      <c r="D5" s="1265" t="s">
        <v>693</v>
      </c>
      <c r="E5" s="1001"/>
      <c r="F5" s="1002"/>
      <c r="G5" s="1284"/>
      <c r="H5" s="285">
        <v>1</v>
      </c>
      <c r="I5" s="286" t="s">
        <v>692</v>
      </c>
      <c r="J5" s="1000">
        <f ca="1">J6+J10+J12</f>
        <v>0</v>
      </c>
      <c r="K5" s="1265" t="s">
        <v>693</v>
      </c>
      <c r="L5" s="1001"/>
      <c r="M5" s="1002"/>
    </row>
    <row r="6" spans="1:37" ht="18" customHeight="1">
      <c r="A6" s="999" t="s">
        <v>398</v>
      </c>
      <c r="B6" s="3398" t="s">
        <v>694</v>
      </c>
      <c r="C6" s="1004">
        <f ca="1">ROUND(F6*F8*F7*(1-F9)/10000,0)</f>
        <v>0</v>
      </c>
      <c r="D6" s="141" t="s">
        <v>2109</v>
      </c>
      <c r="E6" s="288" t="s">
        <v>696</v>
      </c>
      <c r="F6" s="289">
        <f ca="1">INDIRECT("'数据-取费表'!u"&amp;$G$1)</f>
        <v>0</v>
      </c>
      <c r="G6" s="1284"/>
      <c r="H6" s="999" t="s">
        <v>398</v>
      </c>
      <c r="I6" s="3398" t="s">
        <v>694</v>
      </c>
      <c r="J6" s="287">
        <f ca="1">ROUND(M6*M8*M7*(1-M9)/10000,0)</f>
        <v>0</v>
      </c>
      <c r="K6" s="141" t="s">
        <v>2108</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1</v>
      </c>
      <c r="G7" s="1284"/>
      <c r="H7" s="290"/>
      <c r="I7" s="3399"/>
      <c r="J7" s="292"/>
      <c r="K7" s="293"/>
      <c r="L7" s="288" t="s">
        <v>697</v>
      </c>
      <c r="M7" s="289">
        <f ca="1">F7</f>
        <v>1</v>
      </c>
    </row>
    <row r="8" spans="1:37" ht="18" customHeight="1">
      <c r="A8" s="290"/>
      <c r="B8" s="3399"/>
      <c r="C8" s="292"/>
      <c r="D8" s="293"/>
      <c r="E8" s="288" t="s">
        <v>698</v>
      </c>
      <c r="F8" s="289">
        <f ca="1">INDIRECT("'数据-取费表'!ai"&amp;$G$1)</f>
        <v>1</v>
      </c>
      <c r="G8" s="1284"/>
      <c r="H8" s="290"/>
      <c r="I8" s="3399"/>
      <c r="J8" s="292"/>
      <c r="K8" s="293"/>
      <c r="L8" s="288" t="s">
        <v>698</v>
      </c>
      <c r="M8" s="289">
        <f ca="1">INDIRECT("'数据-取费表'!ai"&amp;$G$1)</f>
        <v>1</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2117</v>
      </c>
      <c r="E10" s="299" t="s">
        <v>701</v>
      </c>
      <c r="F10" s="1046"/>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62743</v>
      </c>
      <c r="D13" s="1011" t="s">
        <v>705</v>
      </c>
      <c r="E13" s="1011" t="s">
        <v>706</v>
      </c>
      <c r="F13" s="1012">
        <f ca="1">INDIRECT("'数据-取费表'!y"&amp;$G$1)</f>
        <v>0.84</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52275</v>
      </c>
      <c r="D14" s="1249" t="s">
        <v>708</v>
      </c>
      <c r="E14" s="1247"/>
      <c r="F14" s="305"/>
      <c r="G14" s="1284"/>
      <c r="H14" s="921" t="s">
        <v>398</v>
      </c>
      <c r="I14" s="288" t="s">
        <v>709</v>
      </c>
      <c r="J14" s="21">
        <f ca="1">C29</f>
        <v>74694</v>
      </c>
      <c r="K14" s="12"/>
      <c r="L14" s="752"/>
      <c r="M14" s="753"/>
    </row>
    <row r="15" spans="1:37" s="1296" customFormat="1" ht="18" customHeight="1" thickBot="1">
      <c r="A15" s="921" t="s">
        <v>399</v>
      </c>
      <c r="B15" s="288" t="s">
        <v>710</v>
      </c>
      <c r="C15" s="21">
        <f ca="1">ROUND(C14*F15,0)</f>
        <v>2614</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747</v>
      </c>
      <c r="K16" s="1017" t="s">
        <v>715</v>
      </c>
      <c r="L16" s="1018"/>
      <c r="M16" s="1002"/>
    </row>
    <row r="17" spans="1:37" s="1296" customFormat="1" ht="18" customHeight="1">
      <c r="A17" s="921" t="s">
        <v>681</v>
      </c>
      <c r="B17" s="288" t="s">
        <v>716</v>
      </c>
      <c r="C17" s="21">
        <f ca="1">ROUND(F17*(F43+INDIRECT("'数据-取费表'!S"&amp;$G$1))/10000,0)</f>
        <v>836</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784</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56509</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1695</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0.02</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746.94</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2008</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-747</v>
      </c>
      <c r="K25" s="1025" t="s">
        <v>753</v>
      </c>
      <c r="L25" s="1026"/>
      <c r="M25" s="1027"/>
    </row>
    <row r="26" spans="1:37" ht="13">
      <c r="A26" s="921" t="s">
        <v>397</v>
      </c>
      <c r="B26" s="288" t="s">
        <v>754</v>
      </c>
      <c r="C26" s="21">
        <f ca="1">ROUND((C19+C20)*F26,0)</f>
        <v>8731</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3.0000000000000001E-3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74694</v>
      </c>
      <c r="D29" s="1022"/>
      <c r="E29" s="1020"/>
      <c r="F29" s="1023"/>
      <c r="G29" s="1295"/>
      <c r="H29" s="319" t="s">
        <v>396</v>
      </c>
      <c r="I29" s="320" t="s">
        <v>768</v>
      </c>
      <c r="J29" s="321">
        <f ca="1">ROUND(J26/(1+F40)^F41,0)</f>
        <v>0</v>
      </c>
      <c r="K29" s="322" t="s">
        <v>769</v>
      </c>
      <c r="L29" s="323"/>
      <c r="M29" s="324">
        <f ca="1">INDIRECT("'数据-取费表'!k"&amp;$G$1)</f>
        <v>41819.959999999992</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1437</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627.42999999999995</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IF(项目基本情况!B11="自然人","——",ROUND(C6*F32/(1+'数据-取费表'!C42),2))</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627.42999999999995</v>
      </c>
      <c r="D33" s="1270" t="s">
        <v>3621</v>
      </c>
      <c r="E33" s="288" t="s">
        <v>712</v>
      </c>
      <c r="F33" s="308">
        <f>IF(D33="按票据","——",IF(D33="按租金收入计税",'数据-取费表'!B51,'数据-取费表'!B50))</f>
        <v>1.2E-2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746.94</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62.74</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0</v>
      </c>
      <c r="D38" s="1022" t="s">
        <v>748</v>
      </c>
      <c r="E38" s="1020" t="s">
        <v>744</v>
      </c>
      <c r="F38" s="1016">
        <f ca="1">INDIRECT("'数据-取费表'!Am"&amp;$G$1)</f>
        <v>0.01</v>
      </c>
      <c r="G38" s="1284"/>
      <c r="H38" s="2463"/>
      <c r="I38" s="1297"/>
      <c r="J38" s="1298"/>
      <c r="K38" s="2461"/>
      <c r="L38" s="2463"/>
      <c r="M38" s="2463"/>
    </row>
    <row r="39" spans="1:18" ht="24.65" customHeight="1" thickTop="1">
      <c r="A39" s="1009" t="s">
        <v>394</v>
      </c>
      <c r="B39" s="1024" t="s">
        <v>772</v>
      </c>
      <c r="C39" s="296">
        <f ca="1">C5-C30</f>
        <v>-1437</v>
      </c>
      <c r="D39" s="1025" t="s">
        <v>773</v>
      </c>
      <c r="E39" s="1026"/>
      <c r="F39" s="1027"/>
      <c r="G39" s="1284"/>
      <c r="H39" s="2463"/>
      <c r="I39" s="1297"/>
      <c r="J39" s="1298"/>
      <c r="K39" s="2461"/>
      <c r="L39" s="2463"/>
      <c r="M39" s="2463"/>
    </row>
    <row r="40" spans="1:18" ht="18" customHeight="1">
      <c r="A40" s="285" t="s">
        <v>395</v>
      </c>
      <c r="B40" s="286" t="s">
        <v>774</v>
      </c>
      <c r="C40" s="287">
        <f ca="1">ROUND(C39*(1-((1+F42)/(1+F40))^F41)/(F40-F42),0)</f>
        <v>-19327</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25.14</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f ca="1">ROUND(C40*10000/F43,0)</f>
        <v>-4621</v>
      </c>
      <c r="D43" s="322" t="s">
        <v>777</v>
      </c>
      <c r="E43" s="323" t="s">
        <v>778</v>
      </c>
      <c r="F43" s="324">
        <f ca="1">INDIRECT("'数据-取费表'!k"&amp;$G$1)</f>
        <v>41819.959999999992</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4" thickBot="1">
      <c r="A46" s="1303" t="s">
        <v>809</v>
      </c>
      <c r="C46" s="1304">
        <f ca="1">C68-C40</f>
        <v>8433</v>
      </c>
      <c r="D46" s="1305" t="str">
        <f>C2</f>
        <v>万元</v>
      </c>
      <c r="E46" s="1299"/>
      <c r="F46" s="1299"/>
      <c r="I46" s="1306" t="s">
        <v>810</v>
      </c>
      <c r="J46" s="1307"/>
      <c r="K46" s="1308"/>
      <c r="L46" s="1309">
        <f ca="1">IF(M47="住宅",0,IF(L48&gt;J51,L60,J60))</f>
        <v>4850</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3614</v>
      </c>
      <c r="K47" s="1315" t="s">
        <v>816</v>
      </c>
      <c r="L47" s="1316">
        <f ca="1">INDIRECT("'数据-取费表'!d"&amp;$G$1)</f>
        <v>40</v>
      </c>
      <c r="M47" s="1280" t="str">
        <f>IF(ISNUMBER(FIND("住宅",C1)),"住宅","非住宅")</f>
        <v>非住宅</v>
      </c>
      <c r="O47" s="1317" t="s">
        <v>403</v>
      </c>
      <c r="P47" s="1318" t="s">
        <v>817</v>
      </c>
      <c r="Q47" s="1319">
        <f ca="1">C40+J29</f>
        <v>-19327</v>
      </c>
      <c r="R47" s="1319" t="s">
        <v>818</v>
      </c>
    </row>
    <row r="48" spans="1:18" s="1284" customFormat="1" ht="43.5" thickBot="1">
      <c r="A48" s="1040" t="s">
        <v>438</v>
      </c>
      <c r="B48" s="286" t="s">
        <v>692</v>
      </c>
      <c r="C48" s="1260">
        <f ca="1">C49+C53+C55</f>
        <v>0</v>
      </c>
      <c r="D48" s="1042"/>
      <c r="E48" s="1043"/>
      <c r="F48" s="901"/>
      <c r="G48" s="673"/>
      <c r="H48" s="674"/>
      <c r="I48" s="1320" t="s">
        <v>819</v>
      </c>
      <c r="J48" s="1321" t="s">
        <v>3615</v>
      </c>
      <c r="K48" s="1322" t="s">
        <v>820</v>
      </c>
      <c r="L48" s="1323">
        <f ca="1">INDIRECT("'数据-取费表'!f"&amp;$G$1)</f>
        <v>25.14</v>
      </c>
      <c r="O48" s="1317" t="s">
        <v>404</v>
      </c>
      <c r="P48" s="1318" t="s">
        <v>821</v>
      </c>
      <c r="Q48" s="1319">
        <f ca="1">J60</f>
        <v>4850</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2010</v>
      </c>
      <c r="K49" s="1322" t="s">
        <v>824</v>
      </c>
      <c r="L49" s="1325"/>
      <c r="O49" s="1326" t="s">
        <v>405</v>
      </c>
      <c r="P49" s="1318" t="s">
        <v>825</v>
      </c>
      <c r="Q49" s="1319">
        <f ca="1">C29</f>
        <v>74694</v>
      </c>
      <c r="R49" s="1319" t="s">
        <v>818</v>
      </c>
    </row>
    <row r="50" spans="1:18" s="1284" customFormat="1" ht="13.5" thickBot="1">
      <c r="A50" s="915"/>
      <c r="B50" s="918"/>
      <c r="C50" s="1048"/>
      <c r="D50" s="892"/>
      <c r="E50" s="986" t="s">
        <v>697</v>
      </c>
      <c r="F50" s="987">
        <f ca="1">F7</f>
        <v>1</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1</v>
      </c>
      <c r="I51" s="1330" t="s">
        <v>829</v>
      </c>
      <c r="J51" s="1323">
        <f>IF(J49="",J50,J49+J50-YEAR('数据-取费表'!B2))</f>
        <v>47</v>
      </c>
      <c r="K51" s="1331" t="s">
        <v>830</v>
      </c>
      <c r="L51" s="1332">
        <f ca="1">ROUND(-PV(INDIRECT("'数据-取费表'!h"&amp;$G$1),J51,(C39-C13*C76),0),0)</f>
        <v>-104812</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25.14</v>
      </c>
      <c r="R52" s="1319" t="s">
        <v>835</v>
      </c>
    </row>
    <row r="53" spans="1:18" s="1284" customFormat="1" ht="26.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25.14</v>
      </c>
      <c r="K53" s="3396" t="s">
        <v>837</v>
      </c>
      <c r="L53" s="3397"/>
      <c r="O53" s="1317" t="s">
        <v>409</v>
      </c>
      <c r="P53" s="1318" t="s">
        <v>838</v>
      </c>
      <c r="Q53" s="1319">
        <f ca="1">Q47+Q48</f>
        <v>-14477</v>
      </c>
      <c r="R53" s="1319" t="s">
        <v>410</v>
      </c>
    </row>
    <row r="54" spans="1:18" s="1284" customFormat="1" ht="26.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0.36399999999999999</v>
      </c>
      <c r="K55" s="1342" t="s">
        <v>841</v>
      </c>
      <c r="L55" s="1343"/>
      <c r="O55" s="1310" t="s">
        <v>811</v>
      </c>
      <c r="P55" s="1311" t="s">
        <v>812</v>
      </c>
      <c r="Q55" s="1312" t="s">
        <v>813</v>
      </c>
      <c r="R55" s="1312" t="s">
        <v>814</v>
      </c>
    </row>
    <row r="56" spans="1:18" s="1284" customFormat="1" ht="40" thickTop="1" thickBot="1">
      <c r="A56" s="896">
        <v>2</v>
      </c>
      <c r="B56" s="897" t="s">
        <v>704</v>
      </c>
      <c r="C56" s="218">
        <f ca="1">C13</f>
        <v>62743</v>
      </c>
      <c r="D56" s="1344"/>
      <c r="E56" s="1345"/>
      <c r="F56" s="1337"/>
      <c r="I56" s="1346" t="s">
        <v>842</v>
      </c>
      <c r="J56" s="1347" t="s">
        <v>3622</v>
      </c>
      <c r="K56" s="1320" t="s">
        <v>843</v>
      </c>
      <c r="L56" s="1323" t="str">
        <f ca="1">IF(L48&lt;J51,"——",L48-J53)</f>
        <v>——</v>
      </c>
      <c r="O56" s="1317" t="s">
        <v>403</v>
      </c>
      <c r="P56" s="1318" t="s">
        <v>817</v>
      </c>
      <c r="Q56" s="1319">
        <f ca="1">C40+J29</f>
        <v>-19327</v>
      </c>
      <c r="R56" s="1319" t="s">
        <v>818</v>
      </c>
    </row>
    <row r="57" spans="1:18" s="1284" customFormat="1" ht="26.5" thickBot="1">
      <c r="A57" s="1348"/>
      <c r="B57" s="889" t="s">
        <v>767</v>
      </c>
      <c r="C57" s="224">
        <f ca="1">C29</f>
        <v>74694</v>
      </c>
      <c r="D57" s="1349"/>
      <c r="E57" s="1350"/>
      <c r="F57" s="1351"/>
      <c r="I57" s="1352" t="s">
        <v>844</v>
      </c>
      <c r="J57" s="1353">
        <f ca="1">IF(OR(M47="住宅",J51&lt;L48,J56="是"),"——",J51-L48)</f>
        <v>21.86</v>
      </c>
      <c r="K57" s="1320" t="s">
        <v>845</v>
      </c>
      <c r="L57" s="1323" t="str">
        <f ca="1">IF(L48&lt;J51,"——",IF(L55="比较法",L49,IF(L55="基准地价",L50,L51)))</f>
        <v>——</v>
      </c>
      <c r="O57" s="1317" t="s">
        <v>404</v>
      </c>
      <c r="P57" s="1318" t="s">
        <v>846</v>
      </c>
      <c r="Q57" s="1319">
        <f ca="1">L60</f>
        <v>0</v>
      </c>
      <c r="R57" s="1319" t="s">
        <v>847</v>
      </c>
    </row>
    <row r="58" spans="1:18" s="1284" customFormat="1" ht="26.5" thickBot="1">
      <c r="A58" s="301" t="s">
        <v>393</v>
      </c>
      <c r="B58" s="897" t="s">
        <v>714</v>
      </c>
      <c r="C58" s="302">
        <f ca="1">ROUND(C59+C64+C65+C66,0)</f>
        <v>810</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6.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29878</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4850</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1.2E-2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-19327</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746.94</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62.74</v>
      </c>
      <c r="D65" s="903" t="s">
        <v>743</v>
      </c>
      <c r="E65" s="889" t="s">
        <v>744</v>
      </c>
      <c r="F65" s="315">
        <f t="shared" ca="1" si="0"/>
        <v>1E-3</v>
      </c>
      <c r="I65" s="1359" t="s">
        <v>867</v>
      </c>
      <c r="J65" s="604">
        <v>40</v>
      </c>
      <c r="K65" s="604">
        <v>30</v>
      </c>
      <c r="L65" s="604">
        <v>50</v>
      </c>
      <c r="M65" s="1361">
        <v>0.02</v>
      </c>
      <c r="O65" s="1317" t="s">
        <v>403</v>
      </c>
      <c r="P65" s="1318" t="s">
        <v>868</v>
      </c>
      <c r="Q65" s="1319">
        <f ca="1">C40+J29</f>
        <v>-19327</v>
      </c>
      <c r="R65" s="1319" t="s">
        <v>818</v>
      </c>
    </row>
    <row r="66" spans="1:18" s="1284" customFormat="1" ht="16"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26.5" thickBot="1">
      <c r="A67" s="896" t="s">
        <v>394</v>
      </c>
      <c r="B67" s="906" t="s">
        <v>752</v>
      </c>
      <c r="C67" s="302">
        <f ca="1">C48-C58</f>
        <v>-810</v>
      </c>
      <c r="D67" s="902" t="s">
        <v>753</v>
      </c>
      <c r="E67" s="907"/>
      <c r="F67" s="908"/>
      <c r="O67" s="1326" t="s">
        <v>405</v>
      </c>
      <c r="P67" s="1318" t="s">
        <v>850</v>
      </c>
      <c r="Q67" s="1362">
        <f ca="1">L51</f>
        <v>-104812</v>
      </c>
      <c r="R67" s="1319" t="s">
        <v>870</v>
      </c>
    </row>
    <row r="68" spans="1:18" s="1284" customFormat="1" ht="16" thickBot="1">
      <c r="A68" s="886" t="s">
        <v>395</v>
      </c>
      <c r="B68" s="887" t="s">
        <v>774</v>
      </c>
      <c r="C68" s="287">
        <f ca="1">ROUND(C67*(1-((1+F70)/(1+F68))^F69)/(F68-F70),0)</f>
        <v>-10894</v>
      </c>
      <c r="D68" s="904" t="s">
        <v>758</v>
      </c>
      <c r="E68" s="889" t="s">
        <v>759</v>
      </c>
      <c r="F68" s="298">
        <f ca="1">F40</f>
        <v>5.5E-2</v>
      </c>
      <c r="O68" s="1326" t="s">
        <v>406</v>
      </c>
      <c r="P68" s="1363" t="s">
        <v>871</v>
      </c>
      <c r="Q68" s="1319">
        <f ca="1">ROUND(Q69-Q70*Q71,0)</f>
        <v>-5829</v>
      </c>
      <c r="R68" s="1319" t="s">
        <v>414</v>
      </c>
    </row>
    <row r="69" spans="1:18" s="1284" customFormat="1" ht="13.5" thickBot="1">
      <c r="A69" s="890"/>
      <c r="B69" s="891"/>
      <c r="C69" s="292"/>
      <c r="D69" s="909" t="s">
        <v>762</v>
      </c>
      <c r="E69" s="889" t="s">
        <v>763</v>
      </c>
      <c r="F69" s="318">
        <f ca="1">F41</f>
        <v>25.14</v>
      </c>
      <c r="O69" s="1326" t="s">
        <v>411</v>
      </c>
      <c r="P69" s="1363" t="s">
        <v>872</v>
      </c>
      <c r="Q69" s="1319">
        <f ca="1">C39</f>
        <v>-1437</v>
      </c>
      <c r="R69" s="1319" t="s">
        <v>818</v>
      </c>
    </row>
    <row r="70" spans="1:18" s="1284" customFormat="1" ht="13.5" thickBot="1">
      <c r="A70" s="893"/>
      <c r="B70" s="894"/>
      <c r="C70" s="296"/>
      <c r="D70" s="905"/>
      <c r="E70" s="889" t="s">
        <v>766</v>
      </c>
      <c r="F70" s="984"/>
      <c r="O70" s="1326" t="s">
        <v>412</v>
      </c>
      <c r="P70" s="1363" t="s">
        <v>873</v>
      </c>
      <c r="Q70" s="1319">
        <f ca="1">C13</f>
        <v>62743</v>
      </c>
      <c r="R70" s="1319" t="s">
        <v>818</v>
      </c>
    </row>
    <row r="71" spans="1:18" s="1284" customFormat="1" ht="13.5" thickBot="1">
      <c r="A71" s="910" t="s">
        <v>396</v>
      </c>
      <c r="B71" s="911" t="s">
        <v>776</v>
      </c>
      <c r="C71" s="321">
        <f ca="1">ROUND(C68*10000/F71,0)</f>
        <v>-2605</v>
      </c>
      <c r="D71" s="912" t="s">
        <v>777</v>
      </c>
      <c r="E71" s="913" t="s">
        <v>778</v>
      </c>
      <c r="F71" s="324">
        <f ca="1">F43</f>
        <v>41819.959999999992</v>
      </c>
      <c r="O71" s="1326" t="s">
        <v>413</v>
      </c>
      <c r="P71" s="1363" t="s">
        <v>874</v>
      </c>
      <c r="Q71" s="1329">
        <f ca="1">C76</f>
        <v>7.0000000000000007E-2</v>
      </c>
      <c r="R71" s="1319"/>
    </row>
    <row r="72" spans="1:18" s="1284" customFormat="1" ht="13.5" thickBot="1">
      <c r="B72" s="677"/>
      <c r="C72" s="677"/>
      <c r="O72" s="1326" t="s">
        <v>407</v>
      </c>
      <c r="P72" s="1318" t="s">
        <v>852</v>
      </c>
      <c r="Q72" s="1329">
        <f>L52</f>
        <v>0</v>
      </c>
      <c r="R72" s="1319"/>
    </row>
    <row r="73" spans="1:18" ht="16"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4392</v>
      </c>
      <c r="D75" s="1284"/>
      <c r="E75" s="1284"/>
      <c r="F75" s="1284"/>
      <c r="K75" s="1301"/>
      <c r="L75" s="1284"/>
      <c r="O75" s="1317" t="s">
        <v>409</v>
      </c>
      <c r="P75" s="1318" t="s">
        <v>838</v>
      </c>
      <c r="Q75" s="1319">
        <f ca="1">Q65+Q66</f>
        <v>-19327</v>
      </c>
      <c r="R75" s="1319" t="s">
        <v>410</v>
      </c>
    </row>
    <row r="76" spans="1:18" ht="13">
      <c r="B76" s="327" t="s">
        <v>796</v>
      </c>
      <c r="C76" s="328">
        <f ca="1">INDIRECT("'数据-取费表'!j"&amp;$G$1)</f>
        <v>7.0000000000000007E-2</v>
      </c>
      <c r="I76" s="1284"/>
      <c r="J76" s="1284"/>
      <c r="K76" s="1301"/>
      <c r="L76" s="1284"/>
    </row>
    <row r="77" spans="1:18" ht="13.5">
      <c r="B77" s="329" t="s">
        <v>797</v>
      </c>
      <c r="C77" s="330"/>
      <c r="I77" s="1284"/>
      <c r="J77" s="1284"/>
      <c r="K77" s="1301"/>
      <c r="L77" s="1284"/>
    </row>
    <row r="78" spans="1:18" ht="13.5">
      <c r="B78" s="256" t="s">
        <v>798</v>
      </c>
      <c r="C78" s="331"/>
    </row>
    <row r="79" spans="1:18" ht="13">
      <c r="B79" s="325" t="s">
        <v>799</v>
      </c>
      <c r="C79" s="260">
        <f ca="1">1-C80</f>
        <v>4.056</v>
      </c>
    </row>
    <row r="80" spans="1:18" ht="13">
      <c r="B80" s="325" t="s">
        <v>800</v>
      </c>
      <c r="C80" s="260">
        <f ca="1">ROUND(C75/C39,3)</f>
        <v>-3.056</v>
      </c>
    </row>
    <row r="81" spans="2:3" ht="13.5">
      <c r="B81" s="256" t="s">
        <v>801</v>
      </c>
      <c r="C81" s="224"/>
    </row>
    <row r="82" spans="2:3" ht="13">
      <c r="B82" s="259" t="s">
        <v>802</v>
      </c>
      <c r="C82" s="261">
        <f ca="1">1-C83</f>
        <v>4.2460000000000004</v>
      </c>
    </row>
    <row r="83" spans="2:3" ht="13">
      <c r="B83" s="259" t="s">
        <v>803</v>
      </c>
      <c r="C83" s="260">
        <f ca="1">ROUND(C13/C40,3)</f>
        <v>-3.246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44" customWidth="1"/>
    <col min="2" max="2" width="20.6328125" style="619" customWidth="1"/>
    <col min="3" max="3" width="11.90625" style="619" customWidth="1"/>
    <col min="4" max="4" width="40.453125" style="244" customWidth="1"/>
    <col min="5" max="5" width="15.7265625" style="244" customWidth="1"/>
    <col min="6" max="6" width="10.6328125" style="244" customWidth="1"/>
    <col min="7" max="7" width="4.90625" style="244" customWidth="1"/>
    <col min="8" max="8" width="8.453125" style="244" customWidth="1"/>
    <col min="9" max="9" width="21.26953125" style="244" customWidth="1"/>
    <col min="10" max="10" width="12.26953125" style="244" customWidth="1"/>
    <col min="11" max="11" width="40.08984375" style="1364" customWidth="1"/>
    <col min="12" max="12" width="16.36328125" style="244" customWidth="1"/>
    <col min="13" max="13" width="13" style="244" customWidth="1"/>
    <col min="14" max="14" width="13.7265625" style="1284" customWidth="1"/>
    <col min="15" max="15" width="5.08984375" style="1284" customWidth="1"/>
    <col min="16" max="16" width="25.7265625" style="1284" customWidth="1"/>
    <col min="17" max="17" width="13.7265625" style="1284" customWidth="1"/>
    <col min="18" max="18" width="20.453125" style="1284" customWidth="1"/>
    <col min="19" max="19" width="13.269531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2"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398" t="s">
        <v>694</v>
      </c>
      <c r="C6" s="1004">
        <f ca="1">ROUND(F6*F8*F7*(1-F9),0)</f>
        <v>0</v>
      </c>
      <c r="D6" s="141" t="s">
        <v>2106</v>
      </c>
      <c r="E6" s="288" t="s">
        <v>696</v>
      </c>
      <c r="F6" s="289">
        <f ca="1">INDIRECT("'数据-取费表'!u"&amp;$G$1)</f>
        <v>0</v>
      </c>
      <c r="G6" s="1284"/>
      <c r="H6" s="999" t="s">
        <v>398</v>
      </c>
      <c r="I6" s="3398" t="s">
        <v>694</v>
      </c>
      <c r="J6" s="287">
        <f ca="1">ROUND(M6*M8*M7*(1-M9),0)</f>
        <v>0</v>
      </c>
      <c r="K6" s="1276" t="s">
        <v>2107</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0</v>
      </c>
      <c r="G7" s="1284"/>
      <c r="H7" s="290"/>
      <c r="I7" s="3399"/>
      <c r="J7" s="292"/>
      <c r="K7" s="293"/>
      <c r="L7" s="288" t="s">
        <v>697</v>
      </c>
      <c r="M7" s="289">
        <f ca="1">F7</f>
        <v>0</v>
      </c>
    </row>
    <row r="8" spans="1:37" ht="18" customHeight="1">
      <c r="A8" s="290"/>
      <c r="B8" s="3399"/>
      <c r="C8" s="292"/>
      <c r="D8" s="293"/>
      <c r="E8" s="288" t="s">
        <v>698</v>
      </c>
      <c r="F8" s="289">
        <f ca="1">INDIRECT("'数据-取费表'!ai"&amp;$G$1)</f>
        <v>0</v>
      </c>
      <c r="G8" s="1284"/>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0.02</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5"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8" t="s">
        <v>3347</v>
      </c>
      <c r="B45" s="1299"/>
      <c r="C45" s="1368" t="e">
        <f ca="1">ROUND((C68-C40)/10000,4)</f>
        <v>#DIV/0!</v>
      </c>
      <c r="D45" s="3119" t="s">
        <v>3348</v>
      </c>
      <c r="E45" s="1299"/>
      <c r="F45" s="1299"/>
      <c r="O45" s="1302" t="s">
        <v>808</v>
      </c>
      <c r="P45" s="1358"/>
      <c r="Q45" s="1358"/>
      <c r="R45" s="1358"/>
    </row>
    <row r="46" spans="1:18" s="1284" customFormat="1" ht="14"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43.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396" t="s">
        <v>837</v>
      </c>
      <c r="L53" s="3397"/>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6.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6.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6.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2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ht="13">
      <c r="B76" s="327" t="s">
        <v>796</v>
      </c>
      <c r="C76" s="328">
        <f ca="1">INDIRECT("'数据-取费表'!j"&amp;$G$1)</f>
        <v>0</v>
      </c>
      <c r="I76" s="1284"/>
      <c r="J76" s="1284"/>
      <c r="K76" s="1301"/>
      <c r="L76" s="1284"/>
    </row>
    <row r="77" spans="1:18" ht="13.5">
      <c r="B77" s="329" t="s">
        <v>797</v>
      </c>
      <c r="C77" s="330"/>
      <c r="I77" s="1284"/>
      <c r="J77" s="1284"/>
      <c r="K77" s="1301"/>
      <c r="L77" s="1284"/>
    </row>
    <row r="78" spans="1:18" ht="13.5">
      <c r="B78" s="256" t="s">
        <v>798</v>
      </c>
      <c r="C78" s="331"/>
    </row>
    <row r="79" spans="1:18" ht="13">
      <c r="B79" s="325" t="s">
        <v>799</v>
      </c>
      <c r="C79" s="260" t="e">
        <f ca="1">1-C80</f>
        <v>#DIV/0!</v>
      </c>
    </row>
    <row r="80" spans="1:18" ht="13">
      <c r="B80" s="325" t="s">
        <v>800</v>
      </c>
      <c r="C80" s="260" t="e">
        <f ca="1">ROUND(C75/C39,3)</f>
        <v>#DIV/0!</v>
      </c>
    </row>
    <row r="81" spans="2:3" ht="13.5">
      <c r="B81" s="256" t="s">
        <v>801</v>
      </c>
      <c r="C81" s="224"/>
    </row>
    <row r="82" spans="2:3" ht="13">
      <c r="B82" s="259" t="s">
        <v>802</v>
      </c>
      <c r="C82" s="261" t="e">
        <f ca="1">1-C83</f>
        <v>#DIV/0!</v>
      </c>
    </row>
    <row r="83" spans="2:3" ht="1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5" sqref="F35"/>
    </sheetView>
  </sheetViews>
  <sheetFormatPr defaultRowHeight="13.15" customHeight="1"/>
  <cols>
    <col min="1" max="1" width="9.453125" style="2583" customWidth="1"/>
    <col min="2" max="2" width="8.90625" style="2583"/>
    <col min="3" max="5" width="12.90625" style="2583" customWidth="1"/>
    <col min="6" max="6" width="47.453125" style="2583" customWidth="1"/>
    <col min="7" max="7" width="13" style="2577" customWidth="1"/>
    <col min="8" max="8" width="8.90625" style="2577"/>
    <col min="9" max="9" width="8.90625" style="2578"/>
    <col min="10" max="10" width="5.7265625" style="2736" customWidth="1"/>
    <col min="11" max="11" width="11.7265625" style="2736" customWidth="1"/>
    <col min="12" max="13" width="10.7265625" style="2736" customWidth="1"/>
    <col min="14" max="14" width="10" style="2736" customWidth="1"/>
    <col min="15" max="16" width="10.453125" style="2736" bestFit="1" customWidth="1"/>
    <col min="17" max="17" width="10" style="2736" customWidth="1"/>
    <col min="18" max="18" width="10.08984375" style="2736" customWidth="1"/>
    <col min="19" max="19" width="10" style="2736" customWidth="1"/>
    <col min="20" max="20" width="26.08984375" style="2736" customWidth="1"/>
    <col min="21" max="21" width="8.90625" style="2736"/>
    <col min="22" max="22" width="8.90625" style="2578"/>
    <col min="23" max="256" width="8.90625" style="2583"/>
    <col min="257" max="257" width="9.453125" style="2583" customWidth="1"/>
    <col min="258" max="258" width="8.90625" style="2583"/>
    <col min="259" max="261" width="12.90625" style="2583" customWidth="1"/>
    <col min="262" max="262" width="47.453125" style="2583" customWidth="1"/>
    <col min="263" max="263" width="13" style="2583" customWidth="1"/>
    <col min="264" max="265" width="8.90625" style="2583"/>
    <col min="266" max="266" width="5.7265625" style="2583" customWidth="1"/>
    <col min="267" max="267" width="11.7265625" style="2583" customWidth="1"/>
    <col min="268" max="269" width="10.7265625" style="2583" customWidth="1"/>
    <col min="270" max="270" width="10" style="2583" customWidth="1"/>
    <col min="271" max="272" width="10.453125" style="2583" bestFit="1" customWidth="1"/>
    <col min="273" max="273" width="10" style="2583" customWidth="1"/>
    <col min="274" max="274" width="10.08984375" style="2583" customWidth="1"/>
    <col min="275" max="275" width="10" style="2583" customWidth="1"/>
    <col min="276" max="276" width="26.08984375" style="2583" customWidth="1"/>
    <col min="277" max="512" width="8.90625" style="2583"/>
    <col min="513" max="513" width="9.453125" style="2583" customWidth="1"/>
    <col min="514" max="514" width="8.90625" style="2583"/>
    <col min="515" max="517" width="12.90625" style="2583" customWidth="1"/>
    <col min="518" max="518" width="47.453125" style="2583" customWidth="1"/>
    <col min="519" max="519" width="13" style="2583" customWidth="1"/>
    <col min="520" max="521" width="8.90625" style="2583"/>
    <col min="522" max="522" width="5.7265625" style="2583" customWidth="1"/>
    <col min="523" max="523" width="11.7265625" style="2583" customWidth="1"/>
    <col min="524" max="525" width="10.7265625" style="2583" customWidth="1"/>
    <col min="526" max="526" width="10" style="2583" customWidth="1"/>
    <col min="527" max="528" width="10.453125" style="2583" bestFit="1" customWidth="1"/>
    <col min="529" max="529" width="10" style="2583" customWidth="1"/>
    <col min="530" max="530" width="10.08984375" style="2583" customWidth="1"/>
    <col min="531" max="531" width="10" style="2583" customWidth="1"/>
    <col min="532" max="532" width="26.08984375" style="2583" customWidth="1"/>
    <col min="533" max="768" width="8.90625" style="2583"/>
    <col min="769" max="769" width="9.453125" style="2583" customWidth="1"/>
    <col min="770" max="770" width="8.90625" style="2583"/>
    <col min="771" max="773" width="12.90625" style="2583" customWidth="1"/>
    <col min="774" max="774" width="47.453125" style="2583" customWidth="1"/>
    <col min="775" max="775" width="13" style="2583" customWidth="1"/>
    <col min="776" max="777" width="8.90625" style="2583"/>
    <col min="778" max="778" width="5.7265625" style="2583" customWidth="1"/>
    <col min="779" max="779" width="11.7265625" style="2583" customWidth="1"/>
    <col min="780" max="781" width="10.7265625" style="2583" customWidth="1"/>
    <col min="782" max="782" width="10" style="2583" customWidth="1"/>
    <col min="783" max="784" width="10.453125" style="2583" bestFit="1" customWidth="1"/>
    <col min="785" max="785" width="10" style="2583" customWidth="1"/>
    <col min="786" max="786" width="10.08984375" style="2583" customWidth="1"/>
    <col min="787" max="787" width="10" style="2583" customWidth="1"/>
    <col min="788" max="788" width="26.08984375" style="2583" customWidth="1"/>
    <col min="789" max="1024" width="8.90625" style="2583"/>
    <col min="1025" max="1025" width="9.453125" style="2583" customWidth="1"/>
    <col min="1026" max="1026" width="8.90625" style="2583"/>
    <col min="1027" max="1029" width="12.90625" style="2583" customWidth="1"/>
    <col min="1030" max="1030" width="47.453125" style="2583" customWidth="1"/>
    <col min="1031" max="1031" width="13" style="2583" customWidth="1"/>
    <col min="1032" max="1033" width="8.90625" style="2583"/>
    <col min="1034" max="1034" width="5.7265625" style="2583" customWidth="1"/>
    <col min="1035" max="1035" width="11.7265625" style="2583" customWidth="1"/>
    <col min="1036" max="1037" width="10.7265625" style="2583" customWidth="1"/>
    <col min="1038" max="1038" width="10" style="2583" customWidth="1"/>
    <col min="1039" max="1040" width="10.453125" style="2583" bestFit="1" customWidth="1"/>
    <col min="1041" max="1041" width="10" style="2583" customWidth="1"/>
    <col min="1042" max="1042" width="10.08984375" style="2583" customWidth="1"/>
    <col min="1043" max="1043" width="10" style="2583" customWidth="1"/>
    <col min="1044" max="1044" width="26.08984375" style="2583" customWidth="1"/>
    <col min="1045" max="1280" width="8.90625" style="2583"/>
    <col min="1281" max="1281" width="9.453125" style="2583" customWidth="1"/>
    <col min="1282" max="1282" width="8.90625" style="2583"/>
    <col min="1283" max="1285" width="12.90625" style="2583" customWidth="1"/>
    <col min="1286" max="1286" width="47.453125" style="2583" customWidth="1"/>
    <col min="1287" max="1287" width="13" style="2583" customWidth="1"/>
    <col min="1288" max="1289" width="8.90625" style="2583"/>
    <col min="1290" max="1290" width="5.7265625" style="2583" customWidth="1"/>
    <col min="1291" max="1291" width="11.7265625" style="2583" customWidth="1"/>
    <col min="1292" max="1293" width="10.7265625" style="2583" customWidth="1"/>
    <col min="1294" max="1294" width="10" style="2583" customWidth="1"/>
    <col min="1295" max="1296" width="10.453125" style="2583" bestFit="1" customWidth="1"/>
    <col min="1297" max="1297" width="10" style="2583" customWidth="1"/>
    <col min="1298" max="1298" width="10.08984375" style="2583" customWidth="1"/>
    <col min="1299" max="1299" width="10" style="2583" customWidth="1"/>
    <col min="1300" max="1300" width="26.08984375" style="2583" customWidth="1"/>
    <col min="1301" max="1536" width="8.90625" style="2583"/>
    <col min="1537" max="1537" width="9.453125" style="2583" customWidth="1"/>
    <col min="1538" max="1538" width="8.90625" style="2583"/>
    <col min="1539" max="1541" width="12.90625" style="2583" customWidth="1"/>
    <col min="1542" max="1542" width="47.453125" style="2583" customWidth="1"/>
    <col min="1543" max="1543" width="13" style="2583" customWidth="1"/>
    <col min="1544" max="1545" width="8.90625" style="2583"/>
    <col min="1546" max="1546" width="5.7265625" style="2583" customWidth="1"/>
    <col min="1547" max="1547" width="11.7265625" style="2583" customWidth="1"/>
    <col min="1548" max="1549" width="10.7265625" style="2583" customWidth="1"/>
    <col min="1550" max="1550" width="10" style="2583" customWidth="1"/>
    <col min="1551" max="1552" width="10.453125" style="2583" bestFit="1" customWidth="1"/>
    <col min="1553" max="1553" width="10" style="2583" customWidth="1"/>
    <col min="1554" max="1554" width="10.08984375" style="2583" customWidth="1"/>
    <col min="1555" max="1555" width="10" style="2583" customWidth="1"/>
    <col min="1556" max="1556" width="26.08984375" style="2583" customWidth="1"/>
    <col min="1557" max="1792" width="8.90625" style="2583"/>
    <col min="1793" max="1793" width="9.453125" style="2583" customWidth="1"/>
    <col min="1794" max="1794" width="8.90625" style="2583"/>
    <col min="1795" max="1797" width="12.90625" style="2583" customWidth="1"/>
    <col min="1798" max="1798" width="47.453125" style="2583" customWidth="1"/>
    <col min="1799" max="1799" width="13" style="2583" customWidth="1"/>
    <col min="1800" max="1801" width="8.90625" style="2583"/>
    <col min="1802" max="1802" width="5.7265625" style="2583" customWidth="1"/>
    <col min="1803" max="1803" width="11.7265625" style="2583" customWidth="1"/>
    <col min="1804" max="1805" width="10.7265625" style="2583" customWidth="1"/>
    <col min="1806" max="1806" width="10" style="2583" customWidth="1"/>
    <col min="1807" max="1808" width="10.453125" style="2583" bestFit="1" customWidth="1"/>
    <col min="1809" max="1809" width="10" style="2583" customWidth="1"/>
    <col min="1810" max="1810" width="10.08984375" style="2583" customWidth="1"/>
    <col min="1811" max="1811" width="10" style="2583" customWidth="1"/>
    <col min="1812" max="1812" width="26.08984375" style="2583" customWidth="1"/>
    <col min="1813" max="2048" width="8.90625" style="2583"/>
    <col min="2049" max="2049" width="9.453125" style="2583" customWidth="1"/>
    <col min="2050" max="2050" width="8.90625" style="2583"/>
    <col min="2051" max="2053" width="12.90625" style="2583" customWidth="1"/>
    <col min="2054" max="2054" width="47.453125" style="2583" customWidth="1"/>
    <col min="2055" max="2055" width="13" style="2583" customWidth="1"/>
    <col min="2056" max="2057" width="8.90625" style="2583"/>
    <col min="2058" max="2058" width="5.7265625" style="2583" customWidth="1"/>
    <col min="2059" max="2059" width="11.7265625" style="2583" customWidth="1"/>
    <col min="2060" max="2061" width="10.7265625" style="2583" customWidth="1"/>
    <col min="2062" max="2062" width="10" style="2583" customWidth="1"/>
    <col min="2063" max="2064" width="10.453125" style="2583" bestFit="1" customWidth="1"/>
    <col min="2065" max="2065" width="10" style="2583" customWidth="1"/>
    <col min="2066" max="2066" width="10.08984375" style="2583" customWidth="1"/>
    <col min="2067" max="2067" width="10" style="2583" customWidth="1"/>
    <col min="2068" max="2068" width="26.08984375" style="2583" customWidth="1"/>
    <col min="2069" max="2304" width="8.90625" style="2583"/>
    <col min="2305" max="2305" width="9.453125" style="2583" customWidth="1"/>
    <col min="2306" max="2306" width="8.90625" style="2583"/>
    <col min="2307" max="2309" width="12.90625" style="2583" customWidth="1"/>
    <col min="2310" max="2310" width="47.453125" style="2583" customWidth="1"/>
    <col min="2311" max="2311" width="13" style="2583" customWidth="1"/>
    <col min="2312" max="2313" width="8.90625" style="2583"/>
    <col min="2314" max="2314" width="5.7265625" style="2583" customWidth="1"/>
    <col min="2315" max="2315" width="11.7265625" style="2583" customWidth="1"/>
    <col min="2316" max="2317" width="10.7265625" style="2583" customWidth="1"/>
    <col min="2318" max="2318" width="10" style="2583" customWidth="1"/>
    <col min="2319" max="2320" width="10.453125" style="2583" bestFit="1" customWidth="1"/>
    <col min="2321" max="2321" width="10" style="2583" customWidth="1"/>
    <col min="2322" max="2322" width="10.08984375" style="2583" customWidth="1"/>
    <col min="2323" max="2323" width="10" style="2583" customWidth="1"/>
    <col min="2324" max="2324" width="26.08984375" style="2583" customWidth="1"/>
    <col min="2325" max="2560" width="8.90625" style="2583"/>
    <col min="2561" max="2561" width="9.453125" style="2583" customWidth="1"/>
    <col min="2562" max="2562" width="8.90625" style="2583"/>
    <col min="2563" max="2565" width="12.90625" style="2583" customWidth="1"/>
    <col min="2566" max="2566" width="47.453125" style="2583" customWidth="1"/>
    <col min="2567" max="2567" width="13" style="2583" customWidth="1"/>
    <col min="2568" max="2569" width="8.90625" style="2583"/>
    <col min="2570" max="2570" width="5.7265625" style="2583" customWidth="1"/>
    <col min="2571" max="2571" width="11.7265625" style="2583" customWidth="1"/>
    <col min="2572" max="2573" width="10.7265625" style="2583" customWidth="1"/>
    <col min="2574" max="2574" width="10" style="2583" customWidth="1"/>
    <col min="2575" max="2576" width="10.453125" style="2583" bestFit="1" customWidth="1"/>
    <col min="2577" max="2577" width="10" style="2583" customWidth="1"/>
    <col min="2578" max="2578" width="10.08984375" style="2583" customWidth="1"/>
    <col min="2579" max="2579" width="10" style="2583" customWidth="1"/>
    <col min="2580" max="2580" width="26.08984375" style="2583" customWidth="1"/>
    <col min="2581" max="2816" width="8.90625" style="2583"/>
    <col min="2817" max="2817" width="9.453125" style="2583" customWidth="1"/>
    <col min="2818" max="2818" width="8.90625" style="2583"/>
    <col min="2819" max="2821" width="12.90625" style="2583" customWidth="1"/>
    <col min="2822" max="2822" width="47.453125" style="2583" customWidth="1"/>
    <col min="2823" max="2823" width="13" style="2583" customWidth="1"/>
    <col min="2824" max="2825" width="8.90625" style="2583"/>
    <col min="2826" max="2826" width="5.7265625" style="2583" customWidth="1"/>
    <col min="2827" max="2827" width="11.7265625" style="2583" customWidth="1"/>
    <col min="2828" max="2829" width="10.7265625" style="2583" customWidth="1"/>
    <col min="2830" max="2830" width="10" style="2583" customWidth="1"/>
    <col min="2831" max="2832" width="10.453125" style="2583" bestFit="1" customWidth="1"/>
    <col min="2833" max="2833" width="10" style="2583" customWidth="1"/>
    <col min="2834" max="2834" width="10.08984375" style="2583" customWidth="1"/>
    <col min="2835" max="2835" width="10" style="2583" customWidth="1"/>
    <col min="2836" max="2836" width="26.08984375" style="2583" customWidth="1"/>
    <col min="2837" max="3072" width="8.90625" style="2583"/>
    <col min="3073" max="3073" width="9.453125" style="2583" customWidth="1"/>
    <col min="3074" max="3074" width="8.90625" style="2583"/>
    <col min="3075" max="3077" width="12.90625" style="2583" customWidth="1"/>
    <col min="3078" max="3078" width="47.453125" style="2583" customWidth="1"/>
    <col min="3079" max="3079" width="13" style="2583" customWidth="1"/>
    <col min="3080" max="3081" width="8.90625" style="2583"/>
    <col min="3082" max="3082" width="5.7265625" style="2583" customWidth="1"/>
    <col min="3083" max="3083" width="11.7265625" style="2583" customWidth="1"/>
    <col min="3084" max="3085" width="10.7265625" style="2583" customWidth="1"/>
    <col min="3086" max="3086" width="10" style="2583" customWidth="1"/>
    <col min="3087" max="3088" width="10.453125" style="2583" bestFit="1" customWidth="1"/>
    <col min="3089" max="3089" width="10" style="2583" customWidth="1"/>
    <col min="3090" max="3090" width="10.08984375" style="2583" customWidth="1"/>
    <col min="3091" max="3091" width="10" style="2583" customWidth="1"/>
    <col min="3092" max="3092" width="26.08984375" style="2583" customWidth="1"/>
    <col min="3093" max="3328" width="8.90625" style="2583"/>
    <col min="3329" max="3329" width="9.453125" style="2583" customWidth="1"/>
    <col min="3330" max="3330" width="8.90625" style="2583"/>
    <col min="3331" max="3333" width="12.90625" style="2583" customWidth="1"/>
    <col min="3334" max="3334" width="47.453125" style="2583" customWidth="1"/>
    <col min="3335" max="3335" width="13" style="2583" customWidth="1"/>
    <col min="3336" max="3337" width="8.90625" style="2583"/>
    <col min="3338" max="3338" width="5.7265625" style="2583" customWidth="1"/>
    <col min="3339" max="3339" width="11.7265625" style="2583" customWidth="1"/>
    <col min="3340" max="3341" width="10.7265625" style="2583" customWidth="1"/>
    <col min="3342" max="3342" width="10" style="2583" customWidth="1"/>
    <col min="3343" max="3344" width="10.453125" style="2583" bestFit="1" customWidth="1"/>
    <col min="3345" max="3345" width="10" style="2583" customWidth="1"/>
    <col min="3346" max="3346" width="10.08984375" style="2583" customWidth="1"/>
    <col min="3347" max="3347" width="10" style="2583" customWidth="1"/>
    <col min="3348" max="3348" width="26.08984375" style="2583" customWidth="1"/>
    <col min="3349" max="3584" width="8.90625" style="2583"/>
    <col min="3585" max="3585" width="9.453125" style="2583" customWidth="1"/>
    <col min="3586" max="3586" width="8.90625" style="2583"/>
    <col min="3587" max="3589" width="12.90625" style="2583" customWidth="1"/>
    <col min="3590" max="3590" width="47.453125" style="2583" customWidth="1"/>
    <col min="3591" max="3591" width="13" style="2583" customWidth="1"/>
    <col min="3592" max="3593" width="8.90625" style="2583"/>
    <col min="3594" max="3594" width="5.7265625" style="2583" customWidth="1"/>
    <col min="3595" max="3595" width="11.7265625" style="2583" customWidth="1"/>
    <col min="3596" max="3597" width="10.7265625" style="2583" customWidth="1"/>
    <col min="3598" max="3598" width="10" style="2583" customWidth="1"/>
    <col min="3599" max="3600" width="10.453125" style="2583" bestFit="1" customWidth="1"/>
    <col min="3601" max="3601" width="10" style="2583" customWidth="1"/>
    <col min="3602" max="3602" width="10.08984375" style="2583" customWidth="1"/>
    <col min="3603" max="3603" width="10" style="2583" customWidth="1"/>
    <col min="3604" max="3604" width="26.08984375" style="2583" customWidth="1"/>
    <col min="3605" max="3840" width="8.90625" style="2583"/>
    <col min="3841" max="3841" width="9.453125" style="2583" customWidth="1"/>
    <col min="3842" max="3842" width="8.90625" style="2583"/>
    <col min="3843" max="3845" width="12.90625" style="2583" customWidth="1"/>
    <col min="3846" max="3846" width="47.453125" style="2583" customWidth="1"/>
    <col min="3847" max="3847" width="13" style="2583" customWidth="1"/>
    <col min="3848" max="3849" width="8.90625" style="2583"/>
    <col min="3850" max="3850" width="5.7265625" style="2583" customWidth="1"/>
    <col min="3851" max="3851" width="11.7265625" style="2583" customWidth="1"/>
    <col min="3852" max="3853" width="10.7265625" style="2583" customWidth="1"/>
    <col min="3854" max="3854" width="10" style="2583" customWidth="1"/>
    <col min="3855" max="3856" width="10.453125" style="2583" bestFit="1" customWidth="1"/>
    <col min="3857" max="3857" width="10" style="2583" customWidth="1"/>
    <col min="3858" max="3858" width="10.08984375" style="2583" customWidth="1"/>
    <col min="3859" max="3859" width="10" style="2583" customWidth="1"/>
    <col min="3860" max="3860" width="26.08984375" style="2583" customWidth="1"/>
    <col min="3861" max="4096" width="8.90625" style="2583"/>
    <col min="4097" max="4097" width="9.453125" style="2583" customWidth="1"/>
    <col min="4098" max="4098" width="8.90625" style="2583"/>
    <col min="4099" max="4101" width="12.90625" style="2583" customWidth="1"/>
    <col min="4102" max="4102" width="47.453125" style="2583" customWidth="1"/>
    <col min="4103" max="4103" width="13" style="2583" customWidth="1"/>
    <col min="4104" max="4105" width="8.90625" style="2583"/>
    <col min="4106" max="4106" width="5.7265625" style="2583" customWidth="1"/>
    <col min="4107" max="4107" width="11.7265625" style="2583" customWidth="1"/>
    <col min="4108" max="4109" width="10.7265625" style="2583" customWidth="1"/>
    <col min="4110" max="4110" width="10" style="2583" customWidth="1"/>
    <col min="4111" max="4112" width="10.453125" style="2583" bestFit="1" customWidth="1"/>
    <col min="4113" max="4113" width="10" style="2583" customWidth="1"/>
    <col min="4114" max="4114" width="10.08984375" style="2583" customWidth="1"/>
    <col min="4115" max="4115" width="10" style="2583" customWidth="1"/>
    <col min="4116" max="4116" width="26.08984375" style="2583" customWidth="1"/>
    <col min="4117" max="4352" width="8.90625" style="2583"/>
    <col min="4353" max="4353" width="9.453125" style="2583" customWidth="1"/>
    <col min="4354" max="4354" width="8.90625" style="2583"/>
    <col min="4355" max="4357" width="12.90625" style="2583" customWidth="1"/>
    <col min="4358" max="4358" width="47.453125" style="2583" customWidth="1"/>
    <col min="4359" max="4359" width="13" style="2583" customWidth="1"/>
    <col min="4360" max="4361" width="8.90625" style="2583"/>
    <col min="4362" max="4362" width="5.7265625" style="2583" customWidth="1"/>
    <col min="4363" max="4363" width="11.7265625" style="2583" customWidth="1"/>
    <col min="4364" max="4365" width="10.7265625" style="2583" customWidth="1"/>
    <col min="4366" max="4366" width="10" style="2583" customWidth="1"/>
    <col min="4367" max="4368" width="10.453125" style="2583" bestFit="1" customWidth="1"/>
    <col min="4369" max="4369" width="10" style="2583" customWidth="1"/>
    <col min="4370" max="4370" width="10.08984375" style="2583" customWidth="1"/>
    <col min="4371" max="4371" width="10" style="2583" customWidth="1"/>
    <col min="4372" max="4372" width="26.08984375" style="2583" customWidth="1"/>
    <col min="4373" max="4608" width="8.90625" style="2583"/>
    <col min="4609" max="4609" width="9.453125" style="2583" customWidth="1"/>
    <col min="4610" max="4610" width="8.90625" style="2583"/>
    <col min="4611" max="4613" width="12.90625" style="2583" customWidth="1"/>
    <col min="4614" max="4614" width="47.453125" style="2583" customWidth="1"/>
    <col min="4615" max="4615" width="13" style="2583" customWidth="1"/>
    <col min="4616" max="4617" width="8.90625" style="2583"/>
    <col min="4618" max="4618" width="5.7265625" style="2583" customWidth="1"/>
    <col min="4619" max="4619" width="11.7265625" style="2583" customWidth="1"/>
    <col min="4620" max="4621" width="10.7265625" style="2583" customWidth="1"/>
    <col min="4622" max="4622" width="10" style="2583" customWidth="1"/>
    <col min="4623" max="4624" width="10.453125" style="2583" bestFit="1" customWidth="1"/>
    <col min="4625" max="4625" width="10" style="2583" customWidth="1"/>
    <col min="4626" max="4626" width="10.08984375" style="2583" customWidth="1"/>
    <col min="4627" max="4627" width="10" style="2583" customWidth="1"/>
    <col min="4628" max="4628" width="26.08984375" style="2583" customWidth="1"/>
    <col min="4629" max="4864" width="8.90625" style="2583"/>
    <col min="4865" max="4865" width="9.453125" style="2583" customWidth="1"/>
    <col min="4866" max="4866" width="8.90625" style="2583"/>
    <col min="4867" max="4869" width="12.90625" style="2583" customWidth="1"/>
    <col min="4870" max="4870" width="47.453125" style="2583" customWidth="1"/>
    <col min="4871" max="4871" width="13" style="2583" customWidth="1"/>
    <col min="4872" max="4873" width="8.90625" style="2583"/>
    <col min="4874" max="4874" width="5.7265625" style="2583" customWidth="1"/>
    <col min="4875" max="4875" width="11.7265625" style="2583" customWidth="1"/>
    <col min="4876" max="4877" width="10.7265625" style="2583" customWidth="1"/>
    <col min="4878" max="4878" width="10" style="2583" customWidth="1"/>
    <col min="4879" max="4880" width="10.453125" style="2583" bestFit="1" customWidth="1"/>
    <col min="4881" max="4881" width="10" style="2583" customWidth="1"/>
    <col min="4882" max="4882" width="10.08984375" style="2583" customWidth="1"/>
    <col min="4883" max="4883" width="10" style="2583" customWidth="1"/>
    <col min="4884" max="4884" width="26.08984375" style="2583" customWidth="1"/>
    <col min="4885" max="5120" width="8.90625" style="2583"/>
    <col min="5121" max="5121" width="9.453125" style="2583" customWidth="1"/>
    <col min="5122" max="5122" width="8.90625" style="2583"/>
    <col min="5123" max="5125" width="12.90625" style="2583" customWidth="1"/>
    <col min="5126" max="5126" width="47.453125" style="2583" customWidth="1"/>
    <col min="5127" max="5127" width="13" style="2583" customWidth="1"/>
    <col min="5128" max="5129" width="8.90625" style="2583"/>
    <col min="5130" max="5130" width="5.7265625" style="2583" customWidth="1"/>
    <col min="5131" max="5131" width="11.7265625" style="2583" customWidth="1"/>
    <col min="5132" max="5133" width="10.7265625" style="2583" customWidth="1"/>
    <col min="5134" max="5134" width="10" style="2583" customWidth="1"/>
    <col min="5135" max="5136" width="10.453125" style="2583" bestFit="1" customWidth="1"/>
    <col min="5137" max="5137" width="10" style="2583" customWidth="1"/>
    <col min="5138" max="5138" width="10.08984375" style="2583" customWidth="1"/>
    <col min="5139" max="5139" width="10" style="2583" customWidth="1"/>
    <col min="5140" max="5140" width="26.08984375" style="2583" customWidth="1"/>
    <col min="5141" max="5376" width="8.90625" style="2583"/>
    <col min="5377" max="5377" width="9.453125" style="2583" customWidth="1"/>
    <col min="5378" max="5378" width="8.90625" style="2583"/>
    <col min="5379" max="5381" width="12.90625" style="2583" customWidth="1"/>
    <col min="5382" max="5382" width="47.453125" style="2583" customWidth="1"/>
    <col min="5383" max="5383" width="13" style="2583" customWidth="1"/>
    <col min="5384" max="5385" width="8.90625" style="2583"/>
    <col min="5386" max="5386" width="5.7265625" style="2583" customWidth="1"/>
    <col min="5387" max="5387" width="11.7265625" style="2583" customWidth="1"/>
    <col min="5388" max="5389" width="10.7265625" style="2583" customWidth="1"/>
    <col min="5390" max="5390" width="10" style="2583" customWidth="1"/>
    <col min="5391" max="5392" width="10.453125" style="2583" bestFit="1" customWidth="1"/>
    <col min="5393" max="5393" width="10" style="2583" customWidth="1"/>
    <col min="5394" max="5394" width="10.08984375" style="2583" customWidth="1"/>
    <col min="5395" max="5395" width="10" style="2583" customWidth="1"/>
    <col min="5396" max="5396" width="26.08984375" style="2583" customWidth="1"/>
    <col min="5397" max="5632" width="8.90625" style="2583"/>
    <col min="5633" max="5633" width="9.453125" style="2583" customWidth="1"/>
    <col min="5634" max="5634" width="8.90625" style="2583"/>
    <col min="5635" max="5637" width="12.90625" style="2583" customWidth="1"/>
    <col min="5638" max="5638" width="47.453125" style="2583" customWidth="1"/>
    <col min="5639" max="5639" width="13" style="2583" customWidth="1"/>
    <col min="5640" max="5641" width="8.90625" style="2583"/>
    <col min="5642" max="5642" width="5.7265625" style="2583" customWidth="1"/>
    <col min="5643" max="5643" width="11.7265625" style="2583" customWidth="1"/>
    <col min="5644" max="5645" width="10.7265625" style="2583" customWidth="1"/>
    <col min="5646" max="5646" width="10" style="2583" customWidth="1"/>
    <col min="5647" max="5648" width="10.453125" style="2583" bestFit="1" customWidth="1"/>
    <col min="5649" max="5649" width="10" style="2583" customWidth="1"/>
    <col min="5650" max="5650" width="10.08984375" style="2583" customWidth="1"/>
    <col min="5651" max="5651" width="10" style="2583" customWidth="1"/>
    <col min="5652" max="5652" width="26.08984375" style="2583" customWidth="1"/>
    <col min="5653" max="5888" width="8.90625" style="2583"/>
    <col min="5889" max="5889" width="9.453125" style="2583" customWidth="1"/>
    <col min="5890" max="5890" width="8.90625" style="2583"/>
    <col min="5891" max="5893" width="12.90625" style="2583" customWidth="1"/>
    <col min="5894" max="5894" width="47.453125" style="2583" customWidth="1"/>
    <col min="5895" max="5895" width="13" style="2583" customWidth="1"/>
    <col min="5896" max="5897" width="8.90625" style="2583"/>
    <col min="5898" max="5898" width="5.7265625" style="2583" customWidth="1"/>
    <col min="5899" max="5899" width="11.7265625" style="2583" customWidth="1"/>
    <col min="5900" max="5901" width="10.7265625" style="2583" customWidth="1"/>
    <col min="5902" max="5902" width="10" style="2583" customWidth="1"/>
    <col min="5903" max="5904" width="10.453125" style="2583" bestFit="1" customWidth="1"/>
    <col min="5905" max="5905" width="10" style="2583" customWidth="1"/>
    <col min="5906" max="5906" width="10.08984375" style="2583" customWidth="1"/>
    <col min="5907" max="5907" width="10" style="2583" customWidth="1"/>
    <col min="5908" max="5908" width="26.08984375" style="2583" customWidth="1"/>
    <col min="5909" max="6144" width="8.90625" style="2583"/>
    <col min="6145" max="6145" width="9.453125" style="2583" customWidth="1"/>
    <col min="6146" max="6146" width="8.90625" style="2583"/>
    <col min="6147" max="6149" width="12.90625" style="2583" customWidth="1"/>
    <col min="6150" max="6150" width="47.453125" style="2583" customWidth="1"/>
    <col min="6151" max="6151" width="13" style="2583" customWidth="1"/>
    <col min="6152" max="6153" width="8.90625" style="2583"/>
    <col min="6154" max="6154" width="5.7265625" style="2583" customWidth="1"/>
    <col min="6155" max="6155" width="11.7265625" style="2583" customWidth="1"/>
    <col min="6156" max="6157" width="10.7265625" style="2583" customWidth="1"/>
    <col min="6158" max="6158" width="10" style="2583" customWidth="1"/>
    <col min="6159" max="6160" width="10.453125" style="2583" bestFit="1" customWidth="1"/>
    <col min="6161" max="6161" width="10" style="2583" customWidth="1"/>
    <col min="6162" max="6162" width="10.08984375" style="2583" customWidth="1"/>
    <col min="6163" max="6163" width="10" style="2583" customWidth="1"/>
    <col min="6164" max="6164" width="26.08984375" style="2583" customWidth="1"/>
    <col min="6165" max="6400" width="8.90625" style="2583"/>
    <col min="6401" max="6401" width="9.453125" style="2583" customWidth="1"/>
    <col min="6402" max="6402" width="8.90625" style="2583"/>
    <col min="6403" max="6405" width="12.90625" style="2583" customWidth="1"/>
    <col min="6406" max="6406" width="47.453125" style="2583" customWidth="1"/>
    <col min="6407" max="6407" width="13" style="2583" customWidth="1"/>
    <col min="6408" max="6409" width="8.90625" style="2583"/>
    <col min="6410" max="6410" width="5.7265625" style="2583" customWidth="1"/>
    <col min="6411" max="6411" width="11.7265625" style="2583" customWidth="1"/>
    <col min="6412" max="6413" width="10.7265625" style="2583" customWidth="1"/>
    <col min="6414" max="6414" width="10" style="2583" customWidth="1"/>
    <col min="6415" max="6416" width="10.453125" style="2583" bestFit="1" customWidth="1"/>
    <col min="6417" max="6417" width="10" style="2583" customWidth="1"/>
    <col min="6418" max="6418" width="10.08984375" style="2583" customWidth="1"/>
    <col min="6419" max="6419" width="10" style="2583" customWidth="1"/>
    <col min="6420" max="6420" width="26.08984375" style="2583" customWidth="1"/>
    <col min="6421" max="6656" width="8.90625" style="2583"/>
    <col min="6657" max="6657" width="9.453125" style="2583" customWidth="1"/>
    <col min="6658" max="6658" width="8.90625" style="2583"/>
    <col min="6659" max="6661" width="12.90625" style="2583" customWidth="1"/>
    <col min="6662" max="6662" width="47.453125" style="2583" customWidth="1"/>
    <col min="6663" max="6663" width="13" style="2583" customWidth="1"/>
    <col min="6664" max="6665" width="8.90625" style="2583"/>
    <col min="6666" max="6666" width="5.7265625" style="2583" customWidth="1"/>
    <col min="6667" max="6667" width="11.7265625" style="2583" customWidth="1"/>
    <col min="6668" max="6669" width="10.7265625" style="2583" customWidth="1"/>
    <col min="6670" max="6670" width="10" style="2583" customWidth="1"/>
    <col min="6671" max="6672" width="10.453125" style="2583" bestFit="1" customWidth="1"/>
    <col min="6673" max="6673" width="10" style="2583" customWidth="1"/>
    <col min="6674" max="6674" width="10.08984375" style="2583" customWidth="1"/>
    <col min="6675" max="6675" width="10" style="2583" customWidth="1"/>
    <col min="6676" max="6676" width="26.08984375" style="2583" customWidth="1"/>
    <col min="6677" max="6912" width="8.90625" style="2583"/>
    <col min="6913" max="6913" width="9.453125" style="2583" customWidth="1"/>
    <col min="6914" max="6914" width="8.90625" style="2583"/>
    <col min="6915" max="6917" width="12.90625" style="2583" customWidth="1"/>
    <col min="6918" max="6918" width="47.453125" style="2583" customWidth="1"/>
    <col min="6919" max="6919" width="13" style="2583" customWidth="1"/>
    <col min="6920" max="6921" width="8.90625" style="2583"/>
    <col min="6922" max="6922" width="5.7265625" style="2583" customWidth="1"/>
    <col min="6923" max="6923" width="11.7265625" style="2583" customWidth="1"/>
    <col min="6924" max="6925" width="10.7265625" style="2583" customWidth="1"/>
    <col min="6926" max="6926" width="10" style="2583" customWidth="1"/>
    <col min="6927" max="6928" width="10.453125" style="2583" bestFit="1" customWidth="1"/>
    <col min="6929" max="6929" width="10" style="2583" customWidth="1"/>
    <col min="6930" max="6930" width="10.08984375" style="2583" customWidth="1"/>
    <col min="6931" max="6931" width="10" style="2583" customWidth="1"/>
    <col min="6932" max="6932" width="26.08984375" style="2583" customWidth="1"/>
    <col min="6933" max="7168" width="8.90625" style="2583"/>
    <col min="7169" max="7169" width="9.453125" style="2583" customWidth="1"/>
    <col min="7170" max="7170" width="8.90625" style="2583"/>
    <col min="7171" max="7173" width="12.90625" style="2583" customWidth="1"/>
    <col min="7174" max="7174" width="47.453125" style="2583" customWidth="1"/>
    <col min="7175" max="7175" width="13" style="2583" customWidth="1"/>
    <col min="7176" max="7177" width="8.90625" style="2583"/>
    <col min="7178" max="7178" width="5.7265625" style="2583" customWidth="1"/>
    <col min="7179" max="7179" width="11.7265625" style="2583" customWidth="1"/>
    <col min="7180" max="7181" width="10.7265625" style="2583" customWidth="1"/>
    <col min="7182" max="7182" width="10" style="2583" customWidth="1"/>
    <col min="7183" max="7184" width="10.453125" style="2583" bestFit="1" customWidth="1"/>
    <col min="7185" max="7185" width="10" style="2583" customWidth="1"/>
    <col min="7186" max="7186" width="10.08984375" style="2583" customWidth="1"/>
    <col min="7187" max="7187" width="10" style="2583" customWidth="1"/>
    <col min="7188" max="7188" width="26.08984375" style="2583" customWidth="1"/>
    <col min="7189" max="7424" width="8.90625" style="2583"/>
    <col min="7425" max="7425" width="9.453125" style="2583" customWidth="1"/>
    <col min="7426" max="7426" width="8.90625" style="2583"/>
    <col min="7427" max="7429" width="12.90625" style="2583" customWidth="1"/>
    <col min="7430" max="7430" width="47.453125" style="2583" customWidth="1"/>
    <col min="7431" max="7431" width="13" style="2583" customWidth="1"/>
    <col min="7432" max="7433" width="8.90625" style="2583"/>
    <col min="7434" max="7434" width="5.7265625" style="2583" customWidth="1"/>
    <col min="7435" max="7435" width="11.7265625" style="2583" customWidth="1"/>
    <col min="7436" max="7437" width="10.7265625" style="2583" customWidth="1"/>
    <col min="7438" max="7438" width="10" style="2583" customWidth="1"/>
    <col min="7439" max="7440" width="10.453125" style="2583" bestFit="1" customWidth="1"/>
    <col min="7441" max="7441" width="10" style="2583" customWidth="1"/>
    <col min="7442" max="7442" width="10.08984375" style="2583" customWidth="1"/>
    <col min="7443" max="7443" width="10" style="2583" customWidth="1"/>
    <col min="7444" max="7444" width="26.08984375" style="2583" customWidth="1"/>
    <col min="7445" max="7680" width="8.90625" style="2583"/>
    <col min="7681" max="7681" width="9.453125" style="2583" customWidth="1"/>
    <col min="7682" max="7682" width="8.90625" style="2583"/>
    <col min="7683" max="7685" width="12.90625" style="2583" customWidth="1"/>
    <col min="7686" max="7686" width="47.453125" style="2583" customWidth="1"/>
    <col min="7687" max="7687" width="13" style="2583" customWidth="1"/>
    <col min="7688" max="7689" width="8.90625" style="2583"/>
    <col min="7690" max="7690" width="5.7265625" style="2583" customWidth="1"/>
    <col min="7691" max="7691" width="11.7265625" style="2583" customWidth="1"/>
    <col min="7692" max="7693" width="10.7265625" style="2583" customWidth="1"/>
    <col min="7694" max="7694" width="10" style="2583" customWidth="1"/>
    <col min="7695" max="7696" width="10.453125" style="2583" bestFit="1" customWidth="1"/>
    <col min="7697" max="7697" width="10" style="2583" customWidth="1"/>
    <col min="7698" max="7698" width="10.08984375" style="2583" customWidth="1"/>
    <col min="7699" max="7699" width="10" style="2583" customWidth="1"/>
    <col min="7700" max="7700" width="26.08984375" style="2583" customWidth="1"/>
    <col min="7701" max="7936" width="8.90625" style="2583"/>
    <col min="7937" max="7937" width="9.453125" style="2583" customWidth="1"/>
    <col min="7938" max="7938" width="8.90625" style="2583"/>
    <col min="7939" max="7941" width="12.90625" style="2583" customWidth="1"/>
    <col min="7942" max="7942" width="47.453125" style="2583" customWidth="1"/>
    <col min="7943" max="7943" width="13" style="2583" customWidth="1"/>
    <col min="7944" max="7945" width="8.90625" style="2583"/>
    <col min="7946" max="7946" width="5.7265625" style="2583" customWidth="1"/>
    <col min="7947" max="7947" width="11.7265625" style="2583" customWidth="1"/>
    <col min="7948" max="7949" width="10.7265625" style="2583" customWidth="1"/>
    <col min="7950" max="7950" width="10" style="2583" customWidth="1"/>
    <col min="7951" max="7952" width="10.453125" style="2583" bestFit="1" customWidth="1"/>
    <col min="7953" max="7953" width="10" style="2583" customWidth="1"/>
    <col min="7954" max="7954" width="10.08984375" style="2583" customWidth="1"/>
    <col min="7955" max="7955" width="10" style="2583" customWidth="1"/>
    <col min="7956" max="7956" width="26.08984375" style="2583" customWidth="1"/>
    <col min="7957" max="8192" width="8.90625" style="2583"/>
    <col min="8193" max="8193" width="9.453125" style="2583" customWidth="1"/>
    <col min="8194" max="8194" width="8.90625" style="2583"/>
    <col min="8195" max="8197" width="12.90625" style="2583" customWidth="1"/>
    <col min="8198" max="8198" width="47.453125" style="2583" customWidth="1"/>
    <col min="8199" max="8199" width="13" style="2583" customWidth="1"/>
    <col min="8200" max="8201" width="8.90625" style="2583"/>
    <col min="8202" max="8202" width="5.7265625" style="2583" customWidth="1"/>
    <col min="8203" max="8203" width="11.7265625" style="2583" customWidth="1"/>
    <col min="8204" max="8205" width="10.7265625" style="2583" customWidth="1"/>
    <col min="8206" max="8206" width="10" style="2583" customWidth="1"/>
    <col min="8207" max="8208" width="10.453125" style="2583" bestFit="1" customWidth="1"/>
    <col min="8209" max="8209" width="10" style="2583" customWidth="1"/>
    <col min="8210" max="8210" width="10.08984375" style="2583" customWidth="1"/>
    <col min="8211" max="8211" width="10" style="2583" customWidth="1"/>
    <col min="8212" max="8212" width="26.08984375" style="2583" customWidth="1"/>
    <col min="8213" max="8448" width="8.90625" style="2583"/>
    <col min="8449" max="8449" width="9.453125" style="2583" customWidth="1"/>
    <col min="8450" max="8450" width="8.90625" style="2583"/>
    <col min="8451" max="8453" width="12.90625" style="2583" customWidth="1"/>
    <col min="8454" max="8454" width="47.453125" style="2583" customWidth="1"/>
    <col min="8455" max="8455" width="13" style="2583" customWidth="1"/>
    <col min="8456" max="8457" width="8.90625" style="2583"/>
    <col min="8458" max="8458" width="5.7265625" style="2583" customWidth="1"/>
    <col min="8459" max="8459" width="11.7265625" style="2583" customWidth="1"/>
    <col min="8460" max="8461" width="10.7265625" style="2583" customWidth="1"/>
    <col min="8462" max="8462" width="10" style="2583" customWidth="1"/>
    <col min="8463" max="8464" width="10.453125" style="2583" bestFit="1" customWidth="1"/>
    <col min="8465" max="8465" width="10" style="2583" customWidth="1"/>
    <col min="8466" max="8466" width="10.08984375" style="2583" customWidth="1"/>
    <col min="8467" max="8467" width="10" style="2583" customWidth="1"/>
    <col min="8468" max="8468" width="26.08984375" style="2583" customWidth="1"/>
    <col min="8469" max="8704" width="8.90625" style="2583"/>
    <col min="8705" max="8705" width="9.453125" style="2583" customWidth="1"/>
    <col min="8706" max="8706" width="8.90625" style="2583"/>
    <col min="8707" max="8709" width="12.90625" style="2583" customWidth="1"/>
    <col min="8710" max="8710" width="47.453125" style="2583" customWidth="1"/>
    <col min="8711" max="8711" width="13" style="2583" customWidth="1"/>
    <col min="8712" max="8713" width="8.90625" style="2583"/>
    <col min="8714" max="8714" width="5.7265625" style="2583" customWidth="1"/>
    <col min="8715" max="8715" width="11.7265625" style="2583" customWidth="1"/>
    <col min="8716" max="8717" width="10.7265625" style="2583" customWidth="1"/>
    <col min="8718" max="8718" width="10" style="2583" customWidth="1"/>
    <col min="8719" max="8720" width="10.453125" style="2583" bestFit="1" customWidth="1"/>
    <col min="8721" max="8721" width="10" style="2583" customWidth="1"/>
    <col min="8722" max="8722" width="10.08984375" style="2583" customWidth="1"/>
    <col min="8723" max="8723" width="10" style="2583" customWidth="1"/>
    <col min="8724" max="8724" width="26.08984375" style="2583" customWidth="1"/>
    <col min="8725" max="8960" width="8.90625" style="2583"/>
    <col min="8961" max="8961" width="9.453125" style="2583" customWidth="1"/>
    <col min="8962" max="8962" width="8.90625" style="2583"/>
    <col min="8963" max="8965" width="12.90625" style="2583" customWidth="1"/>
    <col min="8966" max="8966" width="47.453125" style="2583" customWidth="1"/>
    <col min="8967" max="8967" width="13" style="2583" customWidth="1"/>
    <col min="8968" max="8969" width="8.90625" style="2583"/>
    <col min="8970" max="8970" width="5.7265625" style="2583" customWidth="1"/>
    <col min="8971" max="8971" width="11.7265625" style="2583" customWidth="1"/>
    <col min="8972" max="8973" width="10.7265625" style="2583" customWidth="1"/>
    <col min="8974" max="8974" width="10" style="2583" customWidth="1"/>
    <col min="8975" max="8976" width="10.453125" style="2583" bestFit="1" customWidth="1"/>
    <col min="8977" max="8977" width="10" style="2583" customWidth="1"/>
    <col min="8978" max="8978" width="10.08984375" style="2583" customWidth="1"/>
    <col min="8979" max="8979" width="10" style="2583" customWidth="1"/>
    <col min="8980" max="8980" width="26.08984375" style="2583" customWidth="1"/>
    <col min="8981" max="9216" width="8.90625" style="2583"/>
    <col min="9217" max="9217" width="9.453125" style="2583" customWidth="1"/>
    <col min="9218" max="9218" width="8.90625" style="2583"/>
    <col min="9219" max="9221" width="12.90625" style="2583" customWidth="1"/>
    <col min="9222" max="9222" width="47.453125" style="2583" customWidth="1"/>
    <col min="9223" max="9223" width="13" style="2583" customWidth="1"/>
    <col min="9224" max="9225" width="8.90625" style="2583"/>
    <col min="9226" max="9226" width="5.7265625" style="2583" customWidth="1"/>
    <col min="9227" max="9227" width="11.7265625" style="2583" customWidth="1"/>
    <col min="9228" max="9229" width="10.7265625" style="2583" customWidth="1"/>
    <col min="9230" max="9230" width="10" style="2583" customWidth="1"/>
    <col min="9231" max="9232" width="10.453125" style="2583" bestFit="1" customWidth="1"/>
    <col min="9233" max="9233" width="10" style="2583" customWidth="1"/>
    <col min="9234" max="9234" width="10.08984375" style="2583" customWidth="1"/>
    <col min="9235" max="9235" width="10" style="2583" customWidth="1"/>
    <col min="9236" max="9236" width="26.08984375" style="2583" customWidth="1"/>
    <col min="9237" max="9472" width="8.90625" style="2583"/>
    <col min="9473" max="9473" width="9.453125" style="2583" customWidth="1"/>
    <col min="9474" max="9474" width="8.90625" style="2583"/>
    <col min="9475" max="9477" width="12.90625" style="2583" customWidth="1"/>
    <col min="9478" max="9478" width="47.453125" style="2583" customWidth="1"/>
    <col min="9479" max="9479" width="13" style="2583" customWidth="1"/>
    <col min="9480" max="9481" width="8.90625" style="2583"/>
    <col min="9482" max="9482" width="5.7265625" style="2583" customWidth="1"/>
    <col min="9483" max="9483" width="11.7265625" style="2583" customWidth="1"/>
    <col min="9484" max="9485" width="10.7265625" style="2583" customWidth="1"/>
    <col min="9486" max="9486" width="10" style="2583" customWidth="1"/>
    <col min="9487" max="9488" width="10.453125" style="2583" bestFit="1" customWidth="1"/>
    <col min="9489" max="9489" width="10" style="2583" customWidth="1"/>
    <col min="9490" max="9490" width="10.08984375" style="2583" customWidth="1"/>
    <col min="9491" max="9491" width="10" style="2583" customWidth="1"/>
    <col min="9492" max="9492" width="26.08984375" style="2583" customWidth="1"/>
    <col min="9493" max="9728" width="8.90625" style="2583"/>
    <col min="9729" max="9729" width="9.453125" style="2583" customWidth="1"/>
    <col min="9730" max="9730" width="8.90625" style="2583"/>
    <col min="9731" max="9733" width="12.90625" style="2583" customWidth="1"/>
    <col min="9734" max="9734" width="47.453125" style="2583" customWidth="1"/>
    <col min="9735" max="9735" width="13" style="2583" customWidth="1"/>
    <col min="9736" max="9737" width="8.90625" style="2583"/>
    <col min="9738" max="9738" width="5.7265625" style="2583" customWidth="1"/>
    <col min="9739" max="9739" width="11.7265625" style="2583" customWidth="1"/>
    <col min="9740" max="9741" width="10.7265625" style="2583" customWidth="1"/>
    <col min="9742" max="9742" width="10" style="2583" customWidth="1"/>
    <col min="9743" max="9744" width="10.453125" style="2583" bestFit="1" customWidth="1"/>
    <col min="9745" max="9745" width="10" style="2583" customWidth="1"/>
    <col min="9746" max="9746" width="10.08984375" style="2583" customWidth="1"/>
    <col min="9747" max="9747" width="10" style="2583" customWidth="1"/>
    <col min="9748" max="9748" width="26.08984375" style="2583" customWidth="1"/>
    <col min="9749" max="9984" width="8.90625" style="2583"/>
    <col min="9985" max="9985" width="9.453125" style="2583" customWidth="1"/>
    <col min="9986" max="9986" width="8.90625" style="2583"/>
    <col min="9987" max="9989" width="12.90625" style="2583" customWidth="1"/>
    <col min="9990" max="9990" width="47.453125" style="2583" customWidth="1"/>
    <col min="9991" max="9991" width="13" style="2583" customWidth="1"/>
    <col min="9992" max="9993" width="8.90625" style="2583"/>
    <col min="9994" max="9994" width="5.7265625" style="2583" customWidth="1"/>
    <col min="9995" max="9995" width="11.7265625" style="2583" customWidth="1"/>
    <col min="9996" max="9997" width="10.7265625" style="2583" customWidth="1"/>
    <col min="9998" max="9998" width="10" style="2583" customWidth="1"/>
    <col min="9999" max="10000" width="10.453125" style="2583" bestFit="1" customWidth="1"/>
    <col min="10001" max="10001" width="10" style="2583" customWidth="1"/>
    <col min="10002" max="10002" width="10.08984375" style="2583" customWidth="1"/>
    <col min="10003" max="10003" width="10" style="2583" customWidth="1"/>
    <col min="10004" max="10004" width="26.08984375" style="2583" customWidth="1"/>
    <col min="10005" max="10240" width="8.90625" style="2583"/>
    <col min="10241" max="10241" width="9.453125" style="2583" customWidth="1"/>
    <col min="10242" max="10242" width="8.90625" style="2583"/>
    <col min="10243" max="10245" width="12.90625" style="2583" customWidth="1"/>
    <col min="10246" max="10246" width="47.453125" style="2583" customWidth="1"/>
    <col min="10247" max="10247" width="13" style="2583" customWidth="1"/>
    <col min="10248" max="10249" width="8.90625" style="2583"/>
    <col min="10250" max="10250" width="5.7265625" style="2583" customWidth="1"/>
    <col min="10251" max="10251" width="11.7265625" style="2583" customWidth="1"/>
    <col min="10252" max="10253" width="10.7265625" style="2583" customWidth="1"/>
    <col min="10254" max="10254" width="10" style="2583" customWidth="1"/>
    <col min="10255" max="10256" width="10.453125" style="2583" bestFit="1" customWidth="1"/>
    <col min="10257" max="10257" width="10" style="2583" customWidth="1"/>
    <col min="10258" max="10258" width="10.08984375" style="2583" customWidth="1"/>
    <col min="10259" max="10259" width="10" style="2583" customWidth="1"/>
    <col min="10260" max="10260" width="26.08984375" style="2583" customWidth="1"/>
    <col min="10261" max="10496" width="8.90625" style="2583"/>
    <col min="10497" max="10497" width="9.453125" style="2583" customWidth="1"/>
    <col min="10498" max="10498" width="8.90625" style="2583"/>
    <col min="10499" max="10501" width="12.90625" style="2583" customWidth="1"/>
    <col min="10502" max="10502" width="47.453125" style="2583" customWidth="1"/>
    <col min="10503" max="10503" width="13" style="2583" customWidth="1"/>
    <col min="10504" max="10505" width="8.90625" style="2583"/>
    <col min="10506" max="10506" width="5.7265625" style="2583" customWidth="1"/>
    <col min="10507" max="10507" width="11.7265625" style="2583" customWidth="1"/>
    <col min="10508" max="10509" width="10.7265625" style="2583" customWidth="1"/>
    <col min="10510" max="10510" width="10" style="2583" customWidth="1"/>
    <col min="10511" max="10512" width="10.453125" style="2583" bestFit="1" customWidth="1"/>
    <col min="10513" max="10513" width="10" style="2583" customWidth="1"/>
    <col min="10514" max="10514" width="10.08984375" style="2583" customWidth="1"/>
    <col min="10515" max="10515" width="10" style="2583" customWidth="1"/>
    <col min="10516" max="10516" width="26.08984375" style="2583" customWidth="1"/>
    <col min="10517" max="10752" width="8.90625" style="2583"/>
    <col min="10753" max="10753" width="9.453125" style="2583" customWidth="1"/>
    <col min="10754" max="10754" width="8.90625" style="2583"/>
    <col min="10755" max="10757" width="12.90625" style="2583" customWidth="1"/>
    <col min="10758" max="10758" width="47.453125" style="2583" customWidth="1"/>
    <col min="10759" max="10759" width="13" style="2583" customWidth="1"/>
    <col min="10760" max="10761" width="8.90625" style="2583"/>
    <col min="10762" max="10762" width="5.7265625" style="2583" customWidth="1"/>
    <col min="10763" max="10763" width="11.7265625" style="2583" customWidth="1"/>
    <col min="10764" max="10765" width="10.7265625" style="2583" customWidth="1"/>
    <col min="10766" max="10766" width="10" style="2583" customWidth="1"/>
    <col min="10767" max="10768" width="10.453125" style="2583" bestFit="1" customWidth="1"/>
    <col min="10769" max="10769" width="10" style="2583" customWidth="1"/>
    <col min="10770" max="10770" width="10.08984375" style="2583" customWidth="1"/>
    <col min="10771" max="10771" width="10" style="2583" customWidth="1"/>
    <col min="10772" max="10772" width="26.08984375" style="2583" customWidth="1"/>
    <col min="10773" max="11008" width="8.90625" style="2583"/>
    <col min="11009" max="11009" width="9.453125" style="2583" customWidth="1"/>
    <col min="11010" max="11010" width="8.90625" style="2583"/>
    <col min="11011" max="11013" width="12.90625" style="2583" customWidth="1"/>
    <col min="11014" max="11014" width="47.453125" style="2583" customWidth="1"/>
    <col min="11015" max="11015" width="13" style="2583" customWidth="1"/>
    <col min="11016" max="11017" width="8.90625" style="2583"/>
    <col min="11018" max="11018" width="5.7265625" style="2583" customWidth="1"/>
    <col min="11019" max="11019" width="11.7265625" style="2583" customWidth="1"/>
    <col min="11020" max="11021" width="10.7265625" style="2583" customWidth="1"/>
    <col min="11022" max="11022" width="10" style="2583" customWidth="1"/>
    <col min="11023" max="11024" width="10.453125" style="2583" bestFit="1" customWidth="1"/>
    <col min="11025" max="11025" width="10" style="2583" customWidth="1"/>
    <col min="11026" max="11026" width="10.08984375" style="2583" customWidth="1"/>
    <col min="11027" max="11027" width="10" style="2583" customWidth="1"/>
    <col min="11028" max="11028" width="26.08984375" style="2583" customWidth="1"/>
    <col min="11029" max="11264" width="8.90625" style="2583"/>
    <col min="11265" max="11265" width="9.453125" style="2583" customWidth="1"/>
    <col min="11266" max="11266" width="8.90625" style="2583"/>
    <col min="11267" max="11269" width="12.90625" style="2583" customWidth="1"/>
    <col min="11270" max="11270" width="47.453125" style="2583" customWidth="1"/>
    <col min="11271" max="11271" width="13" style="2583" customWidth="1"/>
    <col min="11272" max="11273" width="8.90625" style="2583"/>
    <col min="11274" max="11274" width="5.7265625" style="2583" customWidth="1"/>
    <col min="11275" max="11275" width="11.7265625" style="2583" customWidth="1"/>
    <col min="11276" max="11277" width="10.7265625" style="2583" customWidth="1"/>
    <col min="11278" max="11278" width="10" style="2583" customWidth="1"/>
    <col min="11279" max="11280" width="10.453125" style="2583" bestFit="1" customWidth="1"/>
    <col min="11281" max="11281" width="10" style="2583" customWidth="1"/>
    <col min="11282" max="11282" width="10.08984375" style="2583" customWidth="1"/>
    <col min="11283" max="11283" width="10" style="2583" customWidth="1"/>
    <col min="11284" max="11284" width="26.08984375" style="2583" customWidth="1"/>
    <col min="11285" max="11520" width="8.90625" style="2583"/>
    <col min="11521" max="11521" width="9.453125" style="2583" customWidth="1"/>
    <col min="11522" max="11522" width="8.90625" style="2583"/>
    <col min="11523" max="11525" width="12.90625" style="2583" customWidth="1"/>
    <col min="11526" max="11526" width="47.453125" style="2583" customWidth="1"/>
    <col min="11527" max="11527" width="13" style="2583" customWidth="1"/>
    <col min="11528" max="11529" width="8.90625" style="2583"/>
    <col min="11530" max="11530" width="5.7265625" style="2583" customWidth="1"/>
    <col min="11531" max="11531" width="11.7265625" style="2583" customWidth="1"/>
    <col min="11532" max="11533" width="10.7265625" style="2583" customWidth="1"/>
    <col min="11534" max="11534" width="10" style="2583" customWidth="1"/>
    <col min="11535" max="11536" width="10.453125" style="2583" bestFit="1" customWidth="1"/>
    <col min="11537" max="11537" width="10" style="2583" customWidth="1"/>
    <col min="11538" max="11538" width="10.08984375" style="2583" customWidth="1"/>
    <col min="11539" max="11539" width="10" style="2583" customWidth="1"/>
    <col min="11540" max="11540" width="26.08984375" style="2583" customWidth="1"/>
    <col min="11541" max="11776" width="8.90625" style="2583"/>
    <col min="11777" max="11777" width="9.453125" style="2583" customWidth="1"/>
    <col min="11778" max="11778" width="8.90625" style="2583"/>
    <col min="11779" max="11781" width="12.90625" style="2583" customWidth="1"/>
    <col min="11782" max="11782" width="47.453125" style="2583" customWidth="1"/>
    <col min="11783" max="11783" width="13" style="2583" customWidth="1"/>
    <col min="11784" max="11785" width="8.90625" style="2583"/>
    <col min="11786" max="11786" width="5.7265625" style="2583" customWidth="1"/>
    <col min="11787" max="11787" width="11.7265625" style="2583" customWidth="1"/>
    <col min="11788" max="11789" width="10.7265625" style="2583" customWidth="1"/>
    <col min="11790" max="11790" width="10" style="2583" customWidth="1"/>
    <col min="11791" max="11792" width="10.453125" style="2583" bestFit="1" customWidth="1"/>
    <col min="11793" max="11793" width="10" style="2583" customWidth="1"/>
    <col min="11794" max="11794" width="10.08984375" style="2583" customWidth="1"/>
    <col min="11795" max="11795" width="10" style="2583" customWidth="1"/>
    <col min="11796" max="11796" width="26.08984375" style="2583" customWidth="1"/>
    <col min="11797" max="12032" width="8.90625" style="2583"/>
    <col min="12033" max="12033" width="9.453125" style="2583" customWidth="1"/>
    <col min="12034" max="12034" width="8.90625" style="2583"/>
    <col min="12035" max="12037" width="12.90625" style="2583" customWidth="1"/>
    <col min="12038" max="12038" width="47.453125" style="2583" customWidth="1"/>
    <col min="12039" max="12039" width="13" style="2583" customWidth="1"/>
    <col min="12040" max="12041" width="8.90625" style="2583"/>
    <col min="12042" max="12042" width="5.7265625" style="2583" customWidth="1"/>
    <col min="12043" max="12043" width="11.7265625" style="2583" customWidth="1"/>
    <col min="12044" max="12045" width="10.7265625" style="2583" customWidth="1"/>
    <col min="12046" max="12046" width="10" style="2583" customWidth="1"/>
    <col min="12047" max="12048" width="10.453125" style="2583" bestFit="1" customWidth="1"/>
    <col min="12049" max="12049" width="10" style="2583" customWidth="1"/>
    <col min="12050" max="12050" width="10.08984375" style="2583" customWidth="1"/>
    <col min="12051" max="12051" width="10" style="2583" customWidth="1"/>
    <col min="12052" max="12052" width="26.08984375" style="2583" customWidth="1"/>
    <col min="12053" max="12288" width="8.90625" style="2583"/>
    <col min="12289" max="12289" width="9.453125" style="2583" customWidth="1"/>
    <col min="12290" max="12290" width="8.90625" style="2583"/>
    <col min="12291" max="12293" width="12.90625" style="2583" customWidth="1"/>
    <col min="12294" max="12294" width="47.453125" style="2583" customWidth="1"/>
    <col min="12295" max="12295" width="13" style="2583" customWidth="1"/>
    <col min="12296" max="12297" width="8.90625" style="2583"/>
    <col min="12298" max="12298" width="5.7265625" style="2583" customWidth="1"/>
    <col min="12299" max="12299" width="11.7265625" style="2583" customWidth="1"/>
    <col min="12300" max="12301" width="10.7265625" style="2583" customWidth="1"/>
    <col min="12302" max="12302" width="10" style="2583" customWidth="1"/>
    <col min="12303" max="12304" width="10.453125" style="2583" bestFit="1" customWidth="1"/>
    <col min="12305" max="12305" width="10" style="2583" customWidth="1"/>
    <col min="12306" max="12306" width="10.08984375" style="2583" customWidth="1"/>
    <col min="12307" max="12307" width="10" style="2583" customWidth="1"/>
    <col min="12308" max="12308" width="26.08984375" style="2583" customWidth="1"/>
    <col min="12309" max="12544" width="8.90625" style="2583"/>
    <col min="12545" max="12545" width="9.453125" style="2583" customWidth="1"/>
    <col min="12546" max="12546" width="8.90625" style="2583"/>
    <col min="12547" max="12549" width="12.90625" style="2583" customWidth="1"/>
    <col min="12550" max="12550" width="47.453125" style="2583" customWidth="1"/>
    <col min="12551" max="12551" width="13" style="2583" customWidth="1"/>
    <col min="12552" max="12553" width="8.90625" style="2583"/>
    <col min="12554" max="12554" width="5.7265625" style="2583" customWidth="1"/>
    <col min="12555" max="12555" width="11.7265625" style="2583" customWidth="1"/>
    <col min="12556" max="12557" width="10.7265625" style="2583" customWidth="1"/>
    <col min="12558" max="12558" width="10" style="2583" customWidth="1"/>
    <col min="12559" max="12560" width="10.453125" style="2583" bestFit="1" customWidth="1"/>
    <col min="12561" max="12561" width="10" style="2583" customWidth="1"/>
    <col min="12562" max="12562" width="10.08984375" style="2583" customWidth="1"/>
    <col min="12563" max="12563" width="10" style="2583" customWidth="1"/>
    <col min="12564" max="12564" width="26.08984375" style="2583" customWidth="1"/>
    <col min="12565" max="12800" width="8.90625" style="2583"/>
    <col min="12801" max="12801" width="9.453125" style="2583" customWidth="1"/>
    <col min="12802" max="12802" width="8.90625" style="2583"/>
    <col min="12803" max="12805" width="12.90625" style="2583" customWidth="1"/>
    <col min="12806" max="12806" width="47.453125" style="2583" customWidth="1"/>
    <col min="12807" max="12807" width="13" style="2583" customWidth="1"/>
    <col min="12808" max="12809" width="8.90625" style="2583"/>
    <col min="12810" max="12810" width="5.7265625" style="2583" customWidth="1"/>
    <col min="12811" max="12811" width="11.7265625" style="2583" customWidth="1"/>
    <col min="12812" max="12813" width="10.7265625" style="2583" customWidth="1"/>
    <col min="12814" max="12814" width="10" style="2583" customWidth="1"/>
    <col min="12815" max="12816" width="10.453125" style="2583" bestFit="1" customWidth="1"/>
    <col min="12817" max="12817" width="10" style="2583" customWidth="1"/>
    <col min="12818" max="12818" width="10.08984375" style="2583" customWidth="1"/>
    <col min="12819" max="12819" width="10" style="2583" customWidth="1"/>
    <col min="12820" max="12820" width="26.08984375" style="2583" customWidth="1"/>
    <col min="12821" max="13056" width="8.90625" style="2583"/>
    <col min="13057" max="13057" width="9.453125" style="2583" customWidth="1"/>
    <col min="13058" max="13058" width="8.90625" style="2583"/>
    <col min="13059" max="13061" width="12.90625" style="2583" customWidth="1"/>
    <col min="13062" max="13062" width="47.453125" style="2583" customWidth="1"/>
    <col min="13063" max="13063" width="13" style="2583" customWidth="1"/>
    <col min="13064" max="13065" width="8.90625" style="2583"/>
    <col min="13066" max="13066" width="5.7265625" style="2583" customWidth="1"/>
    <col min="13067" max="13067" width="11.7265625" style="2583" customWidth="1"/>
    <col min="13068" max="13069" width="10.7265625" style="2583" customWidth="1"/>
    <col min="13070" max="13070" width="10" style="2583" customWidth="1"/>
    <col min="13071" max="13072" width="10.453125" style="2583" bestFit="1" customWidth="1"/>
    <col min="13073" max="13073" width="10" style="2583" customWidth="1"/>
    <col min="13074" max="13074" width="10.08984375" style="2583" customWidth="1"/>
    <col min="13075" max="13075" width="10" style="2583" customWidth="1"/>
    <col min="13076" max="13076" width="26.08984375" style="2583" customWidth="1"/>
    <col min="13077" max="13312" width="8.90625" style="2583"/>
    <col min="13313" max="13313" width="9.453125" style="2583" customWidth="1"/>
    <col min="13314" max="13314" width="8.90625" style="2583"/>
    <col min="13315" max="13317" width="12.90625" style="2583" customWidth="1"/>
    <col min="13318" max="13318" width="47.453125" style="2583" customWidth="1"/>
    <col min="13319" max="13319" width="13" style="2583" customWidth="1"/>
    <col min="13320" max="13321" width="8.90625" style="2583"/>
    <col min="13322" max="13322" width="5.7265625" style="2583" customWidth="1"/>
    <col min="13323" max="13323" width="11.7265625" style="2583" customWidth="1"/>
    <col min="13324" max="13325" width="10.7265625" style="2583" customWidth="1"/>
    <col min="13326" max="13326" width="10" style="2583" customWidth="1"/>
    <col min="13327" max="13328" width="10.453125" style="2583" bestFit="1" customWidth="1"/>
    <col min="13329" max="13329" width="10" style="2583" customWidth="1"/>
    <col min="13330" max="13330" width="10.08984375" style="2583" customWidth="1"/>
    <col min="13331" max="13331" width="10" style="2583" customWidth="1"/>
    <col min="13332" max="13332" width="26.08984375" style="2583" customWidth="1"/>
    <col min="13333" max="13568" width="8.90625" style="2583"/>
    <col min="13569" max="13569" width="9.453125" style="2583" customWidth="1"/>
    <col min="13570" max="13570" width="8.90625" style="2583"/>
    <col min="13571" max="13573" width="12.90625" style="2583" customWidth="1"/>
    <col min="13574" max="13574" width="47.453125" style="2583" customWidth="1"/>
    <col min="13575" max="13575" width="13" style="2583" customWidth="1"/>
    <col min="13576" max="13577" width="8.90625" style="2583"/>
    <col min="13578" max="13578" width="5.7265625" style="2583" customWidth="1"/>
    <col min="13579" max="13579" width="11.7265625" style="2583" customWidth="1"/>
    <col min="13580" max="13581" width="10.7265625" style="2583" customWidth="1"/>
    <col min="13582" max="13582" width="10" style="2583" customWidth="1"/>
    <col min="13583" max="13584" width="10.453125" style="2583" bestFit="1" customWidth="1"/>
    <col min="13585" max="13585" width="10" style="2583" customWidth="1"/>
    <col min="13586" max="13586" width="10.08984375" style="2583" customWidth="1"/>
    <col min="13587" max="13587" width="10" style="2583" customWidth="1"/>
    <col min="13588" max="13588" width="26.08984375" style="2583" customWidth="1"/>
    <col min="13589" max="13824" width="8.90625" style="2583"/>
    <col min="13825" max="13825" width="9.453125" style="2583" customWidth="1"/>
    <col min="13826" max="13826" width="8.90625" style="2583"/>
    <col min="13827" max="13829" width="12.90625" style="2583" customWidth="1"/>
    <col min="13830" max="13830" width="47.453125" style="2583" customWidth="1"/>
    <col min="13831" max="13831" width="13" style="2583" customWidth="1"/>
    <col min="13832" max="13833" width="8.90625" style="2583"/>
    <col min="13834" max="13834" width="5.7265625" style="2583" customWidth="1"/>
    <col min="13835" max="13835" width="11.7265625" style="2583" customWidth="1"/>
    <col min="13836" max="13837" width="10.7265625" style="2583" customWidth="1"/>
    <col min="13838" max="13838" width="10" style="2583" customWidth="1"/>
    <col min="13839" max="13840" width="10.453125" style="2583" bestFit="1" customWidth="1"/>
    <col min="13841" max="13841" width="10" style="2583" customWidth="1"/>
    <col min="13842" max="13842" width="10.08984375" style="2583" customWidth="1"/>
    <col min="13843" max="13843" width="10" style="2583" customWidth="1"/>
    <col min="13844" max="13844" width="26.08984375" style="2583" customWidth="1"/>
    <col min="13845" max="14080" width="8.90625" style="2583"/>
    <col min="14081" max="14081" width="9.453125" style="2583" customWidth="1"/>
    <col min="14082" max="14082" width="8.90625" style="2583"/>
    <col min="14083" max="14085" width="12.90625" style="2583" customWidth="1"/>
    <col min="14086" max="14086" width="47.453125" style="2583" customWidth="1"/>
    <col min="14087" max="14087" width="13" style="2583" customWidth="1"/>
    <col min="14088" max="14089" width="8.90625" style="2583"/>
    <col min="14090" max="14090" width="5.7265625" style="2583" customWidth="1"/>
    <col min="14091" max="14091" width="11.7265625" style="2583" customWidth="1"/>
    <col min="14092" max="14093" width="10.7265625" style="2583" customWidth="1"/>
    <col min="14094" max="14094" width="10" style="2583" customWidth="1"/>
    <col min="14095" max="14096" width="10.453125" style="2583" bestFit="1" customWidth="1"/>
    <col min="14097" max="14097" width="10" style="2583" customWidth="1"/>
    <col min="14098" max="14098" width="10.08984375" style="2583" customWidth="1"/>
    <col min="14099" max="14099" width="10" style="2583" customWidth="1"/>
    <col min="14100" max="14100" width="26.08984375" style="2583" customWidth="1"/>
    <col min="14101" max="14336" width="8.90625" style="2583"/>
    <col min="14337" max="14337" width="9.453125" style="2583" customWidth="1"/>
    <col min="14338" max="14338" width="8.90625" style="2583"/>
    <col min="14339" max="14341" width="12.90625" style="2583" customWidth="1"/>
    <col min="14342" max="14342" width="47.453125" style="2583" customWidth="1"/>
    <col min="14343" max="14343" width="13" style="2583" customWidth="1"/>
    <col min="14344" max="14345" width="8.90625" style="2583"/>
    <col min="14346" max="14346" width="5.7265625" style="2583" customWidth="1"/>
    <col min="14347" max="14347" width="11.7265625" style="2583" customWidth="1"/>
    <col min="14348" max="14349" width="10.7265625" style="2583" customWidth="1"/>
    <col min="14350" max="14350" width="10" style="2583" customWidth="1"/>
    <col min="14351" max="14352" width="10.453125" style="2583" bestFit="1" customWidth="1"/>
    <col min="14353" max="14353" width="10" style="2583" customWidth="1"/>
    <col min="14354" max="14354" width="10.08984375" style="2583" customWidth="1"/>
    <col min="14355" max="14355" width="10" style="2583" customWidth="1"/>
    <col min="14356" max="14356" width="26.08984375" style="2583" customWidth="1"/>
    <col min="14357" max="14592" width="8.90625" style="2583"/>
    <col min="14593" max="14593" width="9.453125" style="2583" customWidth="1"/>
    <col min="14594" max="14594" width="8.90625" style="2583"/>
    <col min="14595" max="14597" width="12.90625" style="2583" customWidth="1"/>
    <col min="14598" max="14598" width="47.453125" style="2583" customWidth="1"/>
    <col min="14599" max="14599" width="13" style="2583" customWidth="1"/>
    <col min="14600" max="14601" width="8.90625" style="2583"/>
    <col min="14602" max="14602" width="5.7265625" style="2583" customWidth="1"/>
    <col min="14603" max="14603" width="11.7265625" style="2583" customWidth="1"/>
    <col min="14604" max="14605" width="10.7265625" style="2583" customWidth="1"/>
    <col min="14606" max="14606" width="10" style="2583" customWidth="1"/>
    <col min="14607" max="14608" width="10.453125" style="2583" bestFit="1" customWidth="1"/>
    <col min="14609" max="14609" width="10" style="2583" customWidth="1"/>
    <col min="14610" max="14610" width="10.08984375" style="2583" customWidth="1"/>
    <col min="14611" max="14611" width="10" style="2583" customWidth="1"/>
    <col min="14612" max="14612" width="26.08984375" style="2583" customWidth="1"/>
    <col min="14613" max="14848" width="8.90625" style="2583"/>
    <col min="14849" max="14849" width="9.453125" style="2583" customWidth="1"/>
    <col min="14850" max="14850" width="8.90625" style="2583"/>
    <col min="14851" max="14853" width="12.90625" style="2583" customWidth="1"/>
    <col min="14854" max="14854" width="47.453125" style="2583" customWidth="1"/>
    <col min="14855" max="14855" width="13" style="2583" customWidth="1"/>
    <col min="14856" max="14857" width="8.90625" style="2583"/>
    <col min="14858" max="14858" width="5.7265625" style="2583" customWidth="1"/>
    <col min="14859" max="14859" width="11.7265625" style="2583" customWidth="1"/>
    <col min="14860" max="14861" width="10.7265625" style="2583" customWidth="1"/>
    <col min="14862" max="14862" width="10" style="2583" customWidth="1"/>
    <col min="14863" max="14864" width="10.453125" style="2583" bestFit="1" customWidth="1"/>
    <col min="14865" max="14865" width="10" style="2583" customWidth="1"/>
    <col min="14866" max="14866" width="10.08984375" style="2583" customWidth="1"/>
    <col min="14867" max="14867" width="10" style="2583" customWidth="1"/>
    <col min="14868" max="14868" width="26.08984375" style="2583" customWidth="1"/>
    <col min="14869" max="15104" width="8.90625" style="2583"/>
    <col min="15105" max="15105" width="9.453125" style="2583" customWidth="1"/>
    <col min="15106" max="15106" width="8.90625" style="2583"/>
    <col min="15107" max="15109" width="12.90625" style="2583" customWidth="1"/>
    <col min="15110" max="15110" width="47.453125" style="2583" customWidth="1"/>
    <col min="15111" max="15111" width="13" style="2583" customWidth="1"/>
    <col min="15112" max="15113" width="8.90625" style="2583"/>
    <col min="15114" max="15114" width="5.7265625" style="2583" customWidth="1"/>
    <col min="15115" max="15115" width="11.7265625" style="2583" customWidth="1"/>
    <col min="15116" max="15117" width="10.7265625" style="2583" customWidth="1"/>
    <col min="15118" max="15118" width="10" style="2583" customWidth="1"/>
    <col min="15119" max="15120" width="10.453125" style="2583" bestFit="1" customWidth="1"/>
    <col min="15121" max="15121" width="10" style="2583" customWidth="1"/>
    <col min="15122" max="15122" width="10.08984375" style="2583" customWidth="1"/>
    <col min="15123" max="15123" width="10" style="2583" customWidth="1"/>
    <col min="15124" max="15124" width="26.08984375" style="2583" customWidth="1"/>
    <col min="15125" max="15360" width="8.90625" style="2583"/>
    <col min="15361" max="15361" width="9.453125" style="2583" customWidth="1"/>
    <col min="15362" max="15362" width="8.90625" style="2583"/>
    <col min="15363" max="15365" width="12.90625" style="2583" customWidth="1"/>
    <col min="15366" max="15366" width="47.453125" style="2583" customWidth="1"/>
    <col min="15367" max="15367" width="13" style="2583" customWidth="1"/>
    <col min="15368" max="15369" width="8.90625" style="2583"/>
    <col min="15370" max="15370" width="5.7265625" style="2583" customWidth="1"/>
    <col min="15371" max="15371" width="11.7265625" style="2583" customWidth="1"/>
    <col min="15372" max="15373" width="10.7265625" style="2583" customWidth="1"/>
    <col min="15374" max="15374" width="10" style="2583" customWidth="1"/>
    <col min="15375" max="15376" width="10.453125" style="2583" bestFit="1" customWidth="1"/>
    <col min="15377" max="15377" width="10" style="2583" customWidth="1"/>
    <col min="15378" max="15378" width="10.08984375" style="2583" customWidth="1"/>
    <col min="15379" max="15379" width="10" style="2583" customWidth="1"/>
    <col min="15380" max="15380" width="26.08984375" style="2583" customWidth="1"/>
    <col min="15381" max="15616" width="8.90625" style="2583"/>
    <col min="15617" max="15617" width="9.453125" style="2583" customWidth="1"/>
    <col min="15618" max="15618" width="8.90625" style="2583"/>
    <col min="15619" max="15621" width="12.90625" style="2583" customWidth="1"/>
    <col min="15622" max="15622" width="47.453125" style="2583" customWidth="1"/>
    <col min="15623" max="15623" width="13" style="2583" customWidth="1"/>
    <col min="15624" max="15625" width="8.90625" style="2583"/>
    <col min="15626" max="15626" width="5.7265625" style="2583" customWidth="1"/>
    <col min="15627" max="15627" width="11.7265625" style="2583" customWidth="1"/>
    <col min="15628" max="15629" width="10.7265625" style="2583" customWidth="1"/>
    <col min="15630" max="15630" width="10" style="2583" customWidth="1"/>
    <col min="15631" max="15632" width="10.453125" style="2583" bestFit="1" customWidth="1"/>
    <col min="15633" max="15633" width="10" style="2583" customWidth="1"/>
    <col min="15634" max="15634" width="10.08984375" style="2583" customWidth="1"/>
    <col min="15635" max="15635" width="10" style="2583" customWidth="1"/>
    <col min="15636" max="15636" width="26.08984375" style="2583" customWidth="1"/>
    <col min="15637" max="15872" width="8.90625" style="2583"/>
    <col min="15873" max="15873" width="9.453125" style="2583" customWidth="1"/>
    <col min="15874" max="15874" width="8.90625" style="2583"/>
    <col min="15875" max="15877" width="12.90625" style="2583" customWidth="1"/>
    <col min="15878" max="15878" width="47.453125" style="2583" customWidth="1"/>
    <col min="15879" max="15879" width="13" style="2583" customWidth="1"/>
    <col min="15880" max="15881" width="8.90625" style="2583"/>
    <col min="15882" max="15882" width="5.7265625" style="2583" customWidth="1"/>
    <col min="15883" max="15883" width="11.7265625" style="2583" customWidth="1"/>
    <col min="15884" max="15885" width="10.7265625" style="2583" customWidth="1"/>
    <col min="15886" max="15886" width="10" style="2583" customWidth="1"/>
    <col min="15887" max="15888" width="10.453125" style="2583" bestFit="1" customWidth="1"/>
    <col min="15889" max="15889" width="10" style="2583" customWidth="1"/>
    <col min="15890" max="15890" width="10.08984375" style="2583" customWidth="1"/>
    <col min="15891" max="15891" width="10" style="2583" customWidth="1"/>
    <col min="15892" max="15892" width="26.08984375" style="2583" customWidth="1"/>
    <col min="15893" max="16128" width="8.90625" style="2583"/>
    <col min="16129" max="16129" width="9.453125" style="2583" customWidth="1"/>
    <col min="16130" max="16130" width="8.90625" style="2583"/>
    <col min="16131" max="16133" width="12.90625" style="2583" customWidth="1"/>
    <col min="16134" max="16134" width="47.453125" style="2583" customWidth="1"/>
    <col min="16135" max="16135" width="13" style="2583" customWidth="1"/>
    <col min="16136" max="16137" width="8.90625" style="2583"/>
    <col min="16138" max="16138" width="5.7265625" style="2583" customWidth="1"/>
    <col min="16139" max="16139" width="11.7265625" style="2583" customWidth="1"/>
    <col min="16140" max="16141" width="10.7265625" style="2583" customWidth="1"/>
    <col min="16142" max="16142" width="10" style="2583" customWidth="1"/>
    <col min="16143" max="16144" width="10.453125" style="2583" bestFit="1" customWidth="1"/>
    <col min="16145" max="16145" width="10" style="2583" customWidth="1"/>
    <col min="16146" max="16146" width="10.08984375" style="2583" customWidth="1"/>
    <col min="16147" max="16147" width="10" style="2583" customWidth="1"/>
    <col min="16148" max="16148" width="26.08984375" style="2583" customWidth="1"/>
    <col min="16149" max="16384" width="8.9062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f ca="1">IF(D2="——",C40,C40+E2)</f>
        <v>60126</v>
      </c>
      <c r="C2" s="2585" t="s">
        <v>2311</v>
      </c>
      <c r="D2" s="3127" t="s">
        <v>3354</v>
      </c>
      <c r="E2" s="3128">
        <f ca="1">收益法!L46</f>
        <v>4850</v>
      </c>
      <c r="F2" s="2587"/>
      <c r="G2" s="2588"/>
      <c r="H2" s="2589"/>
      <c r="I2" s="2590"/>
      <c r="J2" s="3401" t="s">
        <v>2312</v>
      </c>
      <c r="K2" s="3402"/>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f ca="1">ROUND(B2*10000/B4,0)</f>
        <v>14377</v>
      </c>
      <c r="C3" s="2585" t="s">
        <v>2321</v>
      </c>
      <c r="D3" s="2585"/>
      <c r="E3" s="2586"/>
      <c r="F3" s="2587"/>
      <c r="G3" s="2588"/>
      <c r="H3" s="2589"/>
      <c r="I3" s="2590"/>
      <c r="J3" s="3403" t="s">
        <v>2322</v>
      </c>
      <c r="K3" s="3404"/>
      <c r="L3" s="2597"/>
      <c r="M3" s="2597"/>
      <c r="N3" s="2597"/>
      <c r="O3" s="2597"/>
      <c r="P3" s="2597"/>
      <c r="Q3" s="2598"/>
      <c r="R3" s="2599">
        <f>SUM(L3:Q3)</f>
        <v>0</v>
      </c>
      <c r="S3" s="2582"/>
      <c r="T3" s="2582"/>
      <c r="U3" s="2582"/>
      <c r="V3" s="2590"/>
    </row>
    <row r="4" spans="1:22" s="2594" customFormat="1" ht="13.15" customHeight="1">
      <c r="A4" s="2600" t="s">
        <v>2323</v>
      </c>
      <c r="B4" s="2601">
        <f>'数据-汇总表'!E3</f>
        <v>41819.959999999992</v>
      </c>
      <c r="C4" s="2585"/>
      <c r="D4" s="2585"/>
      <c r="E4" s="2586"/>
      <c r="F4" s="2587"/>
      <c r="G4" s="2588"/>
      <c r="H4" s="2589"/>
      <c r="I4" s="2590"/>
      <c r="J4" s="3403" t="s">
        <v>2324</v>
      </c>
      <c r="K4" s="3404"/>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05" t="s">
        <v>2328</v>
      </c>
      <c r="B6" s="3406"/>
      <c r="C6" s="3407"/>
      <c r="D6" s="3168">
        <v>6800</v>
      </c>
      <c r="E6" s="2611"/>
      <c r="F6" s="2612"/>
      <c r="G6" s="2613"/>
      <c r="H6" s="2589"/>
      <c r="I6" s="2590"/>
      <c r="J6" s="3408">
        <v>1</v>
      </c>
      <c r="K6" s="3409" t="s">
        <v>2329</v>
      </c>
      <c r="L6" s="2614" t="s">
        <v>2330</v>
      </c>
      <c r="M6" s="2615" t="s">
        <v>2331</v>
      </c>
      <c r="N6" s="2615" t="s">
        <v>2332</v>
      </c>
      <c r="O6" s="2615" t="s">
        <v>2333</v>
      </c>
      <c r="P6" s="2615" t="s">
        <v>2334</v>
      </c>
      <c r="Q6" s="2615" t="s">
        <v>2335</v>
      </c>
      <c r="R6" s="2599" t="s">
        <v>2336</v>
      </c>
      <c r="S6" s="2582"/>
      <c r="T6" s="2582" t="s">
        <v>2337</v>
      </c>
      <c r="U6" s="2582"/>
      <c r="V6" s="2590"/>
    </row>
    <row r="7" spans="1:22" s="2594" customFormat="1" ht="13.15" customHeight="1">
      <c r="A7" s="2616" t="s">
        <v>2338</v>
      </c>
      <c r="B7" s="2617"/>
      <c r="C7" s="2618"/>
      <c r="D7" s="2619">
        <f ca="1">SUM(D9,D10,D11,D17,0)</f>
        <v>3245</v>
      </c>
      <c r="E7" s="2620">
        <f ca="1">E9+E10+E11+E17</f>
        <v>0.4772058823529412</v>
      </c>
      <c r="F7" s="2621"/>
      <c r="G7" s="2622"/>
      <c r="H7" s="2589"/>
      <c r="I7" s="2590"/>
      <c r="J7" s="3408"/>
      <c r="K7" s="3410"/>
      <c r="L7" s="2623" t="s">
        <v>2339</v>
      </c>
      <c r="M7" s="2624"/>
      <c r="N7" s="2601"/>
      <c r="O7" s="2625"/>
      <c r="P7" s="2625"/>
      <c r="Q7" s="2626">
        <v>365</v>
      </c>
      <c r="R7" s="2627">
        <f>ROUND(M7*N7*O7*P7*Q7/10000,0)</f>
        <v>0</v>
      </c>
      <c r="S7" s="2582"/>
      <c r="T7" s="2582" t="s">
        <v>2340</v>
      </c>
      <c r="U7" s="2582"/>
      <c r="V7" s="2590"/>
    </row>
    <row r="8" spans="1:22" s="2594" customFormat="1" ht="13.15" customHeight="1">
      <c r="A8" s="2628" t="s">
        <v>2341</v>
      </c>
      <c r="B8" s="3412" t="s">
        <v>2342</v>
      </c>
      <c r="C8" s="3413"/>
      <c r="D8" s="2629" t="s">
        <v>2343</v>
      </c>
      <c r="E8" s="2630" t="s">
        <v>2344</v>
      </c>
      <c r="F8" s="2631" t="s">
        <v>2345</v>
      </c>
      <c r="G8" s="2632"/>
      <c r="H8" s="2589"/>
      <c r="I8" s="2590"/>
      <c r="J8" s="3408"/>
      <c r="K8" s="3410"/>
      <c r="L8" s="2623" t="s">
        <v>2346</v>
      </c>
      <c r="M8" s="2624"/>
      <c r="N8" s="2601"/>
      <c r="O8" s="2625"/>
      <c r="P8" s="2625"/>
      <c r="Q8" s="2626">
        <v>365</v>
      </c>
      <c r="R8" s="2627">
        <f t="shared" ref="R8:R13" si="0">ROUND(M8*N8*O8*P8*Q8/10000,0)</f>
        <v>0</v>
      </c>
      <c r="S8" s="2582"/>
      <c r="T8" s="2582" t="s">
        <v>2347</v>
      </c>
      <c r="U8" s="2582"/>
      <c r="V8" s="2590"/>
    </row>
    <row r="9" spans="1:22" s="2594" customFormat="1" ht="13.15" customHeight="1">
      <c r="A9" s="2628">
        <v>1</v>
      </c>
      <c r="B9" s="3412" t="s">
        <v>2348</v>
      </c>
      <c r="C9" s="3413"/>
      <c r="D9" s="2629">
        <f>ROUND(D6*E9,0)</f>
        <v>1224</v>
      </c>
      <c r="E9" s="2633">
        <v>0.18</v>
      </c>
      <c r="F9" s="2634" t="s">
        <v>2349</v>
      </c>
      <c r="G9" s="2613"/>
      <c r="H9" s="2589"/>
      <c r="I9" s="2590"/>
      <c r="J9" s="3408"/>
      <c r="K9" s="3410"/>
      <c r="L9" s="2623" t="s">
        <v>2350</v>
      </c>
      <c r="M9" s="2624"/>
      <c r="N9" s="2601"/>
      <c r="O9" s="2625"/>
      <c r="P9" s="2625"/>
      <c r="Q9" s="2626">
        <v>365</v>
      </c>
      <c r="R9" s="2627">
        <f t="shared" si="0"/>
        <v>0</v>
      </c>
      <c r="S9" s="2582"/>
      <c r="T9" s="2582"/>
      <c r="U9" s="2582"/>
      <c r="V9" s="2590"/>
    </row>
    <row r="10" spans="1:22" s="2594" customFormat="1" ht="13.15" customHeight="1">
      <c r="A10" s="2628">
        <v>2</v>
      </c>
      <c r="B10" s="3412" t="s">
        <v>2351</v>
      </c>
      <c r="C10" s="3413"/>
      <c r="D10" s="2629">
        <f>ROUND(D6*E10,0)</f>
        <v>680</v>
      </c>
      <c r="E10" s="2633">
        <v>0.1</v>
      </c>
      <c r="F10" s="2634" t="s">
        <v>2352</v>
      </c>
      <c r="G10" s="2613"/>
      <c r="H10" s="2589"/>
      <c r="I10" s="2590"/>
      <c r="J10" s="3408"/>
      <c r="K10" s="3410"/>
      <c r="L10" s="2623" t="s">
        <v>2353</v>
      </c>
      <c r="M10" s="2624"/>
      <c r="N10" s="2601"/>
      <c r="O10" s="2625"/>
      <c r="P10" s="2625"/>
      <c r="Q10" s="2626">
        <v>365</v>
      </c>
      <c r="R10" s="2627">
        <f t="shared" si="0"/>
        <v>0</v>
      </c>
      <c r="S10" s="2582"/>
      <c r="T10" s="2582"/>
      <c r="U10" s="2582"/>
      <c r="V10" s="2590"/>
    </row>
    <row r="11" spans="1:22" s="2594" customFormat="1" ht="13.15" customHeight="1">
      <c r="A11" s="2628">
        <v>3</v>
      </c>
      <c r="B11" s="3412" t="s">
        <v>2354</v>
      </c>
      <c r="C11" s="3413"/>
      <c r="D11" s="2629">
        <f ca="1">D12+D14+D15+D16</f>
        <v>1001</v>
      </c>
      <c r="E11" s="2635">
        <f ca="1">D11/D6</f>
        <v>0.14720588235294119</v>
      </c>
      <c r="F11" s="2631"/>
      <c r="G11" s="2632"/>
      <c r="H11" s="2589"/>
      <c r="I11" s="2590"/>
      <c r="J11" s="3408"/>
      <c r="K11" s="3410"/>
      <c r="L11" s="2623" t="s">
        <v>2355</v>
      </c>
      <c r="M11" s="2624"/>
      <c r="N11" s="2601"/>
      <c r="O11" s="2625"/>
      <c r="P11" s="2625"/>
      <c r="Q11" s="2626">
        <v>365</v>
      </c>
      <c r="R11" s="2627">
        <f t="shared" si="0"/>
        <v>0</v>
      </c>
      <c r="S11" s="2582"/>
      <c r="T11" s="2582"/>
      <c r="U11" s="2582"/>
      <c r="V11" s="2590"/>
    </row>
    <row r="12" spans="1:22" s="2594" customFormat="1" ht="13.15" customHeight="1">
      <c r="A12" s="2636" t="s">
        <v>2356</v>
      </c>
      <c r="B12" s="3414" t="s">
        <v>2357</v>
      </c>
      <c r="C12" s="3415"/>
      <c r="D12" s="2637">
        <f ca="1">ROUND(D13*1.2%*(1-30%),0)</f>
        <v>627</v>
      </c>
      <c r="E12" s="2638">
        <v>1.2E-2</v>
      </c>
      <c r="F12" s="2631" t="s">
        <v>2358</v>
      </c>
      <c r="G12" s="2632"/>
      <c r="H12" s="2589"/>
      <c r="I12" s="2590"/>
      <c r="J12" s="3408"/>
      <c r="K12" s="3410"/>
      <c r="L12" s="2623" t="s">
        <v>2359</v>
      </c>
      <c r="M12" s="2624"/>
      <c r="N12" s="2601"/>
      <c r="O12" s="2625"/>
      <c r="P12" s="2625"/>
      <c r="Q12" s="2626">
        <v>365</v>
      </c>
      <c r="R12" s="2627">
        <f t="shared" si="0"/>
        <v>0</v>
      </c>
      <c r="S12" s="2582"/>
      <c r="T12" s="2582"/>
      <c r="U12" s="2582"/>
      <c r="V12" s="2590"/>
    </row>
    <row r="13" spans="1:22" s="2594" customFormat="1" ht="13.15" customHeight="1">
      <c r="A13" s="2636"/>
      <c r="B13" s="2639"/>
      <c r="C13" s="2640" t="s">
        <v>2360</v>
      </c>
      <c r="D13" s="2641">
        <f ca="1">收益法!C29</f>
        <v>74694</v>
      </c>
      <c r="E13" s="2642"/>
      <c r="F13" s="2631"/>
      <c r="G13" s="2632"/>
      <c r="H13" s="2589"/>
      <c r="I13" s="2590"/>
      <c r="J13" s="3408"/>
      <c r="K13" s="3410"/>
      <c r="L13" s="2623" t="s">
        <v>2361</v>
      </c>
      <c r="M13" s="2624"/>
      <c r="N13" s="2601"/>
      <c r="O13" s="2625"/>
      <c r="P13" s="2625"/>
      <c r="Q13" s="2626">
        <v>365</v>
      </c>
      <c r="R13" s="2627">
        <f t="shared" si="0"/>
        <v>0</v>
      </c>
      <c r="S13" s="2582"/>
      <c r="T13" s="2582"/>
      <c r="U13" s="2582"/>
      <c r="V13" s="2590"/>
    </row>
    <row r="14" spans="1:22" s="2594" customFormat="1" ht="13.15" customHeight="1">
      <c r="A14" s="2636" t="s">
        <v>2362</v>
      </c>
      <c r="B14" s="3414" t="s">
        <v>2363</v>
      </c>
      <c r="C14" s="3415"/>
      <c r="D14" s="2637">
        <f>ROUND(E14*B5/10000,0)</f>
        <v>0</v>
      </c>
      <c r="E14" s="2626"/>
      <c r="F14" s="2631" t="s">
        <v>2364</v>
      </c>
      <c r="G14" s="2632"/>
      <c r="H14" s="2589"/>
      <c r="I14" s="2590"/>
      <c r="J14" s="3408"/>
      <c r="K14" s="3411"/>
      <c r="L14" s="2643" t="s">
        <v>2365</v>
      </c>
      <c r="M14" s="2644">
        <f>SUM(M7:M13)</f>
        <v>0</v>
      </c>
      <c r="N14" s="2644" t="e">
        <f>ROUND((N7*M7+N8*M8+N9*M9+N10*M10+N11*M11+N12*M12+N13*M13)/M14,0)</f>
        <v>#DIV/0!</v>
      </c>
      <c r="O14" s="2645"/>
      <c r="P14" s="2645"/>
      <c r="Q14" s="2646"/>
      <c r="R14" s="2593">
        <f>SUM(R7:R13)</f>
        <v>0</v>
      </c>
      <c r="S14" s="2582"/>
      <c r="T14" s="2582"/>
      <c r="U14" s="2582"/>
      <c r="V14" s="2590"/>
    </row>
    <row r="15" spans="1:22" s="2594" customFormat="1" ht="13.15" customHeight="1">
      <c r="A15" s="2636" t="s">
        <v>2366</v>
      </c>
      <c r="B15" s="3414" t="s">
        <v>2367</v>
      </c>
      <c r="C15" s="3415"/>
      <c r="D15" s="2637">
        <f>ROUND(D6*E15,0)</f>
        <v>374</v>
      </c>
      <c r="E15" s="2638">
        <v>5.5E-2</v>
      </c>
      <c r="F15" s="2631" t="s">
        <v>2368</v>
      </c>
      <c r="G15" s="2613"/>
      <c r="H15" s="2589"/>
      <c r="I15" s="2590"/>
      <c r="J15" s="3408">
        <v>2</v>
      </c>
      <c r="K15" s="3409" t="s">
        <v>2369</v>
      </c>
      <c r="L15" s="2623" t="s">
        <v>2370</v>
      </c>
      <c r="M15" s="2624" t="s">
        <v>2371</v>
      </c>
      <c r="N15" s="2624" t="s">
        <v>2372</v>
      </c>
      <c r="O15" s="2625" t="s">
        <v>2373</v>
      </c>
      <c r="P15" s="2625" t="s">
        <v>2335</v>
      </c>
      <c r="Q15" s="2601" t="s">
        <v>2374</v>
      </c>
      <c r="R15" s="2647" t="s">
        <v>2336</v>
      </c>
      <c r="S15" s="2582"/>
      <c r="T15" s="2582"/>
      <c r="U15" s="2582"/>
      <c r="V15" s="2590"/>
    </row>
    <row r="16" spans="1:22" s="2594" customFormat="1" ht="13.15" customHeight="1">
      <c r="A16" s="2636" t="s">
        <v>2375</v>
      </c>
      <c r="B16" s="3414" t="s">
        <v>2376</v>
      </c>
      <c r="C16" s="3415"/>
      <c r="D16" s="2648">
        <f>D6*E16</f>
        <v>0</v>
      </c>
      <c r="E16" s="2649"/>
      <c r="F16" s="2634" t="s">
        <v>2377</v>
      </c>
      <c r="G16" s="2613"/>
      <c r="H16" s="2589"/>
      <c r="I16" s="2590"/>
      <c r="J16" s="3408"/>
      <c r="K16" s="3410"/>
      <c r="L16" s="2623" t="s">
        <v>2378</v>
      </c>
      <c r="M16" s="2624"/>
      <c r="N16" s="2624"/>
      <c r="O16" s="2625"/>
      <c r="P16" s="2626">
        <v>365</v>
      </c>
      <c r="Q16" s="2601"/>
      <c r="R16" s="2647">
        <f>ROUND(M16*N16*O16*P16/10000,0)</f>
        <v>0</v>
      </c>
      <c r="S16" s="2582"/>
      <c r="T16" s="2582"/>
      <c r="U16" s="2582"/>
      <c r="V16" s="2590"/>
    </row>
    <row r="17" spans="1:22" s="2594" customFormat="1" ht="13.15" customHeight="1" thickBot="1">
      <c r="A17" s="2650">
        <v>4</v>
      </c>
      <c r="B17" s="3416" t="s">
        <v>2379</v>
      </c>
      <c r="C17" s="3417"/>
      <c r="D17" s="2651">
        <f>ROUND(D6*E17,0)</f>
        <v>340</v>
      </c>
      <c r="E17" s="2652">
        <v>0.05</v>
      </c>
      <c r="F17" s="2653" t="s">
        <v>2380</v>
      </c>
      <c r="G17" s="2613"/>
      <c r="H17" s="2589"/>
      <c r="I17" s="2590"/>
      <c r="J17" s="3408"/>
      <c r="K17" s="3410"/>
      <c r="L17" s="2623" t="s">
        <v>2381</v>
      </c>
      <c r="M17" s="2624"/>
      <c r="N17" s="2624"/>
      <c r="O17" s="2625"/>
      <c r="P17" s="2626">
        <v>365</v>
      </c>
      <c r="Q17" s="2601"/>
      <c r="R17" s="2647">
        <f>ROUND(M17*N17*O17*P17/10000,0)</f>
        <v>0</v>
      </c>
      <c r="S17" s="2582"/>
      <c r="T17" s="2582"/>
      <c r="U17" s="2582"/>
      <c r="V17" s="2590"/>
    </row>
    <row r="18" spans="1:22" s="2594" customFormat="1" ht="13.15" customHeight="1" thickBot="1">
      <c r="A18" s="2616" t="s">
        <v>2382</v>
      </c>
      <c r="B18" s="2617"/>
      <c r="C18" s="2617"/>
      <c r="D18" s="2654">
        <f>ROUND(D6*E18,0)</f>
        <v>340</v>
      </c>
      <c r="E18" s="2655">
        <v>0.05</v>
      </c>
      <c r="F18" s="2656" t="s">
        <v>2383</v>
      </c>
      <c r="G18" s="2613"/>
      <c r="H18" s="2589"/>
      <c r="I18" s="2590"/>
      <c r="J18" s="3408"/>
      <c r="K18" s="3410"/>
      <c r="L18" s="2623" t="s">
        <v>2384</v>
      </c>
      <c r="M18" s="2624"/>
      <c r="N18" s="2624"/>
      <c r="O18" s="2625"/>
      <c r="P18" s="2626">
        <v>365</v>
      </c>
      <c r="Q18" s="2601"/>
      <c r="R18" s="2647">
        <f>ROUND(M18*N18*O18*P18/10000,0)</f>
        <v>0</v>
      </c>
      <c r="S18" s="2582"/>
      <c r="T18" s="2582"/>
      <c r="U18" s="2582"/>
      <c r="V18" s="2590"/>
    </row>
    <row r="19" spans="1:22" s="2594" customFormat="1" ht="13.15" customHeight="1" thickBot="1">
      <c r="A19" s="2657" t="s">
        <v>2385</v>
      </c>
      <c r="B19" s="2611"/>
      <c r="C19" s="2611"/>
      <c r="D19" s="2611"/>
      <c r="E19" s="2611"/>
      <c r="F19" s="2612"/>
      <c r="G19" s="2632"/>
      <c r="H19" s="2589"/>
      <c r="I19" s="2590"/>
      <c r="J19" s="3408"/>
      <c r="K19" s="3411"/>
      <c r="L19" s="2643" t="s">
        <v>2365</v>
      </c>
      <c r="M19" s="2644"/>
      <c r="N19" s="2644">
        <f>SUM(N16:N18)</f>
        <v>0</v>
      </c>
      <c r="O19" s="2645"/>
      <c r="P19" s="2658" t="s">
        <v>2429</v>
      </c>
      <c r="Q19" s="2625">
        <v>0</v>
      </c>
      <c r="R19" s="2659">
        <f>ROUND(IF(P19="按比例",R14*Q19,SUM(R16:R18)),0)</f>
        <v>0</v>
      </c>
      <c r="S19" s="2582"/>
      <c r="T19" s="2582"/>
      <c r="U19" s="2582"/>
      <c r="V19" s="2590"/>
    </row>
    <row r="20" spans="1:22" s="2594" customFormat="1" ht="13.15" customHeight="1">
      <c r="A20" s="2616"/>
      <c r="B20" s="2617"/>
      <c r="C20" s="2617"/>
      <c r="D20" s="2617"/>
      <c r="E20" s="2617"/>
      <c r="F20" s="2660"/>
      <c r="G20" s="2632"/>
      <c r="H20" s="2589"/>
      <c r="I20" s="2590"/>
      <c r="J20" s="3408">
        <v>3</v>
      </c>
      <c r="K20" s="3409" t="s">
        <v>2386</v>
      </c>
      <c r="L20" s="2623" t="s">
        <v>2387</v>
      </c>
      <c r="M20" s="2624" t="s">
        <v>2388</v>
      </c>
      <c r="N20" s="2661" t="s">
        <v>2389</v>
      </c>
      <c r="O20" s="2625" t="s">
        <v>2390</v>
      </c>
      <c r="P20" s="2626" t="s">
        <v>2391</v>
      </c>
      <c r="Q20" s="2601" t="s">
        <v>2392</v>
      </c>
      <c r="R20" s="2647" t="s">
        <v>2393</v>
      </c>
      <c r="S20" s="2582"/>
      <c r="T20" s="2582"/>
      <c r="U20" s="2582"/>
      <c r="V20" s="2590"/>
    </row>
    <row r="21" spans="1:22" s="2594" customFormat="1" ht="13.15" customHeight="1">
      <c r="A21" s="2616"/>
      <c r="B21" s="2617"/>
      <c r="C21" s="2662" t="s">
        <v>2394</v>
      </c>
      <c r="D21" s="2663" t="s">
        <v>2395</v>
      </c>
      <c r="E21" s="2664" t="s">
        <v>2396</v>
      </c>
      <c r="F21" s="2660"/>
      <c r="G21" s="2632"/>
      <c r="H21" s="2589"/>
      <c r="I21" s="2590"/>
      <c r="J21" s="3408"/>
      <c r="K21" s="3410"/>
      <c r="L21" s="2623" t="s">
        <v>2397</v>
      </c>
      <c r="M21" s="2624"/>
      <c r="N21" s="2624"/>
      <c r="O21" s="2625"/>
      <c r="P21" s="2626">
        <v>365</v>
      </c>
      <c r="Q21" s="2601"/>
      <c r="R21" s="2665">
        <f>ROUND(M21*N21*O21*P21/10000,0)</f>
        <v>0</v>
      </c>
      <c r="S21" s="2582"/>
      <c r="T21" s="2582"/>
      <c r="U21" s="2582"/>
      <c r="V21" s="2590"/>
    </row>
    <row r="22" spans="1:22" s="2594" customFormat="1" ht="13.15" customHeight="1">
      <c r="A22" s="2616"/>
      <c r="B22" s="2617"/>
      <c r="C22" s="2666" t="s">
        <v>2398</v>
      </c>
      <c r="D22" s="2667" t="s">
        <v>2399</v>
      </c>
      <c r="E22" s="2668" t="s">
        <v>2400</v>
      </c>
      <c r="F22" s="2660"/>
      <c r="G22" s="2582"/>
      <c r="H22" s="2589"/>
      <c r="I22" s="2590"/>
      <c r="J22" s="3408"/>
      <c r="K22" s="3410"/>
      <c r="L22" s="2623" t="s">
        <v>2401</v>
      </c>
      <c r="M22" s="2624"/>
      <c r="N22" s="2624"/>
      <c r="O22" s="2625"/>
      <c r="P22" s="2626">
        <v>365</v>
      </c>
      <c r="Q22" s="2601"/>
      <c r="R22" s="2665">
        <f>ROUND(M22*N22*O22*P22/10000,0)</f>
        <v>0</v>
      </c>
      <c r="S22" s="2582"/>
      <c r="T22" s="2582"/>
      <c r="U22" s="2582"/>
      <c r="V22" s="2590"/>
    </row>
    <row r="23" spans="1:22" s="2594" customFormat="1" ht="13.15" customHeight="1">
      <c r="A23" s="2669">
        <v>1</v>
      </c>
      <c r="B23" s="2670" t="s">
        <v>2402</v>
      </c>
      <c r="C23" s="2671">
        <f>D6</f>
        <v>6800</v>
      </c>
      <c r="D23" s="2672">
        <f>C23*(1+D24)</f>
        <v>6800</v>
      </c>
      <c r="E23" s="2673">
        <f>D23*(1+E24)</f>
        <v>6800</v>
      </c>
      <c r="F23" s="2674"/>
      <c r="G23" s="2675"/>
      <c r="H23" s="2589"/>
      <c r="I23" s="2590"/>
      <c r="J23" s="3408"/>
      <c r="K23" s="3410"/>
      <c r="L23" s="2623" t="s">
        <v>2403</v>
      </c>
      <c r="M23" s="2624"/>
      <c r="N23" s="2624"/>
      <c r="O23" s="2625"/>
      <c r="P23" s="2626">
        <v>365</v>
      </c>
      <c r="Q23" s="2601"/>
      <c r="R23" s="2665">
        <f>ROUND(M23*N23*O23*P23/10000,0)</f>
        <v>0</v>
      </c>
      <c r="S23" s="2582"/>
      <c r="T23" s="2582"/>
      <c r="U23" s="2582"/>
      <c r="V23" s="2590"/>
    </row>
    <row r="24" spans="1:22" s="2594" customFormat="1" ht="13.15" customHeight="1">
      <c r="A24" s="2676"/>
      <c r="B24" s="2677" t="s">
        <v>2404</v>
      </c>
      <c r="C24" s="2678"/>
      <c r="D24" s="2679"/>
      <c r="E24" s="2680"/>
      <c r="F24" s="2681"/>
      <c r="G24" s="2675"/>
      <c r="H24" s="2589"/>
      <c r="I24" s="2590"/>
      <c r="J24" s="3408"/>
      <c r="K24" s="3411"/>
      <c r="L24" s="2643" t="s">
        <v>2365</v>
      </c>
      <c r="M24" s="2644">
        <f>SUM(M21:M23)</f>
        <v>0</v>
      </c>
      <c r="N24" s="2644"/>
      <c r="O24" s="2645"/>
      <c r="P24" s="2658" t="s">
        <v>2429</v>
      </c>
      <c r="Q24" s="2625">
        <v>0</v>
      </c>
      <c r="R24" s="2659">
        <f>ROUND(IF(P24="按比例",R14*Q24,SUM(R21:R23)),0)</f>
        <v>0</v>
      </c>
      <c r="S24" s="2582"/>
      <c r="T24" s="2582"/>
      <c r="U24" s="2582"/>
      <c r="V24" s="2590"/>
    </row>
    <row r="25" spans="1:22" s="2688" customFormat="1" ht="13.15" customHeight="1">
      <c r="A25" s="2676"/>
      <c r="B25" s="2677"/>
      <c r="C25" s="2678"/>
      <c r="D25" s="2679"/>
      <c r="E25" s="2680"/>
      <c r="F25" s="2681"/>
      <c r="G25" s="2582"/>
      <c r="H25" s="2589"/>
      <c r="I25" s="2590"/>
      <c r="J25" s="2682">
        <v>4</v>
      </c>
      <c r="K25" s="2683" t="s">
        <v>2405</v>
      </c>
      <c r="L25" s="2684"/>
      <c r="M25" s="2684"/>
      <c r="N25" s="2684"/>
      <c r="O25" s="2684"/>
      <c r="P25" s="2685"/>
      <c r="Q25" s="2686">
        <v>0</v>
      </c>
      <c r="R25" s="2659">
        <f>ROUND(R14*Q25,0)</f>
        <v>0</v>
      </c>
      <c r="S25" s="2582"/>
      <c r="T25" s="2582"/>
      <c r="U25" s="2582"/>
      <c r="V25" s="2687"/>
    </row>
    <row r="26" spans="1:22" s="2688" customFormat="1" ht="13.15" customHeight="1">
      <c r="A26" s="2669">
        <v>2</v>
      </c>
      <c r="B26" s="2670" t="s">
        <v>2406</v>
      </c>
      <c r="C26" s="2671">
        <f ca="1">D7</f>
        <v>3245</v>
      </c>
      <c r="D26" s="2672">
        <f>D23*D27</f>
        <v>0</v>
      </c>
      <c r="E26" s="2673">
        <f>E23*E27</f>
        <v>0</v>
      </c>
      <c r="F26" s="2674"/>
      <c r="G26" s="2675"/>
      <c r="H26" s="2589"/>
      <c r="I26" s="2590"/>
      <c r="J26" s="3418">
        <v>5</v>
      </c>
      <c r="K26" s="2689" t="s">
        <v>2407</v>
      </c>
      <c r="L26" s="2690"/>
      <c r="M26" s="2691"/>
      <c r="N26" s="2692" t="s">
        <v>2408</v>
      </c>
      <c r="O26" s="2692" t="s">
        <v>2409</v>
      </c>
      <c r="P26" s="2693" t="s">
        <v>2410</v>
      </c>
      <c r="Q26" s="2693" t="s">
        <v>2411</v>
      </c>
      <c r="R26" s="2599" t="s">
        <v>2336</v>
      </c>
      <c r="S26" s="2632"/>
      <c r="T26" s="2632"/>
      <c r="U26" s="2632"/>
      <c r="V26" s="2687"/>
    </row>
    <row r="27" spans="1:22" s="2594" customFormat="1" ht="13.15" customHeight="1">
      <c r="A27" s="2676"/>
      <c r="B27" s="2677" t="s">
        <v>2412</v>
      </c>
      <c r="C27" s="2694">
        <f ca="1">E7</f>
        <v>0.4772058823529412</v>
      </c>
      <c r="D27" s="2679"/>
      <c r="E27" s="2680"/>
      <c r="F27" s="2681"/>
      <c r="G27" s="2675"/>
      <c r="H27" s="2695"/>
      <c r="I27" s="2687"/>
      <c r="J27" s="3419"/>
      <c r="K27" s="2696"/>
      <c r="L27" s="2697"/>
      <c r="M27" s="2698"/>
      <c r="N27" s="2699"/>
      <c r="O27" s="2699"/>
      <c r="P27" s="2699"/>
      <c r="Q27" s="2700"/>
      <c r="R27" s="2659">
        <f>ROUND(O27*N27*P27*(1-Q27)/10000,0)</f>
        <v>0</v>
      </c>
      <c r="S27" s="2582"/>
      <c r="T27" s="2582"/>
      <c r="U27" s="2582"/>
      <c r="V27" s="2590"/>
    </row>
    <row r="28" spans="1:22" s="2688" customFormat="1" ht="13.15" customHeight="1" thickBot="1">
      <c r="A28" s="2676"/>
      <c r="B28" s="2677"/>
      <c r="C28" s="2694"/>
      <c r="D28" s="2679"/>
      <c r="E28" s="2680" t="s">
        <v>2413</v>
      </c>
      <c r="F28" s="2681"/>
      <c r="G28" s="2582"/>
      <c r="H28" s="2695"/>
      <c r="I28" s="2687"/>
      <c r="J28" s="2701">
        <v>6</v>
      </c>
      <c r="K28" s="2702" t="s">
        <v>2414</v>
      </c>
      <c r="L28" s="2703" t="s">
        <v>2415</v>
      </c>
      <c r="M28" s="2704"/>
      <c r="N28" s="2703" t="s">
        <v>2416</v>
      </c>
      <c r="O28" s="2705"/>
      <c r="P28" s="2703" t="s">
        <v>2417</v>
      </c>
      <c r="Q28" s="2706">
        <v>1.4999999999999999E-2</v>
      </c>
      <c r="R28" s="2707"/>
      <c r="S28" s="2582"/>
      <c r="T28" s="2582"/>
      <c r="U28" s="2582"/>
      <c r="V28" s="2687"/>
    </row>
    <row r="29" spans="1:22" s="2688" customFormat="1" ht="13.15" customHeight="1">
      <c r="A29" s="2669">
        <v>3</v>
      </c>
      <c r="B29" s="2670" t="s">
        <v>2418</v>
      </c>
      <c r="C29" s="2671">
        <f>C23*C30</f>
        <v>340</v>
      </c>
      <c r="D29" s="2672">
        <f>D23*C30</f>
        <v>340</v>
      </c>
      <c r="E29" s="2673">
        <f>E23*C30</f>
        <v>340</v>
      </c>
      <c r="F29" s="2674"/>
      <c r="G29" s="2675"/>
      <c r="H29" s="2589"/>
      <c r="I29" s="2590"/>
      <c r="J29" s="2582"/>
      <c r="K29" s="2582"/>
      <c r="L29" s="2582"/>
      <c r="M29" s="2582"/>
      <c r="N29" s="2582"/>
      <c r="O29" s="2582"/>
      <c r="P29" s="2582"/>
      <c r="Q29" s="2582"/>
      <c r="R29" s="2582"/>
      <c r="S29" s="2582"/>
      <c r="T29" s="2582"/>
      <c r="U29" s="2582"/>
      <c r="V29" s="2687"/>
    </row>
    <row r="30" spans="1:22" s="2594" customFormat="1" ht="13.15" customHeight="1" thickBot="1">
      <c r="A30" s="2676"/>
      <c r="B30" s="2677" t="s">
        <v>2412</v>
      </c>
      <c r="C30" s="2694">
        <f>E18</f>
        <v>0.05</v>
      </c>
      <c r="D30" s="2708"/>
      <c r="E30" s="2642"/>
      <c r="F30" s="2681"/>
      <c r="G30" s="2675"/>
      <c r="H30" s="2695"/>
      <c r="I30" s="2687"/>
      <c r="J30" s="2582"/>
      <c r="K30" s="2582"/>
      <c r="L30" s="2582"/>
      <c r="M30" s="2582"/>
      <c r="N30" s="2582"/>
      <c r="O30" s="2582"/>
      <c r="P30" s="2582"/>
      <c r="Q30" s="2582"/>
      <c r="R30" s="2582"/>
      <c r="S30" s="2582"/>
      <c r="T30" s="2582"/>
      <c r="U30" s="2582"/>
      <c r="V30" s="2590"/>
    </row>
    <row r="31" spans="1:22" s="2688" customFormat="1" ht="13.15" customHeight="1">
      <c r="A31" s="2676"/>
      <c r="B31" s="2677"/>
      <c r="C31" s="2709"/>
      <c r="D31" s="2708"/>
      <c r="E31" s="2642"/>
      <c r="F31" s="2681"/>
      <c r="G31" s="2582"/>
      <c r="H31" s="2695"/>
      <c r="I31" s="2687"/>
      <c r="J31" s="2579" t="s">
        <v>2419</v>
      </c>
      <c r="K31" s="2580"/>
      <c r="L31" s="2580"/>
      <c r="M31" s="2580"/>
      <c r="N31" s="2580"/>
      <c r="O31" s="2580"/>
      <c r="P31" s="2580"/>
      <c r="Q31" s="2580"/>
      <c r="R31" s="2581"/>
      <c r="S31" s="2582"/>
      <c r="T31" s="2582"/>
      <c r="U31" s="2582"/>
      <c r="V31" s="2687"/>
    </row>
    <row r="32" spans="1:22" s="2688" customFormat="1" ht="13.15" customHeight="1">
      <c r="A32" s="2669">
        <v>4</v>
      </c>
      <c r="B32" s="2670" t="s">
        <v>2420</v>
      </c>
      <c r="C32" s="2671">
        <f ca="1">C23-C26-C29</f>
        <v>3215</v>
      </c>
      <c r="D32" s="2672">
        <f>D23-D26-D29</f>
        <v>6460</v>
      </c>
      <c r="E32" s="2673">
        <f>E23-E26-E29</f>
        <v>6460</v>
      </c>
      <c r="F32" s="2674"/>
      <c r="G32" s="2582"/>
      <c r="H32" s="2589"/>
      <c r="I32" s="2590"/>
      <c r="J32" s="3401" t="s">
        <v>2312</v>
      </c>
      <c r="K32" s="3402"/>
      <c r="L32" s="2591" t="s">
        <v>2313</v>
      </c>
      <c r="M32" s="2591" t="s">
        <v>2314</v>
      </c>
      <c r="N32" s="2591" t="s">
        <v>2315</v>
      </c>
      <c r="O32" s="2591" t="s">
        <v>2316</v>
      </c>
      <c r="P32" s="2591" t="s">
        <v>2317</v>
      </c>
      <c r="Q32" s="2592" t="s">
        <v>2318</v>
      </c>
      <c r="R32" s="2710" t="s">
        <v>2319</v>
      </c>
      <c r="S32" s="2582"/>
      <c r="T32" s="2582"/>
      <c r="U32" s="2582"/>
      <c r="V32" s="2687"/>
    </row>
    <row r="33" spans="1:23" s="2594" customFormat="1" ht="13.15" customHeight="1">
      <c r="A33" s="2669"/>
      <c r="B33" s="2670"/>
      <c r="C33" s="2671"/>
      <c r="D33" s="2711"/>
      <c r="E33" s="2712"/>
      <c r="F33" s="2674"/>
      <c r="G33" s="2582"/>
      <c r="H33" s="2695"/>
      <c r="I33" s="2687"/>
      <c r="J33" s="3403" t="s">
        <v>2322</v>
      </c>
      <c r="K33" s="3404"/>
      <c r="L33" s="2597"/>
      <c r="M33" s="2597"/>
      <c r="N33" s="2597"/>
      <c r="O33" s="2597"/>
      <c r="P33" s="2597"/>
      <c r="Q33" s="2598"/>
      <c r="R33" s="2713">
        <f>SUM(L33:Q33)</f>
        <v>0</v>
      </c>
      <c r="S33" s="2582"/>
      <c r="T33" s="2582"/>
      <c r="U33" s="2582"/>
      <c r="V33" s="2590"/>
    </row>
    <row r="34" spans="1:23" s="2594" customFormat="1" ht="13.15" customHeight="1">
      <c r="A34" s="2669">
        <v>5</v>
      </c>
      <c r="B34" s="2670" t="s">
        <v>2421</v>
      </c>
      <c r="C34" s="2714">
        <v>5.5E-2</v>
      </c>
      <c r="D34" s="2715"/>
      <c r="E34" s="2716"/>
      <c r="F34" s="2674"/>
      <c r="G34" s="2582"/>
      <c r="H34" s="2695"/>
      <c r="I34" s="2687"/>
      <c r="J34" s="3403" t="s">
        <v>2324</v>
      </c>
      <c r="K34" s="3404"/>
      <c r="L34" s="2602"/>
      <c r="M34" s="2602"/>
      <c r="N34" s="2602"/>
      <c r="O34" s="2602"/>
      <c r="P34" s="2602"/>
      <c r="Q34" s="2603"/>
      <c r="R34" s="2717">
        <f>SUM(L34:Q34)</f>
        <v>0</v>
      </c>
      <c r="S34" s="2582"/>
      <c r="T34" s="2582"/>
      <c r="U34" s="2582" t="e">
        <f>ROUND(R35*10000/365/R33,1)</f>
        <v>#DIV/0!</v>
      </c>
      <c r="V34" s="2590"/>
    </row>
    <row r="35" spans="1:23" s="2594" customFormat="1" ht="13.15" customHeight="1">
      <c r="A35" s="2669">
        <v>6</v>
      </c>
      <c r="B35" s="2670" t="s">
        <v>2422</v>
      </c>
      <c r="C35" s="2718">
        <v>2.5000000000000001E-2</v>
      </c>
      <c r="D35" s="2719">
        <f>C35</f>
        <v>2.5000000000000001E-2</v>
      </c>
      <c r="E35" s="2720">
        <f>C35</f>
        <v>2.5000000000000001E-2</v>
      </c>
      <c r="F35" s="2674"/>
      <c r="G35" s="2721"/>
      <c r="H35" s="2589"/>
      <c r="I35" s="2687"/>
      <c r="J35" s="2608" t="s">
        <v>2326</v>
      </c>
      <c r="K35" s="2609"/>
      <c r="L35" s="2609"/>
      <c r="M35" s="2610"/>
      <c r="N35" s="2610"/>
      <c r="O35" s="2610"/>
      <c r="P35" s="2610"/>
      <c r="Q35" s="2610"/>
      <c r="R35" s="2722">
        <f>R40+R41+R43</f>
        <v>6800</v>
      </c>
      <c r="S35" s="2582"/>
      <c r="T35" s="2582" t="s">
        <v>2327</v>
      </c>
      <c r="U35" s="2582"/>
      <c r="V35" s="2590"/>
    </row>
    <row r="36" spans="1:23" s="2594" customFormat="1" ht="13.15" customHeight="1" thickBot="1">
      <c r="A36" s="2669">
        <v>7</v>
      </c>
      <c r="B36" s="2723" t="s">
        <v>2423</v>
      </c>
      <c r="C36" s="2724">
        <f ca="1">收益法!F41</f>
        <v>25.14</v>
      </c>
      <c r="D36" s="2725"/>
      <c r="E36" s="2726"/>
      <c r="F36" s="2727">
        <f ca="1">C36+D36+E36</f>
        <v>25.14</v>
      </c>
      <c r="G36" s="2582"/>
      <c r="H36" s="2589"/>
      <c r="I36" s="2590"/>
      <c r="J36" s="3408">
        <v>1</v>
      </c>
      <c r="K36" s="3409" t="s">
        <v>2424</v>
      </c>
      <c r="L36" s="2614"/>
      <c r="M36" s="2615"/>
      <c r="N36" s="2615"/>
      <c r="O36" s="2615"/>
      <c r="P36" s="2615"/>
      <c r="Q36" s="2615"/>
      <c r="R36" s="2599" t="s">
        <v>2336</v>
      </c>
      <c r="S36" s="2582"/>
      <c r="T36" s="2582" t="s">
        <v>2337</v>
      </c>
      <c r="U36" s="2582"/>
      <c r="V36" s="2590"/>
    </row>
    <row r="37" spans="1:23" s="2594" customFormat="1" ht="13.15" customHeight="1">
      <c r="A37" s="2669"/>
      <c r="B37" s="2670"/>
      <c r="C37" s="2670"/>
      <c r="D37" s="2670"/>
      <c r="E37" s="2670"/>
      <c r="F37" s="2674"/>
      <c r="G37" s="2582"/>
      <c r="H37" s="2589"/>
      <c r="I37" s="2590"/>
      <c r="J37" s="3408"/>
      <c r="K37" s="3410"/>
      <c r="L37" s="2623"/>
      <c r="M37" s="2624"/>
      <c r="N37" s="2601"/>
      <c r="O37" s="2625"/>
      <c r="P37" s="2625"/>
      <c r="Q37" s="2626"/>
      <c r="R37" s="2627">
        <v>6800</v>
      </c>
      <c r="S37" s="2582"/>
      <c r="T37" s="2582" t="s">
        <v>2340</v>
      </c>
      <c r="U37" s="2582"/>
      <c r="V37" s="2590"/>
    </row>
    <row r="38" spans="1:23" s="2594" customFormat="1" ht="13.15" customHeight="1">
      <c r="A38" s="2669">
        <v>8</v>
      </c>
      <c r="B38" s="2670"/>
      <c r="C38" s="2629">
        <f ca="1">ROUND(C32*(1-((1+C35)/(1+C34))^C36)/(C34-C35),0)</f>
        <v>55276</v>
      </c>
      <c r="D38" s="2629">
        <f>IF(D23=0,0,ROUND(D32*(1-((1+D35)/(1+D34))^D36)/(D34-D35),0))</f>
        <v>0</v>
      </c>
      <c r="E38" s="2629">
        <f>IF(E23=0,0,ROUND(E32*(1-((1+E35)/(1+E34))^E36)/(E34-E35),0))</f>
        <v>0</v>
      </c>
      <c r="F38" s="2674"/>
      <c r="G38" s="2582"/>
      <c r="H38" s="2589"/>
      <c r="I38" s="2590"/>
      <c r="J38" s="3408"/>
      <c r="K38" s="3410"/>
      <c r="L38" s="2623"/>
      <c r="M38" s="2624"/>
      <c r="N38" s="2601"/>
      <c r="O38" s="2625"/>
      <c r="P38" s="2625"/>
      <c r="Q38" s="2626"/>
      <c r="R38" s="2627"/>
      <c r="S38" s="2582"/>
      <c r="T38" s="2582" t="s">
        <v>2347</v>
      </c>
      <c r="U38" s="2582"/>
      <c r="V38" s="2590"/>
    </row>
    <row r="39" spans="1:23" s="2594" customFormat="1" ht="13.15" customHeight="1">
      <c r="A39" s="2669">
        <v>9</v>
      </c>
      <c r="B39" s="2670" t="s">
        <v>2425</v>
      </c>
      <c r="C39" s="2637">
        <f ca="1">C38</f>
        <v>55276</v>
      </c>
      <c r="D39" s="2670">
        <f ca="1">D38/(1+D34)^C36</f>
        <v>0</v>
      </c>
      <c r="E39" s="2670">
        <f ca="1">E38/(1+E34)^(C36+D36)</f>
        <v>0</v>
      </c>
      <c r="F39" s="2674"/>
      <c r="G39" s="2590"/>
      <c r="H39" s="2589"/>
      <c r="I39" s="2590"/>
      <c r="J39" s="3408"/>
      <c r="K39" s="3410"/>
      <c r="L39" s="2623"/>
      <c r="M39" s="2624"/>
      <c r="N39" s="2601"/>
      <c r="O39" s="2625"/>
      <c r="P39" s="2625"/>
      <c r="Q39" s="2626"/>
      <c r="R39" s="2627"/>
      <c r="S39" s="2582"/>
      <c r="T39" s="2582"/>
      <c r="U39" s="2582"/>
      <c r="V39" s="2590"/>
    </row>
    <row r="40" spans="1:23" s="2594" customFormat="1" ht="13.15" customHeight="1">
      <c r="A40" s="2728">
        <v>10</v>
      </c>
      <c r="B40" s="2670" t="s">
        <v>2426</v>
      </c>
      <c r="C40" s="2729">
        <f ca="1">C39+D39+E39</f>
        <v>55276</v>
      </c>
      <c r="D40" s="2730"/>
      <c r="E40" s="2730"/>
      <c r="F40" s="2731"/>
      <c r="G40" s="2582"/>
      <c r="H40" s="2589"/>
      <c r="I40" s="2590"/>
      <c r="J40" s="3408"/>
      <c r="K40" s="3411"/>
      <c r="L40" s="2643" t="s">
        <v>2365</v>
      </c>
      <c r="M40" s="2644"/>
      <c r="N40" s="2644"/>
      <c r="O40" s="2645"/>
      <c r="P40" s="2645"/>
      <c r="Q40" s="2646"/>
      <c r="R40" s="2593">
        <f>SUM(R37:R39)</f>
        <v>6800</v>
      </c>
      <c r="S40" s="2582"/>
      <c r="T40" s="2582"/>
      <c r="U40" s="2582"/>
      <c r="V40" s="2590"/>
    </row>
    <row r="41" spans="1:23" s="2594" customFormat="1" ht="13.15" customHeight="1" thickBot="1">
      <c r="A41" s="2732">
        <v>11</v>
      </c>
      <c r="B41" s="2733" t="s">
        <v>2427</v>
      </c>
      <c r="C41" s="2733">
        <f ca="1">ROUND(C40*10000/B4,0)</f>
        <v>13218</v>
      </c>
      <c r="D41" s="2734"/>
      <c r="E41" s="2734"/>
      <c r="F41" s="2735"/>
      <c r="G41" s="2589"/>
      <c r="H41" s="2589"/>
      <c r="I41" s="2590"/>
      <c r="J41" s="2682">
        <v>2</v>
      </c>
      <c r="K41" s="2683" t="s">
        <v>2405</v>
      </c>
      <c r="L41" s="2684"/>
      <c r="M41" s="2684"/>
      <c r="N41" s="2684"/>
      <c r="O41" s="2684"/>
      <c r="P41" s="2685"/>
      <c r="Q41" s="2686"/>
      <c r="R41" s="2659">
        <f>ROUND(R40*Q41,0)</f>
        <v>0</v>
      </c>
      <c r="S41" s="2582"/>
      <c r="T41" s="2582"/>
      <c r="U41" s="2632"/>
      <c r="V41" s="2590"/>
    </row>
    <row r="42" spans="1:23" s="2594" customFormat="1" ht="13.15" customHeight="1">
      <c r="G42" s="2589"/>
      <c r="H42" s="2589"/>
      <c r="I42" s="2590"/>
      <c r="J42" s="3418">
        <v>3</v>
      </c>
      <c r="K42" s="2689" t="s">
        <v>2407</v>
      </c>
      <c r="L42" s="2690"/>
      <c r="M42" s="2691"/>
      <c r="N42" s="2692" t="s">
        <v>2408</v>
      </c>
      <c r="O42" s="2692" t="s">
        <v>2409</v>
      </c>
      <c r="P42" s="2693" t="s">
        <v>2410</v>
      </c>
      <c r="Q42" s="2693" t="s">
        <v>2411</v>
      </c>
      <c r="R42" s="2599" t="s">
        <v>2336</v>
      </c>
      <c r="S42" s="2632"/>
      <c r="T42" s="2632"/>
      <c r="U42" s="2582"/>
      <c r="V42" s="2590"/>
    </row>
    <row r="43" spans="1:23" ht="13.15" customHeight="1">
      <c r="A43" s="2594"/>
      <c r="B43" s="2594"/>
      <c r="C43" s="2594"/>
      <c r="D43" s="2594"/>
      <c r="E43" s="2594"/>
      <c r="F43" s="2594"/>
      <c r="I43" s="2577"/>
      <c r="J43" s="3419"/>
      <c r="K43" s="2696"/>
      <c r="L43" s="2697"/>
      <c r="M43" s="2698"/>
      <c r="N43" s="2624"/>
      <c r="O43" s="2624"/>
      <c r="P43" s="2624"/>
      <c r="Q43" s="2686"/>
      <c r="R43" s="2659">
        <f>ROUND(O43*N43*P43*(1-Q43)/10000,0)</f>
        <v>0</v>
      </c>
      <c r="S43" s="2582"/>
      <c r="T43" s="2582"/>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4"/>
  <cols>
    <col min="1" max="1" width="23.6328125" style="634" customWidth="1"/>
    <col min="2" max="2" width="12" style="634" customWidth="1"/>
    <col min="3" max="3" width="9" style="634"/>
    <col min="4" max="4" width="14.08984375" style="634" customWidth="1"/>
    <col min="5" max="5" width="9" style="634"/>
    <col min="6" max="6" width="12.9062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5">
      <c r="A2" s="1719" t="s">
        <v>1462</v>
      </c>
      <c r="B2" s="804">
        <f ca="1">SUMIF(B6:B13,"&lt;&gt;#ref!",B6:B13)</f>
        <v>-14477</v>
      </c>
      <c r="C2" s="1720" t="s">
        <v>1651</v>
      </c>
      <c r="D2" s="1721" t="s">
        <v>1652</v>
      </c>
      <c r="E2" s="2383">
        <f>SUM(E6:E13)</f>
        <v>41819.959999999992</v>
      </c>
      <c r="F2" s="2469"/>
      <c r="G2" s="453"/>
      <c r="H2" s="453"/>
      <c r="I2" s="453"/>
      <c r="J2" s="453"/>
      <c r="K2" s="453"/>
      <c r="L2" s="453"/>
      <c r="M2" s="453"/>
      <c r="N2" s="453"/>
      <c r="O2" s="453"/>
      <c r="P2" s="453"/>
      <c r="Q2" s="453"/>
      <c r="R2" s="453"/>
      <c r="S2" s="453"/>
    </row>
    <row r="3" spans="1:22" ht="15.5">
      <c r="A3" s="1719" t="s">
        <v>686</v>
      </c>
      <c r="B3" s="2377">
        <f ca="1">ROUND(B2*10000/E2,0)</f>
        <v>-3462</v>
      </c>
      <c r="C3" s="1720" t="s">
        <v>1659</v>
      </c>
      <c r="D3" s="2469"/>
      <c r="E3" s="2472"/>
      <c r="F3" s="2469"/>
      <c r="G3" s="453"/>
      <c r="H3" s="453"/>
      <c r="I3" s="453"/>
      <c r="J3" s="453"/>
      <c r="K3" s="453"/>
      <c r="L3" s="453"/>
      <c r="M3" s="453"/>
      <c r="N3" s="453"/>
      <c r="O3" s="453"/>
      <c r="P3" s="453"/>
      <c r="Q3" s="453"/>
      <c r="R3" s="453"/>
      <c r="S3" s="453"/>
    </row>
    <row r="4" spans="1:22" ht="15.5">
      <c r="A4" s="2473"/>
      <c r="B4" s="2469"/>
      <c r="C4" s="2469"/>
      <c r="D4" s="2469"/>
      <c r="E4" s="2472"/>
      <c r="F4" s="2469"/>
      <c r="G4" s="453"/>
      <c r="H4" s="453"/>
      <c r="I4" s="453"/>
      <c r="J4" s="453"/>
      <c r="K4" s="453"/>
      <c r="L4" s="453"/>
      <c r="M4" s="453"/>
      <c r="N4" s="453"/>
      <c r="O4" s="453"/>
      <c r="P4" s="453"/>
      <c r="Q4" s="453"/>
      <c r="R4" s="453"/>
      <c r="S4" s="453"/>
    </row>
    <row r="5" spans="1:22">
      <c r="A5" s="2379" t="s">
        <v>1653</v>
      </c>
      <c r="B5" s="3420" t="s">
        <v>1654</v>
      </c>
      <c r="C5" s="3421"/>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-14477</v>
      </c>
      <c r="C6" s="1720" t="s">
        <v>1651</v>
      </c>
      <c r="D6" s="2469"/>
      <c r="E6" s="2382">
        <f>IF(OR(A6=0,F6="否"),0,'数据-取费表'!K6+'数据-取费表'!S6)</f>
        <v>41819.959999999992</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4.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
  <cols>
    <col min="1" max="1" width="10.453125" style="341" customWidth="1"/>
    <col min="2" max="3" width="15.7265625" style="341" customWidth="1"/>
    <col min="4" max="4" width="12.26953125" style="341" customWidth="1"/>
    <col min="5" max="5" width="17.08984375" style="341" customWidth="1"/>
    <col min="6" max="6" width="12.26953125" style="341" customWidth="1"/>
    <col min="7" max="7" width="16.453125" style="341" customWidth="1"/>
    <col min="8" max="8" width="12.26953125" style="341" customWidth="1"/>
    <col min="9" max="9" width="15.6328125" style="341" customWidth="1"/>
    <col min="10" max="10" width="12.26953125" style="341" customWidth="1"/>
    <col min="11" max="11" width="12.26953125" style="424" customWidth="1"/>
    <col min="12" max="12" width="12.26953125" style="425" customWidth="1"/>
    <col min="13" max="15" width="12.26953125" style="341" customWidth="1"/>
    <col min="16" max="16" width="4.7265625" style="1760"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1660</v>
      </c>
      <c r="B1" s="1725" t="s">
        <v>1661</v>
      </c>
      <c r="C1" s="1147" t="s">
        <v>1662</v>
      </c>
      <c r="D1" s="1134"/>
      <c r="E1" s="3113"/>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4"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41819.959999999992</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c r="A4" s="339" t="s">
        <v>1666</v>
      </c>
      <c r="B4" s="340"/>
      <c r="C4" s="3369" t="s">
        <v>1667</v>
      </c>
      <c r="D4" s="3370"/>
      <c r="E4" s="3371" t="s">
        <v>1668</v>
      </c>
      <c r="F4" s="3372"/>
      <c r="G4" s="3369" t="s">
        <v>1669</v>
      </c>
      <c r="H4" s="3370"/>
      <c r="I4" s="3369" t="s">
        <v>1670</v>
      </c>
      <c r="J4" s="3370"/>
      <c r="K4" s="1735" t="s">
        <v>1671</v>
      </c>
      <c r="L4" s="2476"/>
      <c r="M4" s="2477"/>
      <c r="N4" s="2477"/>
      <c r="O4" s="2477"/>
      <c r="P4" s="3373" t="s">
        <v>1672</v>
      </c>
      <c r="Q4" s="3374"/>
      <c r="R4" s="3356" t="s">
        <v>1668</v>
      </c>
      <c r="S4" s="3357"/>
      <c r="T4" s="3356" t="s">
        <v>1669</v>
      </c>
      <c r="U4" s="3357"/>
      <c r="V4" s="3381" t="s">
        <v>1670</v>
      </c>
      <c r="W4" s="3381"/>
      <c r="X4" s="1257"/>
      <c r="Y4" s="3356" t="s">
        <v>1672</v>
      </c>
      <c r="Z4" s="3357"/>
      <c r="AA4" s="3351" t="s">
        <v>1668</v>
      </c>
      <c r="AB4" s="3351" t="s">
        <v>1669</v>
      </c>
      <c r="AC4" s="3351" t="s">
        <v>1670</v>
      </c>
    </row>
    <row r="5" spans="1:29">
      <c r="A5" s="342"/>
      <c r="B5" s="343"/>
      <c r="C5" s="3362" t="s">
        <v>1673</v>
      </c>
      <c r="D5" s="3363"/>
      <c r="E5" s="3360" t="s">
        <v>1674</v>
      </c>
      <c r="F5" s="3361"/>
      <c r="G5" s="3362" t="s">
        <v>1675</v>
      </c>
      <c r="H5" s="3363"/>
      <c r="I5" s="3362" t="s">
        <v>1676</v>
      </c>
      <c r="J5" s="3363"/>
      <c r="K5" s="1736"/>
      <c r="L5" s="2476"/>
      <c r="M5" s="2477"/>
      <c r="N5" s="2477"/>
      <c r="O5" s="2477"/>
      <c r="P5" s="3375"/>
      <c r="Q5" s="3376"/>
      <c r="R5" s="3358"/>
      <c r="S5" s="3359"/>
      <c r="T5" s="3358"/>
      <c r="U5" s="3359"/>
      <c r="V5" s="3381"/>
      <c r="W5" s="3381"/>
      <c r="X5" s="1257"/>
      <c r="Y5" s="3358"/>
      <c r="Z5" s="3359"/>
      <c r="AA5" s="3352"/>
      <c r="AB5" s="3352"/>
      <c r="AC5" s="3352"/>
    </row>
    <row r="6" spans="1:29" ht="15" thickBot="1">
      <c r="A6" s="344"/>
      <c r="B6" s="345"/>
      <c r="C6" s="3364" t="s">
        <v>1677</v>
      </c>
      <c r="D6" s="3365"/>
      <c r="E6" s="3366" t="s">
        <v>1677</v>
      </c>
      <c r="F6" s="3367"/>
      <c r="G6" s="3364" t="s">
        <v>1677</v>
      </c>
      <c r="H6" s="3365"/>
      <c r="I6" s="3364" t="s">
        <v>1677</v>
      </c>
      <c r="J6" s="3365"/>
      <c r="K6" s="1736" t="s">
        <v>1678</v>
      </c>
      <c r="L6" s="2476"/>
      <c r="M6" s="2477"/>
      <c r="N6" s="2477"/>
      <c r="O6" s="2477"/>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54" t="s">
        <v>1680</v>
      </c>
      <c r="Q7" s="3382"/>
      <c r="R7" s="656" t="s">
        <v>20</v>
      </c>
      <c r="S7" s="657">
        <f t="shared" ref="S7:S15" si="0">F7</f>
        <v>0</v>
      </c>
      <c r="T7" s="656" t="s">
        <v>20</v>
      </c>
      <c r="U7" s="657">
        <f t="shared" ref="U7:U15" si="1">H7</f>
        <v>0</v>
      </c>
      <c r="V7" s="656" t="s">
        <v>20</v>
      </c>
      <c r="W7" s="657">
        <f t="shared" ref="W7:W15" si="2">J7</f>
        <v>0</v>
      </c>
      <c r="X7" s="658"/>
      <c r="Y7" s="3354" t="s">
        <v>1680</v>
      </c>
      <c r="Z7" s="3355"/>
      <c r="AA7" s="50" t="e">
        <f>D7/F7</f>
        <v>#DIV/0!</v>
      </c>
      <c r="AB7" s="50" t="e">
        <f>D7/H7</f>
        <v>#DIV/0!</v>
      </c>
      <c r="AC7" s="50" t="e">
        <f>D7/J7</f>
        <v>#DIV/0!</v>
      </c>
    </row>
    <row r="8" spans="1:29" s="102" customFormat="1" ht="14.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54" t="s">
        <v>1683</v>
      </c>
      <c r="Q8" s="3355"/>
      <c r="R8" s="656" t="s">
        <v>20</v>
      </c>
      <c r="S8" s="657">
        <f t="shared" si="0"/>
        <v>100</v>
      </c>
      <c r="T8" s="656" t="s">
        <v>20</v>
      </c>
      <c r="U8" s="657">
        <f t="shared" si="1"/>
        <v>100</v>
      </c>
      <c r="V8" s="656" t="s">
        <v>20</v>
      </c>
      <c r="W8" s="657">
        <f t="shared" si="2"/>
        <v>100</v>
      </c>
      <c r="X8" s="658"/>
      <c r="Y8" s="3354" t="s">
        <v>1683</v>
      </c>
      <c r="Z8" s="3355"/>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8">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1737"/>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92"/>
      <c r="Q11" s="524" t="str">
        <f t="shared" si="6"/>
        <v>容积率</v>
      </c>
      <c r="R11" s="656" t="s">
        <v>18</v>
      </c>
      <c r="S11" s="657" t="e">
        <f t="shared" si="0"/>
        <v>#N/A</v>
      </c>
      <c r="T11" s="656" t="s">
        <v>18</v>
      </c>
      <c r="U11" s="657" t="e">
        <f t="shared" si="1"/>
        <v>#N/A</v>
      </c>
      <c r="V11" s="656" t="s">
        <v>18</v>
      </c>
      <c r="W11" s="657" t="e">
        <f t="shared" si="2"/>
        <v>#N/A</v>
      </c>
      <c r="X11" s="658"/>
      <c r="Y11" s="3327"/>
      <c r="Z11" s="50" t="str">
        <f t="shared" si="7"/>
        <v>容积率</v>
      </c>
      <c r="AA11" s="50" t="e">
        <f t="shared" si="3"/>
        <v>#N/A</v>
      </c>
      <c r="AB11" s="50" t="e">
        <f t="shared" si="4"/>
        <v>#N/A</v>
      </c>
      <c r="AC11" s="50" t="e">
        <f t="shared" si="5"/>
        <v>#N/A</v>
      </c>
    </row>
    <row r="12" spans="1:29" s="102" customFormat="1" ht="15.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92"/>
      <c r="Q12" s="524">
        <f t="shared" si="6"/>
        <v>111</v>
      </c>
      <c r="R12" s="656" t="s">
        <v>18</v>
      </c>
      <c r="S12" s="657">
        <f t="shared" si="0"/>
        <v>100</v>
      </c>
      <c r="T12" s="656" t="s">
        <v>18</v>
      </c>
      <c r="U12" s="657">
        <f t="shared" si="1"/>
        <v>100</v>
      </c>
      <c r="V12" s="656" t="s">
        <v>18</v>
      </c>
      <c r="W12" s="657">
        <f t="shared" si="2"/>
        <v>100</v>
      </c>
      <c r="X12" s="658"/>
      <c r="Y12" s="3327"/>
      <c r="Z12" s="50">
        <f t="shared" si="7"/>
        <v>111</v>
      </c>
      <c r="AA12" s="50">
        <f>D12/F12</f>
        <v>1</v>
      </c>
      <c r="AB12" s="50">
        <f>D12/H12</f>
        <v>1</v>
      </c>
      <c r="AC12" s="50">
        <f>D12/J12</f>
        <v>1</v>
      </c>
    </row>
    <row r="13" spans="1:29" ht="15.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92"/>
      <c r="Q13" s="524">
        <f t="shared" si="6"/>
        <v>111</v>
      </c>
      <c r="R13" s="656" t="s">
        <v>18</v>
      </c>
      <c r="S13" s="657">
        <f t="shared" si="0"/>
        <v>100</v>
      </c>
      <c r="T13" s="656" t="s">
        <v>18</v>
      </c>
      <c r="U13" s="657">
        <f t="shared" si="1"/>
        <v>100</v>
      </c>
      <c r="V13" s="656" t="s">
        <v>18</v>
      </c>
      <c r="W13" s="657">
        <f t="shared" si="2"/>
        <v>100</v>
      </c>
      <c r="X13" s="658"/>
      <c r="Y13" s="3327"/>
      <c r="Z13" s="50">
        <f t="shared" si="7"/>
        <v>111</v>
      </c>
      <c r="AA13" s="50">
        <f t="shared" si="3"/>
        <v>1</v>
      </c>
      <c r="AB13" s="50">
        <f t="shared" si="4"/>
        <v>1</v>
      </c>
      <c r="AC13" s="50">
        <f t="shared" si="5"/>
        <v>1</v>
      </c>
    </row>
    <row r="14" spans="1:29" ht="16"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92"/>
      <c r="Q14" s="524">
        <f t="shared" si="6"/>
        <v>111</v>
      </c>
      <c r="R14" s="656" t="s">
        <v>18</v>
      </c>
      <c r="S14" s="657">
        <f t="shared" si="0"/>
        <v>100</v>
      </c>
      <c r="T14" s="656" t="s">
        <v>18</v>
      </c>
      <c r="U14" s="657">
        <f t="shared" si="1"/>
        <v>100</v>
      </c>
      <c r="V14" s="656" t="s">
        <v>18</v>
      </c>
      <c r="W14" s="657">
        <f t="shared" si="2"/>
        <v>100</v>
      </c>
      <c r="X14" s="658"/>
      <c r="Y14" s="3327"/>
      <c r="Z14" s="50">
        <f t="shared" si="7"/>
        <v>111</v>
      </c>
      <c r="AA14" s="50">
        <f t="shared" si="3"/>
        <v>1</v>
      </c>
      <c r="AB14" s="50">
        <f t="shared" si="4"/>
        <v>1</v>
      </c>
      <c r="AC14" s="50">
        <f t="shared" si="5"/>
        <v>1</v>
      </c>
    </row>
    <row r="15" spans="1:29" ht="15.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27" t="s">
        <v>1691</v>
      </c>
      <c r="Q15" s="1255" t="str">
        <f t="shared" si="6"/>
        <v>居住社区成熟度</v>
      </c>
      <c r="R15" s="659" t="s">
        <v>18</v>
      </c>
      <c r="S15" s="660">
        <f t="shared" si="0"/>
        <v>100</v>
      </c>
      <c r="T15" s="659" t="s">
        <v>18</v>
      </c>
      <c r="U15" s="660">
        <f t="shared" si="1"/>
        <v>100</v>
      </c>
      <c r="V15" s="659" t="s">
        <v>18</v>
      </c>
      <c r="W15" s="660">
        <f t="shared" si="2"/>
        <v>100</v>
      </c>
      <c r="X15" s="1257"/>
      <c r="Y15" s="3383" t="s">
        <v>1691</v>
      </c>
      <c r="Z15" s="1256" t="str">
        <f t="shared" si="7"/>
        <v>居住社区成熟度</v>
      </c>
      <c r="AA15" s="1256">
        <f t="shared" si="3"/>
        <v>1</v>
      </c>
      <c r="AB15" s="1256">
        <f t="shared" si="4"/>
        <v>1</v>
      </c>
      <c r="AC15" s="1256">
        <f t="shared" si="5"/>
        <v>1</v>
      </c>
    </row>
    <row r="16" spans="1:29" ht="15.5">
      <c r="A16" s="361"/>
      <c r="B16" s="379"/>
      <c r="C16" s="380"/>
      <c r="D16" s="381"/>
      <c r="E16" s="1742"/>
      <c r="F16" s="381"/>
      <c r="G16" s="1743"/>
      <c r="H16" s="383"/>
      <c r="I16" s="1743"/>
      <c r="J16" s="381"/>
      <c r="K16" s="1744"/>
      <c r="L16" s="2482"/>
      <c r="M16" s="2477"/>
      <c r="N16" s="2477"/>
      <c r="O16" s="2477"/>
      <c r="P16" s="3428"/>
      <c r="Q16" s="1255"/>
      <c r="R16" s="659"/>
      <c r="S16" s="660"/>
      <c r="T16" s="659"/>
      <c r="U16" s="660"/>
      <c r="V16" s="659"/>
      <c r="W16" s="660"/>
      <c r="X16" s="1257"/>
      <c r="Y16" s="3384"/>
      <c r="Z16" s="1256"/>
      <c r="AA16" s="1256">
        <v>1</v>
      </c>
      <c r="AB16" s="1256">
        <v>1</v>
      </c>
      <c r="AC16" s="1256">
        <v>1</v>
      </c>
    </row>
    <row r="17" spans="1:29" ht="140">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28"/>
      <c r="Q17" s="1255" t="str">
        <f>B17</f>
        <v>交通便捷度</v>
      </c>
      <c r="R17" s="659" t="s">
        <v>18</v>
      </c>
      <c r="S17" s="660">
        <f>F17</f>
        <v>100</v>
      </c>
      <c r="T17" s="659" t="s">
        <v>18</v>
      </c>
      <c r="U17" s="660">
        <f>H17</f>
        <v>100</v>
      </c>
      <c r="V17" s="659" t="s">
        <v>18</v>
      </c>
      <c r="W17" s="660">
        <f>J17</f>
        <v>100</v>
      </c>
      <c r="X17" s="1257"/>
      <c r="Y17" s="3384"/>
      <c r="Z17" s="1256" t="str">
        <f>Q17</f>
        <v>交通便捷度</v>
      </c>
      <c r="AA17" s="1256">
        <f t="shared" si="3"/>
        <v>1</v>
      </c>
      <c r="AB17" s="1256">
        <f t="shared" si="4"/>
        <v>1</v>
      </c>
      <c r="AC17" s="1256">
        <f t="shared" si="5"/>
        <v>1</v>
      </c>
    </row>
    <row r="18" spans="1:29" ht="15.5">
      <c r="A18" s="361"/>
      <c r="B18" s="389"/>
      <c r="C18" s="1746"/>
      <c r="D18" s="383"/>
      <c r="E18" s="1747"/>
      <c r="F18" s="383"/>
      <c r="G18" s="1748"/>
      <c r="H18" s="381"/>
      <c r="I18" s="1748"/>
      <c r="J18" s="381"/>
      <c r="K18" s="1744"/>
      <c r="L18" s="2482"/>
      <c r="M18" s="2477"/>
      <c r="N18" s="2477"/>
      <c r="O18" s="2477"/>
      <c r="P18" s="3428"/>
      <c r="Q18" s="1255"/>
      <c r="R18" s="659"/>
      <c r="S18" s="660"/>
      <c r="T18" s="659"/>
      <c r="U18" s="660"/>
      <c r="V18" s="659"/>
      <c r="W18" s="660"/>
      <c r="X18" s="1257"/>
      <c r="Y18" s="3384"/>
      <c r="Z18" s="1256"/>
      <c r="AA18" s="1256">
        <v>1</v>
      </c>
      <c r="AB18" s="1256">
        <v>1</v>
      </c>
      <c r="AC18" s="1256">
        <v>1</v>
      </c>
    </row>
    <row r="19" spans="1:29" ht="42">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28"/>
      <c r="Q19" s="1255" t="str">
        <f>B19</f>
        <v>公共配套设施</v>
      </c>
      <c r="R19" s="659" t="s">
        <v>18</v>
      </c>
      <c r="S19" s="660">
        <f>F19</f>
        <v>100</v>
      </c>
      <c r="T19" s="659" t="s">
        <v>18</v>
      </c>
      <c r="U19" s="660">
        <f>H19</f>
        <v>100</v>
      </c>
      <c r="V19" s="659" t="s">
        <v>18</v>
      </c>
      <c r="W19" s="660">
        <f>J19</f>
        <v>100</v>
      </c>
      <c r="X19" s="1257"/>
      <c r="Y19" s="3384"/>
      <c r="Z19" s="1256" t="str">
        <f>Q19</f>
        <v>公共配套设施</v>
      </c>
      <c r="AA19" s="1256">
        <f t="shared" si="3"/>
        <v>1</v>
      </c>
      <c r="AB19" s="1256">
        <f t="shared" si="4"/>
        <v>1</v>
      </c>
      <c r="AC19" s="1256">
        <f t="shared" si="5"/>
        <v>1</v>
      </c>
    </row>
    <row r="20" spans="1:29" ht="15.5">
      <c r="A20" s="361"/>
      <c r="B20" s="389"/>
      <c r="C20" s="380"/>
      <c r="D20" s="381"/>
      <c r="E20" s="1742"/>
      <c r="F20" s="381"/>
      <c r="G20" s="1743"/>
      <c r="H20" s="381"/>
      <c r="I20" s="1743"/>
      <c r="J20" s="381"/>
      <c r="K20" s="1744"/>
      <c r="L20" s="2482"/>
      <c r="M20" s="2477"/>
      <c r="N20" s="2477"/>
      <c r="O20" s="2477"/>
      <c r="P20" s="3428"/>
      <c r="Q20" s="1255"/>
      <c r="R20" s="659"/>
      <c r="S20" s="660"/>
      <c r="T20" s="659"/>
      <c r="U20" s="660"/>
      <c r="V20" s="659"/>
      <c r="W20" s="660"/>
      <c r="X20" s="1257"/>
      <c r="Y20" s="3384"/>
      <c r="Z20" s="1256"/>
      <c r="AA20" s="1256">
        <v>1</v>
      </c>
      <c r="AB20" s="1256">
        <v>1</v>
      </c>
      <c r="AC20" s="1256">
        <v>1</v>
      </c>
    </row>
    <row r="21" spans="1:29" ht="15.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5">
      <c r="A22" s="361"/>
      <c r="B22" s="580"/>
      <c r="C22" s="1746"/>
      <c r="D22" s="381"/>
      <c r="E22" s="380"/>
      <c r="F22" s="381"/>
      <c r="G22" s="1749"/>
      <c r="H22" s="381"/>
      <c r="I22" s="380"/>
      <c r="J22" s="381"/>
      <c r="K22" s="1750"/>
      <c r="L22" s="2482"/>
      <c r="M22" s="2477"/>
      <c r="N22" s="2477"/>
      <c r="O22" s="2477"/>
      <c r="P22" s="3428"/>
      <c r="Q22" s="1255"/>
      <c r="R22" s="659"/>
      <c r="S22" s="660"/>
      <c r="T22" s="659"/>
      <c r="U22" s="660"/>
      <c r="V22" s="659"/>
      <c r="W22" s="660"/>
      <c r="X22" s="1257"/>
      <c r="Y22" s="3384"/>
      <c r="Z22" s="1256"/>
      <c r="AA22" s="1256">
        <v>1</v>
      </c>
      <c r="AB22" s="1256">
        <v>1</v>
      </c>
      <c r="AC22" s="1256">
        <v>1</v>
      </c>
    </row>
    <row r="23" spans="1:29" ht="84">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28"/>
      <c r="Q23" s="1255" t="str">
        <f>B23</f>
        <v>自然及人文环境</v>
      </c>
      <c r="R23" s="659" t="s">
        <v>18</v>
      </c>
      <c r="S23" s="660">
        <f>F23</f>
        <v>100</v>
      </c>
      <c r="T23" s="659" t="s">
        <v>18</v>
      </c>
      <c r="U23" s="660">
        <f>H23</f>
        <v>100</v>
      </c>
      <c r="V23" s="659" t="s">
        <v>18</v>
      </c>
      <c r="W23" s="660">
        <f>J23</f>
        <v>100</v>
      </c>
      <c r="X23" s="1257"/>
      <c r="Y23" s="3384"/>
      <c r="Z23" s="1256" t="str">
        <f>Q23</f>
        <v>自然及人文环境</v>
      </c>
      <c r="AA23" s="1256">
        <f>D23/F23</f>
        <v>1</v>
      </c>
      <c r="AB23" s="1256">
        <f>D23/H23</f>
        <v>1</v>
      </c>
      <c r="AC23" s="1256">
        <f>D23/J23</f>
        <v>1</v>
      </c>
    </row>
    <row r="24" spans="1:29" ht="15.5">
      <c r="A24" s="361"/>
      <c r="B24" s="389"/>
      <c r="C24" s="380"/>
      <c r="D24" s="381"/>
      <c r="E24" s="1742"/>
      <c r="F24" s="381"/>
      <c r="G24" s="1743"/>
      <c r="H24" s="381"/>
      <c r="I24" s="1743"/>
      <c r="J24" s="381"/>
      <c r="K24" s="1744"/>
      <c r="L24" s="2482"/>
      <c r="M24" s="2477"/>
      <c r="N24" s="2477"/>
      <c r="O24" s="2477"/>
      <c r="P24" s="3428"/>
      <c r="Q24" s="1255"/>
      <c r="R24" s="659"/>
      <c r="S24" s="660"/>
      <c r="T24" s="659"/>
      <c r="U24" s="660"/>
      <c r="V24" s="659"/>
      <c r="W24" s="660"/>
      <c r="X24" s="1257"/>
      <c r="Y24" s="3384"/>
      <c r="Z24" s="1256"/>
      <c r="AA24" s="1256">
        <v>1</v>
      </c>
      <c r="AB24" s="1256">
        <v>1</v>
      </c>
      <c r="AC24" s="1256">
        <v>1</v>
      </c>
    </row>
    <row r="25" spans="1:29" ht="15.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28"/>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84"/>
      <c r="Z25" s="1256" t="str">
        <f>Q25</f>
        <v>楼层-1</v>
      </c>
      <c r="AA25" s="1256">
        <f t="shared" ref="AA25:AA46" si="15">D25/F25</f>
        <v>1</v>
      </c>
      <c r="AB25" s="1256">
        <f t="shared" ref="AB25:AB46" si="16">D25/H25</f>
        <v>1</v>
      </c>
      <c r="AC25" s="1256">
        <f t="shared" ref="AC25:AC46" si="17">D25/J25</f>
        <v>1</v>
      </c>
    </row>
    <row r="26" spans="1:29" ht="15.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28"/>
      <c r="Q26" s="1255" t="str">
        <f t="shared" si="11"/>
        <v>朝向</v>
      </c>
      <c r="R26" s="659" t="s">
        <v>18</v>
      </c>
      <c r="S26" s="660">
        <f t="shared" si="12"/>
        <v>100</v>
      </c>
      <c r="T26" s="659" t="s">
        <v>18</v>
      </c>
      <c r="U26" s="660">
        <f t="shared" si="13"/>
        <v>100</v>
      </c>
      <c r="V26" s="659" t="s">
        <v>18</v>
      </c>
      <c r="W26" s="660">
        <f t="shared" si="14"/>
        <v>100</v>
      </c>
      <c r="X26" s="1257"/>
      <c r="Y26" s="3384"/>
      <c r="Z26" s="1256" t="str">
        <f>Q26</f>
        <v>朝向</v>
      </c>
      <c r="AA26" s="1256">
        <f t="shared" si="15"/>
        <v>1</v>
      </c>
      <c r="AB26" s="1256">
        <f t="shared" si="16"/>
        <v>1</v>
      </c>
      <c r="AC26" s="1256">
        <f t="shared" si="17"/>
        <v>1</v>
      </c>
    </row>
    <row r="27" spans="1:29" s="102" customFormat="1" ht="15.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28"/>
      <c r="Q27" s="524">
        <f t="shared" si="11"/>
        <v>111</v>
      </c>
      <c r="R27" s="656" t="s">
        <v>18</v>
      </c>
      <c r="S27" s="657">
        <f t="shared" si="12"/>
        <v>100</v>
      </c>
      <c r="T27" s="656" t="s">
        <v>18</v>
      </c>
      <c r="U27" s="657">
        <f t="shared" si="13"/>
        <v>100</v>
      </c>
      <c r="V27" s="656" t="s">
        <v>18</v>
      </c>
      <c r="W27" s="657">
        <f t="shared" si="14"/>
        <v>100</v>
      </c>
      <c r="X27" s="658"/>
      <c r="Y27" s="3384"/>
      <c r="Z27" s="50">
        <f>Q27</f>
        <v>111</v>
      </c>
      <c r="AA27" s="1256">
        <f t="shared" si="15"/>
        <v>1</v>
      </c>
      <c r="AB27" s="1256">
        <f t="shared" si="16"/>
        <v>1</v>
      </c>
      <c r="AC27" s="1256">
        <f t="shared" si="17"/>
        <v>1</v>
      </c>
    </row>
    <row r="28" spans="1:29" ht="15.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28"/>
      <c r="Q28" s="1255">
        <f t="shared" si="11"/>
        <v>111</v>
      </c>
      <c r="R28" s="659" t="s">
        <v>18</v>
      </c>
      <c r="S28" s="660">
        <f t="shared" si="12"/>
        <v>100</v>
      </c>
      <c r="T28" s="659" t="s">
        <v>18</v>
      </c>
      <c r="U28" s="660">
        <f t="shared" si="13"/>
        <v>100</v>
      </c>
      <c r="V28" s="659" t="s">
        <v>18</v>
      </c>
      <c r="W28" s="660">
        <f t="shared" si="14"/>
        <v>100</v>
      </c>
      <c r="X28" s="1257"/>
      <c r="Y28" s="3384"/>
      <c r="Z28" s="1256">
        <f t="shared" ref="Z28:Z46" si="18">Q28</f>
        <v>111</v>
      </c>
      <c r="AA28" s="1256">
        <f t="shared" si="15"/>
        <v>1</v>
      </c>
      <c r="AB28" s="1256">
        <f t="shared" si="16"/>
        <v>1</v>
      </c>
      <c r="AC28" s="1256">
        <f t="shared" si="17"/>
        <v>1</v>
      </c>
    </row>
    <row r="29" spans="1:29" ht="15.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28"/>
      <c r="Q29" s="1255">
        <f t="shared" si="11"/>
        <v>111</v>
      </c>
      <c r="R29" s="659" t="s">
        <v>18</v>
      </c>
      <c r="S29" s="660">
        <f t="shared" si="12"/>
        <v>100</v>
      </c>
      <c r="T29" s="659" t="s">
        <v>18</v>
      </c>
      <c r="U29" s="660">
        <f t="shared" si="13"/>
        <v>100</v>
      </c>
      <c r="V29" s="659" t="s">
        <v>18</v>
      </c>
      <c r="W29" s="660">
        <f t="shared" si="14"/>
        <v>100</v>
      </c>
      <c r="X29" s="1257"/>
      <c r="Y29" s="3384"/>
      <c r="Z29" s="1256">
        <f t="shared" si="18"/>
        <v>111</v>
      </c>
      <c r="AA29" s="1256">
        <f t="shared" si="15"/>
        <v>1</v>
      </c>
      <c r="AB29" s="1256">
        <f t="shared" si="16"/>
        <v>1</v>
      </c>
      <c r="AC29" s="1256">
        <f t="shared" si="17"/>
        <v>1</v>
      </c>
    </row>
    <row r="30" spans="1:29" ht="15.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28"/>
      <c r="Q30" s="1255">
        <f t="shared" si="11"/>
        <v>111</v>
      </c>
      <c r="R30" s="659" t="s">
        <v>18</v>
      </c>
      <c r="S30" s="660">
        <f t="shared" si="12"/>
        <v>100</v>
      </c>
      <c r="T30" s="659" t="s">
        <v>18</v>
      </c>
      <c r="U30" s="660">
        <f t="shared" si="13"/>
        <v>100</v>
      </c>
      <c r="V30" s="659" t="s">
        <v>18</v>
      </c>
      <c r="W30" s="660">
        <f t="shared" si="14"/>
        <v>100</v>
      </c>
      <c r="X30" s="1257"/>
      <c r="Y30" s="3384"/>
      <c r="Z30" s="1256">
        <f t="shared" si="18"/>
        <v>111</v>
      </c>
      <c r="AA30" s="1256">
        <f t="shared" si="15"/>
        <v>1</v>
      </c>
      <c r="AB30" s="1256">
        <f t="shared" si="16"/>
        <v>1</v>
      </c>
      <c r="AC30" s="1256">
        <f t="shared" si="17"/>
        <v>1</v>
      </c>
    </row>
    <row r="31" spans="1:29" ht="16"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28"/>
      <c r="Q31" s="1255">
        <f t="shared" si="11"/>
        <v>111</v>
      </c>
      <c r="R31" s="659" t="s">
        <v>18</v>
      </c>
      <c r="S31" s="660">
        <f t="shared" si="12"/>
        <v>100</v>
      </c>
      <c r="T31" s="659" t="s">
        <v>18</v>
      </c>
      <c r="U31" s="660">
        <f t="shared" si="13"/>
        <v>100</v>
      </c>
      <c r="V31" s="659" t="s">
        <v>18</v>
      </c>
      <c r="W31" s="660">
        <f t="shared" si="14"/>
        <v>100</v>
      </c>
      <c r="X31" s="1257"/>
      <c r="Y31" s="3384"/>
      <c r="Z31" s="1256">
        <f t="shared" si="18"/>
        <v>111</v>
      </c>
      <c r="AA31" s="1256">
        <f t="shared" si="15"/>
        <v>1</v>
      </c>
      <c r="AB31" s="1256">
        <f t="shared" si="16"/>
        <v>1</v>
      </c>
      <c r="AC31" s="1256">
        <f t="shared" si="17"/>
        <v>1</v>
      </c>
    </row>
    <row r="32" spans="1:29" ht="15.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3" t="s">
        <v>1696</v>
      </c>
      <c r="Q32" s="1255" t="str">
        <f t="shared" si="11"/>
        <v>建筑类型</v>
      </c>
      <c r="R32" s="659" t="s">
        <v>18</v>
      </c>
      <c r="S32" s="660">
        <f t="shared" si="12"/>
        <v>100</v>
      </c>
      <c r="T32" s="659" t="s">
        <v>18</v>
      </c>
      <c r="U32" s="660">
        <f t="shared" si="13"/>
        <v>100</v>
      </c>
      <c r="V32" s="659" t="s">
        <v>18</v>
      </c>
      <c r="W32" s="660">
        <f t="shared" si="14"/>
        <v>100</v>
      </c>
      <c r="X32" s="1257"/>
      <c r="Y32" s="3386" t="s">
        <v>1696</v>
      </c>
      <c r="Z32" s="1256" t="str">
        <f t="shared" si="18"/>
        <v>建筑类型</v>
      </c>
      <c r="AA32" s="1256">
        <f t="shared" si="15"/>
        <v>1</v>
      </c>
      <c r="AB32" s="1256">
        <f t="shared" si="16"/>
        <v>1</v>
      </c>
      <c r="AC32" s="1256">
        <f t="shared" si="17"/>
        <v>1</v>
      </c>
    </row>
    <row r="33" spans="1:29" s="402" customFormat="1" ht="15.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24"/>
      <c r="Q33" s="525" t="str">
        <f t="shared" si="11"/>
        <v>项目建筑规模</v>
      </c>
      <c r="R33" s="661" t="s">
        <v>18</v>
      </c>
      <c r="S33" s="662" t="e">
        <f t="shared" si="12"/>
        <v>#N/A</v>
      </c>
      <c r="T33" s="661" t="s">
        <v>18</v>
      </c>
      <c r="U33" s="662" t="e">
        <f t="shared" si="13"/>
        <v>#N/A</v>
      </c>
      <c r="V33" s="661" t="s">
        <v>18</v>
      </c>
      <c r="W33" s="662" t="e">
        <f t="shared" si="14"/>
        <v>#N/A</v>
      </c>
      <c r="X33" s="663"/>
      <c r="Y33" s="3386"/>
      <c r="Z33" s="664" t="str">
        <f t="shared" si="18"/>
        <v>项目建筑规模</v>
      </c>
      <c r="AA33" s="1256" t="e">
        <f t="shared" si="15"/>
        <v>#N/A</v>
      </c>
      <c r="AB33" s="1256" t="e">
        <f t="shared" si="16"/>
        <v>#N/A</v>
      </c>
      <c r="AC33" s="1256" t="e">
        <f t="shared" si="17"/>
        <v>#N/A</v>
      </c>
    </row>
    <row r="34" spans="1:29" ht="15.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24"/>
      <c r="Q34" s="1255" t="str">
        <f t="shared" si="11"/>
        <v>建筑结构</v>
      </c>
      <c r="R34" s="659" t="s">
        <v>18</v>
      </c>
      <c r="S34" s="660">
        <f t="shared" si="12"/>
        <v>100</v>
      </c>
      <c r="T34" s="659" t="s">
        <v>18</v>
      </c>
      <c r="U34" s="660">
        <f t="shared" si="13"/>
        <v>100</v>
      </c>
      <c r="V34" s="659" t="s">
        <v>18</v>
      </c>
      <c r="W34" s="660">
        <f t="shared" si="14"/>
        <v>100</v>
      </c>
      <c r="X34" s="1257"/>
      <c r="Y34" s="3386"/>
      <c r="Z34" s="1256" t="str">
        <f t="shared" si="18"/>
        <v>建筑结构</v>
      </c>
      <c r="AA34" s="1256">
        <f t="shared" si="15"/>
        <v>1</v>
      </c>
      <c r="AB34" s="1256">
        <f t="shared" si="16"/>
        <v>1</v>
      </c>
      <c r="AC34" s="1256">
        <f t="shared" si="17"/>
        <v>1</v>
      </c>
    </row>
    <row r="35" spans="1:29" ht="15.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24"/>
      <c r="Q35" s="1255" t="str">
        <f t="shared" si="11"/>
        <v>建筑品质</v>
      </c>
      <c r="R35" s="659" t="s">
        <v>18</v>
      </c>
      <c r="S35" s="660">
        <f t="shared" si="12"/>
        <v>100</v>
      </c>
      <c r="T35" s="659" t="s">
        <v>18</v>
      </c>
      <c r="U35" s="660">
        <f t="shared" si="13"/>
        <v>100</v>
      </c>
      <c r="V35" s="659" t="s">
        <v>18</v>
      </c>
      <c r="W35" s="660">
        <f t="shared" si="14"/>
        <v>100</v>
      </c>
      <c r="X35" s="1257"/>
      <c r="Y35" s="3386"/>
      <c r="Z35" s="1256" t="str">
        <f t="shared" si="18"/>
        <v>建筑品质</v>
      </c>
      <c r="AA35" s="1256">
        <f t="shared" si="15"/>
        <v>1</v>
      </c>
      <c r="AB35" s="1256">
        <f t="shared" si="16"/>
        <v>1</v>
      </c>
      <c r="AC35" s="1256">
        <f t="shared" si="17"/>
        <v>1</v>
      </c>
    </row>
    <row r="36" spans="1:29" ht="15.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24"/>
      <c r="Q36" s="1255" t="str">
        <f t="shared" si="11"/>
        <v>公共部分装修</v>
      </c>
      <c r="R36" s="659" t="s">
        <v>18</v>
      </c>
      <c r="S36" s="660">
        <f t="shared" si="12"/>
        <v>100</v>
      </c>
      <c r="T36" s="659" t="s">
        <v>18</v>
      </c>
      <c r="U36" s="660">
        <f t="shared" si="13"/>
        <v>100</v>
      </c>
      <c r="V36" s="659" t="s">
        <v>18</v>
      </c>
      <c r="W36" s="660">
        <f t="shared" si="14"/>
        <v>100</v>
      </c>
      <c r="X36" s="1257"/>
      <c r="Y36" s="3386"/>
      <c r="Z36" s="1256" t="str">
        <f t="shared" si="18"/>
        <v>公共部分装修</v>
      </c>
      <c r="AA36" s="1256">
        <f t="shared" si="15"/>
        <v>1</v>
      </c>
      <c r="AB36" s="1256">
        <f t="shared" si="16"/>
        <v>1</v>
      </c>
      <c r="AC36" s="1256">
        <f t="shared" si="17"/>
        <v>1</v>
      </c>
    </row>
    <row r="37" spans="1:29" s="102" customFormat="1" ht="15.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24"/>
      <c r="Q37" s="524" t="str">
        <f t="shared" si="11"/>
        <v>成新度</v>
      </c>
      <c r="R37" s="656" t="s">
        <v>18</v>
      </c>
      <c r="S37" s="657" t="e">
        <f t="shared" si="12"/>
        <v>#N/A</v>
      </c>
      <c r="T37" s="656" t="s">
        <v>18</v>
      </c>
      <c r="U37" s="657" t="e">
        <f t="shared" si="13"/>
        <v>#N/A</v>
      </c>
      <c r="V37" s="656" t="s">
        <v>18</v>
      </c>
      <c r="W37" s="657" t="e">
        <f t="shared" si="14"/>
        <v>#N/A</v>
      </c>
      <c r="X37" s="658"/>
      <c r="Y37" s="3386"/>
      <c r="Z37" s="50" t="str">
        <f t="shared" si="18"/>
        <v>成新度</v>
      </c>
      <c r="AA37" s="50" t="e">
        <f t="shared" si="15"/>
        <v>#N/A</v>
      </c>
      <c r="AB37" s="50" t="e">
        <f t="shared" si="16"/>
        <v>#N/A</v>
      </c>
      <c r="AC37" s="50" t="e">
        <f t="shared" si="17"/>
        <v>#N/A</v>
      </c>
    </row>
    <row r="38" spans="1:29" ht="15.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24" t="s">
        <v>1696</v>
      </c>
      <c r="Q38" s="1255" t="str">
        <f t="shared" si="11"/>
        <v>物业管理</v>
      </c>
      <c r="R38" s="659" t="s">
        <v>18</v>
      </c>
      <c r="S38" s="660">
        <f t="shared" si="12"/>
        <v>100</v>
      </c>
      <c r="T38" s="659" t="s">
        <v>18</v>
      </c>
      <c r="U38" s="660">
        <f t="shared" si="13"/>
        <v>100</v>
      </c>
      <c r="V38" s="659" t="s">
        <v>18</v>
      </c>
      <c r="W38" s="660">
        <f t="shared" si="14"/>
        <v>100</v>
      </c>
      <c r="X38" s="1257"/>
      <c r="Y38" s="3386" t="s">
        <v>1696</v>
      </c>
      <c r="Z38" s="1256" t="str">
        <f t="shared" si="18"/>
        <v>物业管理</v>
      </c>
      <c r="AA38" s="1256">
        <f t="shared" si="15"/>
        <v>1</v>
      </c>
      <c r="AB38" s="1256">
        <f t="shared" si="16"/>
        <v>1</v>
      </c>
      <c r="AC38" s="1256">
        <f t="shared" si="17"/>
        <v>1</v>
      </c>
    </row>
    <row r="39" spans="1:29" ht="15.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24"/>
      <c r="Q39" s="1255" t="str">
        <f t="shared" si="11"/>
        <v>市政基础设施</v>
      </c>
      <c r="R39" s="659" t="s">
        <v>18</v>
      </c>
      <c r="S39" s="660">
        <f t="shared" si="12"/>
        <v>100</v>
      </c>
      <c r="T39" s="659" t="s">
        <v>18</v>
      </c>
      <c r="U39" s="660">
        <f t="shared" si="13"/>
        <v>100</v>
      </c>
      <c r="V39" s="659" t="s">
        <v>18</v>
      </c>
      <c r="W39" s="660">
        <f t="shared" si="14"/>
        <v>100</v>
      </c>
      <c r="X39" s="1257"/>
      <c r="Y39" s="3386"/>
      <c r="Z39" s="1256" t="str">
        <f t="shared" si="18"/>
        <v>市政基础设施</v>
      </c>
      <c r="AA39" s="1256">
        <f t="shared" si="15"/>
        <v>1</v>
      </c>
      <c r="AB39" s="1256">
        <f t="shared" si="16"/>
        <v>1</v>
      </c>
      <c r="AC39" s="1256">
        <f t="shared" si="17"/>
        <v>1</v>
      </c>
    </row>
    <row r="40" spans="1:29" ht="15.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24"/>
      <c r="Q40" s="1255" t="str">
        <f t="shared" si="11"/>
        <v>房型</v>
      </c>
      <c r="R40" s="659" t="s">
        <v>18</v>
      </c>
      <c r="S40" s="660">
        <f t="shared" si="12"/>
        <v>100</v>
      </c>
      <c r="T40" s="659" t="s">
        <v>18</v>
      </c>
      <c r="U40" s="660">
        <f t="shared" si="13"/>
        <v>100</v>
      </c>
      <c r="V40" s="659" t="s">
        <v>18</v>
      </c>
      <c r="W40" s="660">
        <f t="shared" si="14"/>
        <v>100</v>
      </c>
      <c r="X40" s="1257"/>
      <c r="Y40" s="3386"/>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24"/>
      <c r="Q41" s="525" t="str">
        <f t="shared" si="11"/>
        <v>单套/主力户型建筑面积</v>
      </c>
      <c r="R41" s="661" t="s">
        <v>18</v>
      </c>
      <c r="S41" s="662">
        <f t="shared" si="12"/>
        <v>100</v>
      </c>
      <c r="T41" s="661" t="s">
        <v>18</v>
      </c>
      <c r="U41" s="662">
        <f t="shared" si="13"/>
        <v>100</v>
      </c>
      <c r="V41" s="661" t="s">
        <v>18</v>
      </c>
      <c r="W41" s="662">
        <f t="shared" si="14"/>
        <v>100</v>
      </c>
      <c r="X41" s="663"/>
      <c r="Y41" s="3386"/>
      <c r="Z41" s="664" t="str">
        <f t="shared" si="18"/>
        <v>单套/主力户型建筑面积</v>
      </c>
      <c r="AA41" s="1256">
        <f t="shared" si="15"/>
        <v>1</v>
      </c>
      <c r="AB41" s="1256">
        <f t="shared" si="16"/>
        <v>1</v>
      </c>
      <c r="AC41" s="1256">
        <f t="shared" si="17"/>
        <v>1</v>
      </c>
    </row>
    <row r="42" spans="1:29" ht="15.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24"/>
      <c r="Q42" s="1255" t="str">
        <f t="shared" si="11"/>
        <v>内部装修</v>
      </c>
      <c r="R42" s="659" t="s">
        <v>18</v>
      </c>
      <c r="S42" s="660">
        <f t="shared" si="12"/>
        <v>100</v>
      </c>
      <c r="T42" s="659" t="s">
        <v>18</v>
      </c>
      <c r="U42" s="660">
        <f t="shared" si="13"/>
        <v>100</v>
      </c>
      <c r="V42" s="659" t="s">
        <v>18</v>
      </c>
      <c r="W42" s="660">
        <f t="shared" si="14"/>
        <v>100</v>
      </c>
      <c r="X42" s="1257"/>
      <c r="Y42" s="3386"/>
      <c r="Z42" s="1256" t="str">
        <f t="shared" si="18"/>
        <v>内部装修</v>
      </c>
      <c r="AA42" s="1256">
        <f t="shared" si="15"/>
        <v>1</v>
      </c>
      <c r="AB42" s="1256">
        <f t="shared" si="16"/>
        <v>1</v>
      </c>
      <c r="AC42" s="1256">
        <f t="shared" si="17"/>
        <v>1</v>
      </c>
    </row>
    <row r="43" spans="1:29" ht="28">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24"/>
      <c r="Q43" s="1255" t="str">
        <f t="shared" si="11"/>
        <v>内部装修维护情况</v>
      </c>
      <c r="R43" s="659" t="s">
        <v>18</v>
      </c>
      <c r="S43" s="660">
        <f t="shared" si="12"/>
        <v>100</v>
      </c>
      <c r="T43" s="659" t="s">
        <v>18</v>
      </c>
      <c r="U43" s="660">
        <f t="shared" si="13"/>
        <v>100</v>
      </c>
      <c r="V43" s="659" t="s">
        <v>18</v>
      </c>
      <c r="W43" s="660">
        <f t="shared" si="14"/>
        <v>100</v>
      </c>
      <c r="X43" s="1257"/>
      <c r="Y43" s="3386"/>
      <c r="Z43" s="1256" t="str">
        <f t="shared" si="18"/>
        <v>内部装修维护情况</v>
      </c>
      <c r="AA43" s="1256">
        <f t="shared" si="15"/>
        <v>1</v>
      </c>
      <c r="AB43" s="1256">
        <f t="shared" si="16"/>
        <v>1</v>
      </c>
      <c r="AC43" s="1256">
        <f t="shared" si="17"/>
        <v>1</v>
      </c>
    </row>
    <row r="44" spans="1:29" s="102" customFormat="1" ht="15.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24"/>
      <c r="Q44" s="524">
        <f t="shared" si="11"/>
        <v>111</v>
      </c>
      <c r="R44" s="656" t="s">
        <v>18</v>
      </c>
      <c r="S44" s="657">
        <f t="shared" si="12"/>
        <v>100</v>
      </c>
      <c r="T44" s="656" t="s">
        <v>18</v>
      </c>
      <c r="U44" s="657">
        <f t="shared" si="13"/>
        <v>100</v>
      </c>
      <c r="V44" s="656" t="s">
        <v>18</v>
      </c>
      <c r="W44" s="657">
        <f t="shared" si="14"/>
        <v>100</v>
      </c>
      <c r="X44" s="658"/>
      <c r="Y44" s="3386"/>
      <c r="Z44" s="50">
        <f t="shared" si="18"/>
        <v>111</v>
      </c>
      <c r="AA44" s="50">
        <f t="shared" si="15"/>
        <v>1</v>
      </c>
      <c r="AB44" s="50">
        <f t="shared" si="16"/>
        <v>1</v>
      </c>
      <c r="AC44" s="50">
        <f t="shared" si="17"/>
        <v>1</v>
      </c>
    </row>
    <row r="45" spans="1:29" ht="15.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24"/>
      <c r="Q45" s="1255">
        <f t="shared" si="11"/>
        <v>111</v>
      </c>
      <c r="R45" s="659" t="s">
        <v>18</v>
      </c>
      <c r="S45" s="660">
        <f t="shared" si="12"/>
        <v>100</v>
      </c>
      <c r="T45" s="659" t="s">
        <v>18</v>
      </c>
      <c r="U45" s="660">
        <f t="shared" si="13"/>
        <v>100</v>
      </c>
      <c r="V45" s="659" t="s">
        <v>18</v>
      </c>
      <c r="W45" s="660">
        <f t="shared" si="14"/>
        <v>100</v>
      </c>
      <c r="X45" s="1257"/>
      <c r="Y45" s="3386"/>
      <c r="Z45" s="1256">
        <f t="shared" si="18"/>
        <v>111</v>
      </c>
      <c r="AA45" s="1256">
        <f t="shared" si="15"/>
        <v>1</v>
      </c>
      <c r="AB45" s="1256">
        <f t="shared" si="16"/>
        <v>1</v>
      </c>
      <c r="AC45" s="1256">
        <f t="shared" si="17"/>
        <v>1</v>
      </c>
    </row>
    <row r="46" spans="1:29" ht="16"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25"/>
      <c r="Q46" s="1255">
        <f t="shared" si="11"/>
        <v>111</v>
      </c>
      <c r="R46" s="659" t="s">
        <v>17</v>
      </c>
      <c r="S46" s="660">
        <f t="shared" si="12"/>
        <v>100</v>
      </c>
      <c r="T46" s="659" t="s">
        <v>17</v>
      </c>
      <c r="U46" s="660">
        <f t="shared" si="13"/>
        <v>100</v>
      </c>
      <c r="V46" s="659" t="s">
        <v>17</v>
      </c>
      <c r="W46" s="660">
        <f t="shared" si="14"/>
        <v>100</v>
      </c>
      <c r="X46" s="1257"/>
      <c r="Y46" s="3426"/>
      <c r="Z46" s="1256">
        <f t="shared" si="18"/>
        <v>111</v>
      </c>
      <c r="AA46" s="1256">
        <f t="shared" si="15"/>
        <v>1</v>
      </c>
      <c r="AB46" s="1256">
        <f t="shared" si="16"/>
        <v>1</v>
      </c>
      <c r="AC46" s="1256">
        <f t="shared" si="17"/>
        <v>1</v>
      </c>
    </row>
    <row r="47" spans="1:29">
      <c r="A47" s="410" t="s">
        <v>1708</v>
      </c>
      <c r="B47" s="411"/>
      <c r="C47" s="1074" t="s">
        <v>16</v>
      </c>
      <c r="D47" s="412"/>
      <c r="E47" s="413"/>
      <c r="F47" s="414"/>
      <c r="G47" s="415"/>
      <c r="H47" s="416"/>
      <c r="I47" s="413"/>
      <c r="J47" s="416"/>
      <c r="K47" s="1758"/>
      <c r="L47" s="2484"/>
      <c r="M47" s="2477"/>
      <c r="N47" s="2477"/>
      <c r="O47" s="2477"/>
      <c r="P47" s="3368" t="str">
        <f>A47</f>
        <v>成交单价（元/平方米）</v>
      </c>
      <c r="Q47" s="3368"/>
      <c r="R47" s="3381">
        <f>E47</f>
        <v>0</v>
      </c>
      <c r="S47" s="3381"/>
      <c r="T47" s="3381">
        <f>G47</f>
        <v>0</v>
      </c>
      <c r="U47" s="3381"/>
      <c r="V47" s="3381">
        <f>I47</f>
        <v>0</v>
      </c>
      <c r="W47" s="3381"/>
      <c r="X47" s="379"/>
      <c r="Y47" s="665"/>
      <c r="Z47" s="379"/>
      <c r="AA47" s="379"/>
      <c r="AB47" s="379"/>
      <c r="AC47" s="379"/>
    </row>
    <row r="48" spans="1:29" ht="14.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68" t="str">
        <f>A48</f>
        <v>比较价值（元/平方米）</v>
      </c>
      <c r="Q48" s="3368"/>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79"/>
      <c r="Y48" s="379"/>
      <c r="Z48" s="379"/>
      <c r="AA48" s="379"/>
      <c r="AB48" s="379"/>
      <c r="AC48" s="379"/>
    </row>
    <row r="49" spans="1:29" ht="14.5" thickBot="1">
      <c r="A49" s="421" t="s">
        <v>1710</v>
      </c>
      <c r="B49" s="422"/>
      <c r="C49" s="1077" t="e">
        <f>R49</f>
        <v>#DIV/0!</v>
      </c>
      <c r="D49" s="345"/>
      <c r="E49" s="345"/>
      <c r="F49" s="345"/>
      <c r="G49" s="345"/>
      <c r="H49" s="345"/>
      <c r="I49" s="345"/>
      <c r="J49" s="345"/>
      <c r="K49" s="1759"/>
      <c r="L49" s="2484"/>
      <c r="M49" s="2477"/>
      <c r="N49" s="2477"/>
      <c r="O49" s="2477"/>
      <c r="P49" s="3388" t="str">
        <f>A49</f>
        <v>估价对象XX用房的比较价值（楼面单价，元/平方米）</v>
      </c>
      <c r="Q49" s="3389"/>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5" thickBot="1">
      <c r="A57" s="650" t="s">
        <v>1714</v>
      </c>
      <c r="B57" s="379"/>
      <c r="C57" s="651"/>
      <c r="D57" s="651"/>
      <c r="E57" s="651"/>
      <c r="F57" s="652"/>
      <c r="G57" s="652"/>
      <c r="H57" s="651"/>
      <c r="I57" s="651"/>
      <c r="J57" s="651"/>
      <c r="K57" s="880"/>
      <c r="L57" s="881"/>
      <c r="M57" s="879"/>
      <c r="N57" s="879"/>
      <c r="O57" s="879"/>
      <c r="P57" s="1762"/>
      <c r="Q57" s="433"/>
    </row>
    <row r="58" spans="1:29" s="436" customFormat="1">
      <c r="A58" s="434" t="s">
        <v>1715</v>
      </c>
      <c r="B58" s="435"/>
      <c r="C58" s="1097" t="str">
        <f>YEAR(C7)&amp;"-"&amp;MONTH(C7)</f>
        <v>2023-11</v>
      </c>
      <c r="D58" s="1096">
        <f>EDATE(C58,-1)</f>
        <v>45200</v>
      </c>
      <c r="E58" s="1096">
        <f>EDATE(D58,-1)</f>
        <v>45170</v>
      </c>
      <c r="F58" s="1096">
        <f t="shared" ref="F58:O58" si="19">EDATE(E58,-1)</f>
        <v>45139</v>
      </c>
      <c r="G58" s="1096">
        <f t="shared" si="19"/>
        <v>45108</v>
      </c>
      <c r="H58" s="1096">
        <f t="shared" si="19"/>
        <v>45078</v>
      </c>
      <c r="I58" s="1096">
        <f t="shared" si="19"/>
        <v>45047</v>
      </c>
      <c r="J58" s="1096">
        <f t="shared" si="19"/>
        <v>45017</v>
      </c>
      <c r="K58" s="1096">
        <f t="shared" si="19"/>
        <v>44986</v>
      </c>
      <c r="L58" s="1096">
        <f t="shared" si="19"/>
        <v>44958</v>
      </c>
      <c r="M58" s="1096">
        <f t="shared" si="19"/>
        <v>44927</v>
      </c>
      <c r="N58" s="1096">
        <f t="shared" si="19"/>
        <v>44896</v>
      </c>
      <c r="O58" s="1096">
        <f t="shared" si="19"/>
        <v>44866</v>
      </c>
      <c r="P58" s="1092"/>
    </row>
    <row r="59" spans="1:29" s="102" customFormat="1">
      <c r="A59" s="437"/>
      <c r="B59" s="1763"/>
      <c r="C59" s="1094">
        <v>100</v>
      </c>
      <c r="D59" s="439"/>
      <c r="E59" s="440"/>
      <c r="F59" s="440"/>
      <c r="G59" s="440"/>
      <c r="H59" s="440"/>
      <c r="I59" s="440"/>
      <c r="J59" s="440"/>
      <c r="K59" s="440"/>
      <c r="L59" s="440"/>
      <c r="M59" s="441"/>
      <c r="N59" s="440"/>
      <c r="O59" s="441"/>
      <c r="P59" s="1764"/>
    </row>
    <row r="60" spans="1:29" s="102" customFormat="1" ht="14.5" thickBot="1">
      <c r="A60" s="443" t="s">
        <v>1716</v>
      </c>
      <c r="B60" s="444"/>
      <c r="C60" s="445"/>
      <c r="D60" s="446"/>
      <c r="E60" s="446"/>
      <c r="F60" s="446"/>
      <c r="G60" s="446"/>
      <c r="H60" s="446"/>
      <c r="I60" s="446"/>
      <c r="J60" s="446"/>
      <c r="K60" s="446"/>
      <c r="L60" s="446"/>
      <c r="M60" s="447"/>
      <c r="N60" s="446"/>
      <c r="O60" s="447"/>
      <c r="P60" s="1764"/>
      <c r="Q60" s="433"/>
    </row>
    <row r="61" spans="1:29" s="102" customFormat="1">
      <c r="A61" s="449" t="s">
        <v>1717</v>
      </c>
      <c r="B61" s="438"/>
      <c r="C61" s="450" t="s">
        <v>1718</v>
      </c>
      <c r="D61" s="31"/>
      <c r="E61" s="31"/>
      <c r="F61" s="31"/>
      <c r="G61" s="31"/>
      <c r="H61" s="31"/>
      <c r="I61" s="31"/>
      <c r="J61" s="31"/>
      <c r="K61" s="31"/>
      <c r="L61" s="451"/>
      <c r="M61" s="452"/>
      <c r="N61" s="871"/>
      <c r="O61" s="871"/>
      <c r="P61" s="1765"/>
      <c r="Q61" s="433"/>
    </row>
    <row r="62" spans="1:29" s="102" customFormat="1" ht="14.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4.5" thickBot="1">
      <c r="A64" s="361"/>
      <c r="B64" s="460"/>
      <c r="C64" s="461">
        <v>100</v>
      </c>
      <c r="D64" s="461"/>
      <c r="E64" s="461"/>
      <c r="F64" s="461"/>
      <c r="G64" s="461"/>
      <c r="H64" s="461"/>
      <c r="I64" s="461"/>
      <c r="J64" s="461"/>
      <c r="K64" s="461"/>
      <c r="L64" s="461"/>
      <c r="M64" s="462"/>
      <c r="N64" s="873"/>
      <c r="O64" s="873"/>
      <c r="P64" s="1766"/>
      <c r="Q64" s="433"/>
    </row>
    <row r="65" spans="1:17" ht="28.5" thickTop="1">
      <c r="A65" s="361"/>
      <c r="B65" s="463" t="s">
        <v>1688</v>
      </c>
      <c r="C65" s="507"/>
      <c r="D65" s="507"/>
      <c r="E65" s="507"/>
      <c r="F65" s="507"/>
      <c r="G65" s="507"/>
      <c r="H65" s="507"/>
      <c r="I65" s="507"/>
      <c r="J65" s="507"/>
      <c r="K65" s="507"/>
      <c r="L65" s="507"/>
      <c r="M65" s="507"/>
      <c r="N65" s="873"/>
      <c r="O65" s="873"/>
      <c r="P65" s="1766"/>
      <c r="Q65" s="433"/>
    </row>
    <row r="66" spans="1:17" ht="14.5" thickBot="1">
      <c r="A66" s="361"/>
      <c r="B66" s="468"/>
      <c r="C66" s="461"/>
      <c r="D66" s="461"/>
      <c r="E66" s="461"/>
      <c r="F66" s="461"/>
      <c r="G66" s="461"/>
      <c r="H66" s="461"/>
      <c r="I66" s="461"/>
      <c r="J66" s="461"/>
      <c r="K66" s="461"/>
      <c r="L66" s="461"/>
      <c r="M66" s="462"/>
      <c r="N66" s="873"/>
      <c r="O66" s="873"/>
      <c r="P66" s="1766"/>
      <c r="Q66" s="433"/>
    </row>
    <row r="67" spans="1:17" ht="14.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c r="A68" s="361"/>
      <c r="B68" s="473"/>
      <c r="C68" s="474"/>
      <c r="D68" s="474"/>
      <c r="E68" s="474"/>
      <c r="F68" s="474"/>
      <c r="G68" s="474"/>
      <c r="H68" s="474"/>
      <c r="I68" s="474"/>
      <c r="J68" s="474"/>
      <c r="K68" s="475"/>
      <c r="L68" s="476"/>
      <c r="M68" s="477"/>
      <c r="N68" s="872"/>
      <c r="O68" s="872"/>
      <c r="P68" s="1766"/>
      <c r="Q68" s="433"/>
    </row>
    <row r="69" spans="1:17" ht="14.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4.5" thickTop="1">
      <c r="A70" s="478"/>
      <c r="B70" s="463">
        <f>B12</f>
        <v>111</v>
      </c>
      <c r="C70" s="479"/>
      <c r="D70" s="479"/>
      <c r="E70" s="479"/>
      <c r="F70" s="479"/>
      <c r="G70" s="479"/>
      <c r="H70" s="480"/>
      <c r="I70" s="480"/>
      <c r="J70" s="480"/>
      <c r="K70" s="480"/>
      <c r="L70" s="481"/>
      <c r="M70" s="482"/>
      <c r="N70" s="874"/>
      <c r="O70" s="874"/>
      <c r="P70" s="1767"/>
      <c r="Q70" s="484"/>
    </row>
    <row r="71" spans="1:17" s="402" customFormat="1" ht="14.5" thickBot="1">
      <c r="A71" s="478"/>
      <c r="B71" s="468"/>
      <c r="C71" s="485"/>
      <c r="D71" s="461"/>
      <c r="E71" s="461"/>
      <c r="F71" s="461"/>
      <c r="G71" s="461"/>
      <c r="H71" s="461"/>
      <c r="I71" s="461"/>
      <c r="J71" s="461"/>
      <c r="K71" s="461"/>
      <c r="L71" s="461"/>
      <c r="M71" s="462"/>
      <c r="N71" s="873"/>
      <c r="O71" s="873"/>
      <c r="P71" s="1767"/>
      <c r="Q71" s="484"/>
    </row>
    <row r="72" spans="1:17" s="402" customFormat="1" ht="14.5" thickTop="1">
      <c r="A72" s="478"/>
      <c r="B72" s="463">
        <f>B13</f>
        <v>111</v>
      </c>
      <c r="C72" s="479"/>
      <c r="D72" s="479"/>
      <c r="E72" s="479"/>
      <c r="F72" s="479"/>
      <c r="G72" s="479"/>
      <c r="H72" s="480"/>
      <c r="I72" s="480"/>
      <c r="J72" s="480"/>
      <c r="K72" s="480"/>
      <c r="L72" s="481"/>
      <c r="M72" s="482"/>
      <c r="N72" s="874"/>
      <c r="O72" s="874"/>
      <c r="P72" s="1768"/>
      <c r="Q72" s="486"/>
    </row>
    <row r="73" spans="1:17" s="402" customFormat="1" ht="14.5" thickBot="1">
      <c r="A73" s="478"/>
      <c r="B73" s="468"/>
      <c r="C73" s="485"/>
      <c r="D73" s="485"/>
      <c r="E73" s="485"/>
      <c r="F73" s="485"/>
      <c r="G73" s="485"/>
      <c r="H73" s="487"/>
      <c r="I73" s="487"/>
      <c r="J73" s="487"/>
      <c r="K73" s="487"/>
      <c r="L73" s="487"/>
      <c r="M73" s="488"/>
      <c r="N73" s="874"/>
      <c r="O73" s="874"/>
      <c r="P73" s="1767"/>
      <c r="Q73" s="484"/>
    </row>
    <row r="74" spans="1:17" s="402" customFormat="1" ht="14.5" thickTop="1">
      <c r="A74" s="478"/>
      <c r="B74" s="471">
        <f>B14</f>
        <v>111</v>
      </c>
      <c r="C74" s="479"/>
      <c r="D74" s="479"/>
      <c r="E74" s="479"/>
      <c r="F74" s="479"/>
      <c r="G74" s="31"/>
      <c r="H74" s="489"/>
      <c r="I74" s="489"/>
      <c r="J74" s="489"/>
      <c r="K74" s="489"/>
      <c r="L74" s="490"/>
      <c r="M74" s="491"/>
      <c r="N74" s="874"/>
      <c r="O74" s="874"/>
      <c r="P74" s="1769"/>
      <c r="Q74" s="484"/>
    </row>
    <row r="75" spans="1:17" s="402" customFormat="1" ht="14.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4.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4.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4.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4.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4.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4.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4.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4.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4.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 thickTop="1">
      <c r="A86" s="364"/>
      <c r="B86" s="463" t="s">
        <v>1734</v>
      </c>
      <c r="C86" s="479"/>
      <c r="D86" s="479"/>
      <c r="E86" s="479"/>
      <c r="F86" s="479"/>
      <c r="G86" s="479"/>
      <c r="H86" s="479"/>
      <c r="I86" s="479"/>
      <c r="J86" s="479"/>
      <c r="K86" s="479"/>
      <c r="L86" s="504"/>
      <c r="M86" s="505"/>
      <c r="N86" s="871"/>
      <c r="O86" s="871"/>
      <c r="P86" s="1766"/>
      <c r="Q86" s="433"/>
    </row>
    <row r="87" spans="1:17" s="102" customFormat="1" ht="14.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4.5" thickTop="1">
      <c r="A88" s="364"/>
      <c r="B88" s="463" t="s">
        <v>1735</v>
      </c>
      <c r="C88" s="479"/>
      <c r="D88" s="479"/>
      <c r="E88" s="479"/>
      <c r="F88" s="1771"/>
      <c r="G88" s="479"/>
      <c r="H88" s="479"/>
      <c r="I88" s="479"/>
      <c r="J88" s="479"/>
      <c r="K88" s="479"/>
      <c r="L88" s="479"/>
      <c r="M88" s="505"/>
      <c r="N88" s="871"/>
      <c r="O88" s="871"/>
      <c r="P88" s="1766"/>
      <c r="Q88" s="433"/>
    </row>
    <row r="89" spans="1:17" s="102" customFormat="1" ht="14.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4.5" thickTop="1">
      <c r="A90" s="478"/>
      <c r="B90" s="463">
        <f>B27</f>
        <v>111</v>
      </c>
      <c r="C90" s="479"/>
      <c r="D90" s="479"/>
      <c r="E90" s="479"/>
      <c r="F90" s="479"/>
      <c r="G90" s="479"/>
      <c r="H90" s="480"/>
      <c r="I90" s="480"/>
      <c r="J90" s="480"/>
      <c r="K90" s="480"/>
      <c r="L90" s="481"/>
      <c r="M90" s="482"/>
      <c r="N90" s="874"/>
      <c r="O90" s="874"/>
      <c r="P90" s="1767"/>
      <c r="Q90" s="484"/>
    </row>
    <row r="91" spans="1:17" s="402" customFormat="1" ht="14.5" thickBot="1">
      <c r="A91" s="478"/>
      <c r="B91" s="468"/>
      <c r="C91" s="485"/>
      <c r="D91" s="485"/>
      <c r="E91" s="485"/>
      <c r="F91" s="485"/>
      <c r="G91" s="485"/>
      <c r="H91" s="487"/>
      <c r="I91" s="487"/>
      <c r="J91" s="487"/>
      <c r="K91" s="487"/>
      <c r="L91" s="487"/>
      <c r="M91" s="488"/>
      <c r="N91" s="874"/>
      <c r="O91" s="874"/>
      <c r="P91" s="1767"/>
      <c r="Q91" s="484"/>
    </row>
    <row r="92" spans="1:17" ht="14.5" thickTop="1">
      <c r="A92" s="361"/>
      <c r="B92" s="463">
        <f>B28</f>
        <v>111</v>
      </c>
      <c r="C92" s="479"/>
      <c r="D92" s="479"/>
      <c r="E92" s="479"/>
      <c r="F92" s="479"/>
      <c r="G92" s="507"/>
      <c r="H92" s="507"/>
      <c r="I92" s="507"/>
      <c r="J92" s="507"/>
      <c r="K92" s="508"/>
      <c r="L92" s="509"/>
      <c r="M92" s="510"/>
      <c r="N92" s="872"/>
      <c r="O92" s="872"/>
      <c r="P92" s="1766"/>
      <c r="Q92" s="433"/>
    </row>
    <row r="93" spans="1:17" ht="14.5" thickBot="1">
      <c r="A93" s="361"/>
      <c r="B93" s="468"/>
      <c r="C93" s="485"/>
      <c r="D93" s="461"/>
      <c r="E93" s="461"/>
      <c r="F93" s="461"/>
      <c r="G93" s="461"/>
      <c r="H93" s="461"/>
      <c r="I93" s="461"/>
      <c r="J93" s="461"/>
      <c r="K93" s="461"/>
      <c r="L93" s="461"/>
      <c r="M93" s="462"/>
      <c r="N93" s="873"/>
      <c r="O93" s="873"/>
      <c r="P93" s="1766"/>
      <c r="Q93" s="433"/>
    </row>
    <row r="94" spans="1:17" ht="14.5" thickTop="1">
      <c r="A94" s="361"/>
      <c r="B94" s="463">
        <f>B29</f>
        <v>111</v>
      </c>
      <c r="C94" s="479"/>
      <c r="D94" s="479"/>
      <c r="E94" s="479"/>
      <c r="F94" s="479"/>
      <c r="G94" s="507"/>
      <c r="H94" s="507"/>
      <c r="I94" s="507"/>
      <c r="J94" s="507"/>
      <c r="K94" s="508"/>
      <c r="L94" s="509"/>
      <c r="M94" s="510"/>
      <c r="N94" s="872"/>
      <c r="O94" s="872"/>
      <c r="P94" s="1766"/>
      <c r="Q94" s="433"/>
    </row>
    <row r="95" spans="1:17" ht="14.5" thickBot="1">
      <c r="A95" s="361"/>
      <c r="B95" s="468"/>
      <c r="C95" s="485"/>
      <c r="D95" s="485"/>
      <c r="E95" s="485"/>
      <c r="F95" s="485"/>
      <c r="G95" s="461"/>
      <c r="H95" s="461"/>
      <c r="I95" s="461"/>
      <c r="J95" s="461"/>
      <c r="K95" s="461"/>
      <c r="L95" s="461"/>
      <c r="M95" s="462"/>
      <c r="N95" s="873"/>
      <c r="O95" s="873"/>
      <c r="P95" s="1766"/>
      <c r="Q95" s="433"/>
    </row>
    <row r="96" spans="1:17" ht="14.5" thickTop="1">
      <c r="A96" s="361"/>
      <c r="B96" s="463">
        <f>B30</f>
        <v>111</v>
      </c>
      <c r="C96" s="479"/>
      <c r="D96" s="479"/>
      <c r="E96" s="479"/>
      <c r="F96" s="479"/>
      <c r="G96" s="507"/>
      <c r="H96" s="507"/>
      <c r="I96" s="507"/>
      <c r="J96" s="507"/>
      <c r="K96" s="508"/>
      <c r="L96" s="509"/>
      <c r="M96" s="510"/>
      <c r="N96" s="872"/>
      <c r="O96" s="872"/>
      <c r="P96" s="1766"/>
      <c r="Q96" s="433"/>
    </row>
    <row r="97" spans="1:17" ht="14.5" thickBot="1">
      <c r="A97" s="361"/>
      <c r="B97" s="468"/>
      <c r="C97" s="495"/>
      <c r="D97" s="495"/>
      <c r="E97" s="495"/>
      <c r="F97" s="495"/>
      <c r="G97" s="461"/>
      <c r="H97" s="461"/>
      <c r="I97" s="461"/>
      <c r="J97" s="461"/>
      <c r="K97" s="461"/>
      <c r="L97" s="461"/>
      <c r="M97" s="462"/>
      <c r="N97" s="873"/>
      <c r="O97" s="873"/>
      <c r="P97" s="1766"/>
      <c r="Q97" s="433"/>
    </row>
    <row r="98" spans="1:17" ht="14.5" thickTop="1">
      <c r="A98" s="361"/>
      <c r="B98" s="471">
        <f>B31</f>
        <v>111</v>
      </c>
      <c r="C98" s="511"/>
      <c r="D98" s="511"/>
      <c r="E98" s="511"/>
      <c r="F98" s="511"/>
      <c r="G98" s="511"/>
      <c r="H98" s="511"/>
      <c r="I98" s="511"/>
      <c r="J98" s="511"/>
      <c r="K98" s="512"/>
      <c r="L98" s="513"/>
      <c r="M98" s="514"/>
      <c r="N98" s="872"/>
      <c r="O98" s="872"/>
      <c r="P98" s="1766"/>
      <c r="Q98" s="433"/>
    </row>
    <row r="99" spans="1:17" ht="14.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4.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4.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4.5" thickBot="1">
      <c r="A104" s="478"/>
      <c r="B104" s="468"/>
      <c r="C104" s="485"/>
      <c r="D104" s="461"/>
      <c r="E104" s="461"/>
      <c r="F104" s="461"/>
      <c r="G104" s="461"/>
      <c r="H104" s="461"/>
      <c r="I104" s="461"/>
      <c r="J104" s="461"/>
      <c r="K104" s="461"/>
      <c r="L104" s="461"/>
      <c r="M104" s="461"/>
      <c r="N104" s="873"/>
      <c r="O104" s="873"/>
      <c r="P104" s="1767"/>
      <c r="Q104" s="484"/>
    </row>
    <row r="105" spans="1:17" ht="14.5" thickTop="1">
      <c r="A105" s="403"/>
      <c r="B105" s="463" t="s">
        <v>1738</v>
      </c>
      <c r="C105" s="479"/>
      <c r="D105" s="479"/>
      <c r="E105" s="507"/>
      <c r="F105" s="507"/>
      <c r="G105" s="507"/>
      <c r="H105" s="507"/>
      <c r="I105" s="507"/>
      <c r="J105" s="507"/>
      <c r="K105" s="508"/>
      <c r="L105" s="509"/>
      <c r="M105" s="510"/>
      <c r="N105" s="872"/>
      <c r="O105" s="872"/>
      <c r="P105" s="1766"/>
      <c r="Q105" s="433"/>
    </row>
    <row r="106" spans="1:17" ht="14.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4.5" thickTop="1">
      <c r="A107" s="403"/>
      <c r="B107" s="463" t="s">
        <v>1739</v>
      </c>
      <c r="C107" s="507"/>
      <c r="D107" s="507"/>
      <c r="E107" s="507"/>
      <c r="F107" s="507"/>
      <c r="G107" s="507"/>
      <c r="H107" s="507"/>
      <c r="I107" s="507"/>
      <c r="J107" s="507"/>
      <c r="K107" s="508"/>
      <c r="L107" s="509"/>
      <c r="M107" s="510"/>
      <c r="N107" s="872"/>
      <c r="O107" s="872"/>
      <c r="P107" s="1766"/>
      <c r="Q107" s="433"/>
    </row>
    <row r="108" spans="1:17" ht="14.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4.5" thickTop="1">
      <c r="A109" s="403"/>
      <c r="B109" s="463" t="s">
        <v>1740</v>
      </c>
      <c r="C109" s="479"/>
      <c r="D109" s="479"/>
      <c r="E109" s="479"/>
      <c r="F109" s="507"/>
      <c r="G109" s="507"/>
      <c r="H109" s="507"/>
      <c r="I109" s="507"/>
      <c r="J109" s="507"/>
      <c r="K109" s="508"/>
      <c r="L109" s="509"/>
      <c r="M109" s="510"/>
      <c r="N109" s="872"/>
      <c r="O109" s="872"/>
      <c r="P109" s="1766"/>
      <c r="Q109" s="433"/>
    </row>
    <row r="110" spans="1:17" ht="14.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4.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4.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4.5" thickTop="1">
      <c r="A114" s="403"/>
      <c r="B114" s="463" t="s">
        <v>1741</v>
      </c>
      <c r="C114" s="479"/>
      <c r="D114" s="479"/>
      <c r="E114" s="507"/>
      <c r="F114" s="507"/>
      <c r="G114" s="507"/>
      <c r="H114" s="507"/>
      <c r="I114" s="507"/>
      <c r="J114" s="507"/>
      <c r="K114" s="508"/>
      <c r="L114" s="509"/>
      <c r="M114" s="510"/>
      <c r="N114" s="872"/>
      <c r="O114" s="872"/>
      <c r="P114" s="1766"/>
      <c r="Q114" s="433"/>
    </row>
    <row r="115" spans="1:17" ht="14.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4.5" thickTop="1">
      <c r="A116" s="403"/>
      <c r="B116" s="463" t="s">
        <v>1742</v>
      </c>
      <c r="C116" s="479"/>
      <c r="D116" s="479"/>
      <c r="E116" s="479"/>
      <c r="F116" s="479"/>
      <c r="G116" s="479"/>
      <c r="H116" s="507"/>
      <c r="I116" s="507"/>
      <c r="J116" s="507"/>
      <c r="K116" s="508"/>
      <c r="L116" s="509"/>
      <c r="M116" s="510"/>
      <c r="N116" s="872"/>
      <c r="O116" s="872"/>
      <c r="P116" s="1766"/>
      <c r="Q116" s="433"/>
    </row>
    <row r="117" spans="1:17" ht="14.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4.5" thickTop="1">
      <c r="A118" s="403"/>
      <c r="B118" s="463" t="s">
        <v>1743</v>
      </c>
      <c r="C118" s="507"/>
      <c r="D118" s="507"/>
      <c r="E118" s="507"/>
      <c r="F118" s="507"/>
      <c r="G118" s="507"/>
      <c r="H118" s="507"/>
      <c r="I118" s="507"/>
      <c r="J118" s="507"/>
      <c r="K118" s="508"/>
      <c r="L118" s="509"/>
      <c r="M118" s="510"/>
      <c r="N118" s="872"/>
      <c r="O118" s="872"/>
      <c r="P118" s="1766"/>
      <c r="Q118" s="433"/>
    </row>
    <row r="119" spans="1:17" ht="14.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9"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4.5" thickBot="1">
      <c r="A121" s="478"/>
      <c r="B121" s="460"/>
      <c r="C121" s="485"/>
      <c r="D121" s="461"/>
      <c r="E121" s="461"/>
      <c r="F121" s="461"/>
      <c r="G121" s="461"/>
      <c r="H121" s="461"/>
      <c r="I121" s="461"/>
      <c r="J121" s="461"/>
      <c r="K121" s="461"/>
      <c r="L121" s="461"/>
      <c r="M121" s="461"/>
      <c r="N121" s="874"/>
      <c r="O121" s="874"/>
      <c r="P121" s="1767"/>
      <c r="Q121" s="484"/>
    </row>
    <row r="122" spans="1:17" ht="14.5" thickTop="1">
      <c r="A122" s="403"/>
      <c r="B122" s="463" t="s">
        <v>1744</v>
      </c>
      <c r="C122" s="479"/>
      <c r="D122" s="479"/>
      <c r="E122" s="479"/>
      <c r="F122" s="507"/>
      <c r="G122" s="507"/>
      <c r="H122" s="507"/>
      <c r="I122" s="507"/>
      <c r="J122" s="507"/>
      <c r="K122" s="508"/>
      <c r="L122" s="509"/>
      <c r="M122" s="510"/>
      <c r="N122" s="872"/>
      <c r="O122" s="872"/>
      <c r="P122" s="1766"/>
      <c r="Q122" s="433"/>
    </row>
    <row r="123" spans="1:17" ht="14.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28.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4.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4.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4.5" thickBot="1">
      <c r="A127" s="478"/>
      <c r="B127" s="468"/>
      <c r="C127" s="485"/>
      <c r="D127" s="461"/>
      <c r="E127" s="461"/>
      <c r="F127" s="461"/>
      <c r="G127" s="485"/>
      <c r="H127" s="487"/>
      <c r="I127" s="487"/>
      <c r="J127" s="487"/>
      <c r="K127" s="487"/>
      <c r="L127" s="487"/>
      <c r="M127" s="488"/>
      <c r="N127" s="874"/>
      <c r="O127" s="874"/>
      <c r="P127" s="1767"/>
      <c r="Q127" s="484"/>
    </row>
    <row r="128" spans="1:17" ht="14.5" thickTop="1">
      <c r="A128" s="403"/>
      <c r="B128" s="463">
        <f>B45</f>
        <v>111</v>
      </c>
      <c r="C128" s="479"/>
      <c r="D128" s="479"/>
      <c r="E128" s="479"/>
      <c r="F128" s="479"/>
      <c r="G128" s="507"/>
      <c r="H128" s="507"/>
      <c r="I128" s="507"/>
      <c r="J128" s="507"/>
      <c r="K128" s="508"/>
      <c r="L128" s="509"/>
      <c r="M128" s="510"/>
      <c r="N128" s="872"/>
      <c r="O128" s="872"/>
      <c r="P128" s="1766"/>
      <c r="Q128" s="433"/>
    </row>
    <row r="129" spans="1:17" ht="14.5" thickBot="1">
      <c r="A129" s="361"/>
      <c r="B129" s="468"/>
      <c r="C129" s="485"/>
      <c r="D129" s="485"/>
      <c r="E129" s="485"/>
      <c r="F129" s="485"/>
      <c r="G129" s="461"/>
      <c r="H129" s="461"/>
      <c r="I129" s="461"/>
      <c r="J129" s="461"/>
      <c r="K129" s="461"/>
      <c r="L129" s="461"/>
      <c r="M129" s="462"/>
      <c r="N129" s="873"/>
      <c r="O129" s="873"/>
      <c r="P129" s="1766"/>
      <c r="Q129" s="433"/>
    </row>
    <row r="130" spans="1:17" ht="14.5" thickTop="1">
      <c r="A130" s="403"/>
      <c r="B130" s="471">
        <f>B46</f>
        <v>111</v>
      </c>
      <c r="C130" s="479"/>
      <c r="D130" s="479"/>
      <c r="E130" s="479"/>
      <c r="F130" s="479"/>
      <c r="G130" s="511"/>
      <c r="H130" s="511"/>
      <c r="I130" s="511"/>
      <c r="J130" s="511"/>
      <c r="K130" s="31"/>
      <c r="L130" s="451"/>
      <c r="M130" s="514"/>
      <c r="N130" s="872"/>
      <c r="O130" s="872"/>
      <c r="P130" s="1766"/>
      <c r="Q130" s="433"/>
    </row>
    <row r="131" spans="1:17" ht="14.5" thickBot="1">
      <c r="A131" s="369"/>
      <c r="B131" s="494"/>
      <c r="C131" s="495"/>
      <c r="D131" s="495"/>
      <c r="E131" s="495"/>
      <c r="F131" s="495"/>
      <c r="G131" s="515"/>
      <c r="H131" s="515"/>
      <c r="I131" s="515"/>
      <c r="J131" s="515"/>
      <c r="K131" s="515"/>
      <c r="L131" s="515"/>
      <c r="M131" s="516"/>
      <c r="N131" s="873"/>
      <c r="O131" s="873"/>
      <c r="P131" s="1766"/>
      <c r="Q131" s="433"/>
    </row>
    <row r="136" spans="1:17" ht="14.5" thickBot="1">
      <c r="B136" s="1772" t="s">
        <v>1746</v>
      </c>
    </row>
    <row r="137" spans="1:17" ht="15.5">
      <c r="B137" s="1773" t="s">
        <v>1747</v>
      </c>
      <c r="C137" s="1774"/>
      <c r="D137" s="1774"/>
      <c r="E137" s="1774"/>
      <c r="F137" s="1774"/>
      <c r="G137" s="1775"/>
      <c r="H137" s="1776"/>
      <c r="I137" s="1777" t="s">
        <v>1748</v>
      </c>
      <c r="J137" s="1774"/>
      <c r="K137" s="1778"/>
    </row>
    <row r="138" spans="1:17" ht="15.5">
      <c r="B138" s="1779"/>
      <c r="C138" s="123" t="s">
        <v>1749</v>
      </c>
      <c r="D138" s="123" t="s">
        <v>1750</v>
      </c>
      <c r="E138" s="1780" t="s">
        <v>1751</v>
      </c>
      <c r="F138" s="1781" t="s">
        <v>1752</v>
      </c>
      <c r="G138" s="123" t="s">
        <v>1750</v>
      </c>
      <c r="H138" s="124" t="s">
        <v>1751</v>
      </c>
      <c r="I138" s="1782"/>
      <c r="J138" s="123" t="s">
        <v>1753</v>
      </c>
      <c r="K138" s="124" t="s">
        <v>1754</v>
      </c>
    </row>
    <row r="139" spans="1:17" ht="15.5">
      <c r="B139" s="807">
        <v>6</v>
      </c>
      <c r="C139" s="808">
        <v>96</v>
      </c>
      <c r="D139" s="1783" t="s">
        <v>1755</v>
      </c>
      <c r="E139" s="809">
        <v>100</v>
      </c>
      <c r="F139" s="810">
        <v>102.5</v>
      </c>
      <c r="G139" s="1783" t="s">
        <v>1755</v>
      </c>
      <c r="H139" s="811">
        <v>105</v>
      </c>
      <c r="I139" s="1784" t="s">
        <v>1756</v>
      </c>
      <c r="J139" s="808">
        <v>20</v>
      </c>
      <c r="K139" s="812">
        <f>C145/(J139-2)</f>
        <v>4.0555555555555553E-3</v>
      </c>
    </row>
    <row r="140" spans="1:17" ht="15.5">
      <c r="B140" s="813">
        <v>5</v>
      </c>
      <c r="C140" s="814">
        <v>100</v>
      </c>
      <c r="D140" s="814"/>
      <c r="E140" s="815"/>
      <c r="F140" s="816">
        <v>102</v>
      </c>
      <c r="G140" s="814"/>
      <c r="H140" s="817"/>
      <c r="I140" s="1785" t="s">
        <v>1757</v>
      </c>
      <c r="J140" s="257">
        <f>ROUNDUP((J139-1)/2,0)</f>
        <v>10</v>
      </c>
      <c r="K140" s="818">
        <v>100</v>
      </c>
    </row>
    <row r="141" spans="1:17" ht="15.5">
      <c r="B141" s="813">
        <v>4</v>
      </c>
      <c r="C141" s="814">
        <v>102</v>
      </c>
      <c r="D141" s="814"/>
      <c r="E141" s="815"/>
      <c r="F141" s="816">
        <v>101.5</v>
      </c>
      <c r="G141" s="814"/>
      <c r="H141" s="817"/>
      <c r="I141" s="1785" t="s">
        <v>1758</v>
      </c>
      <c r="J141" s="257">
        <v>1</v>
      </c>
      <c r="K141" s="819">
        <f>ROUND(100+(J141-J140)*K139*100,1)</f>
        <v>96.4</v>
      </c>
    </row>
    <row r="142" spans="1:17" ht="15.5">
      <c r="B142" s="813">
        <v>3</v>
      </c>
      <c r="C142" s="814">
        <v>103</v>
      </c>
      <c r="D142" s="814"/>
      <c r="E142" s="815"/>
      <c r="F142" s="816">
        <v>101</v>
      </c>
      <c r="G142" s="814"/>
      <c r="H142" s="817"/>
      <c r="I142" s="1785" t="s">
        <v>1759</v>
      </c>
      <c r="J142" s="257">
        <f>J139</f>
        <v>20</v>
      </c>
      <c r="K142" s="820">
        <v>95</v>
      </c>
    </row>
    <row r="143" spans="1:17" ht="15.5">
      <c r="B143" s="813">
        <v>2</v>
      </c>
      <c r="C143" s="814">
        <v>100</v>
      </c>
      <c r="D143" s="814"/>
      <c r="E143" s="815"/>
      <c r="F143" s="816">
        <v>100.5</v>
      </c>
      <c r="G143" s="814"/>
      <c r="H143" s="817"/>
      <c r="I143" s="1785" t="s">
        <v>1760</v>
      </c>
      <c r="J143" s="814">
        <v>15</v>
      </c>
      <c r="K143" s="819">
        <f>ROUND(100+(J143-J140)*K139*100,1)</f>
        <v>102</v>
      </c>
    </row>
    <row r="144" spans="1:17" ht="15.5">
      <c r="B144" s="813">
        <v>1</v>
      </c>
      <c r="C144" s="814">
        <v>98</v>
      </c>
      <c r="D144" s="1786" t="s">
        <v>1761</v>
      </c>
      <c r="E144" s="815">
        <v>102</v>
      </c>
      <c r="F144" s="821">
        <v>100</v>
      </c>
      <c r="G144" s="1786" t="s">
        <v>1761</v>
      </c>
      <c r="H144" s="817">
        <v>105</v>
      </c>
      <c r="I144" s="1785" t="s">
        <v>1760</v>
      </c>
      <c r="J144" s="814">
        <v>18</v>
      </c>
      <c r="K144" s="819">
        <f>ROUND(100+(J144-J140)*K139*100,1)</f>
        <v>103.2</v>
      </c>
    </row>
    <row r="145" spans="2:11" ht="16"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
  <cols>
    <col min="1" max="1" width="10.453125" style="341" customWidth="1"/>
    <col min="2" max="2" width="15.7265625" style="341" customWidth="1"/>
    <col min="3" max="3" width="15.0898437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1760"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1660</v>
      </c>
      <c r="B1" s="1725" t="s">
        <v>1766</v>
      </c>
      <c r="C1" s="1147" t="s">
        <v>1662</v>
      </c>
      <c r="D1" s="1134"/>
      <c r="E1" s="3113"/>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81" t="s">
        <v>1772</v>
      </c>
      <c r="AC4" s="3351" t="s">
        <v>1773</v>
      </c>
    </row>
    <row r="5" spans="1:29">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81"/>
      <c r="AC5" s="3352"/>
    </row>
    <row r="6" spans="1:29" ht="1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81"/>
      <c r="AC6" s="3353"/>
    </row>
    <row r="7" spans="1:29" s="102" customFormat="1" ht="14.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38"/>
      <c r="L7" s="2478"/>
      <c r="M7" s="2429"/>
      <c r="N7" s="2429"/>
      <c r="O7" s="2429"/>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4.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8">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38"/>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92"/>
      <c r="Q11" s="524" t="str">
        <f t="shared" si="6"/>
        <v>容积率</v>
      </c>
      <c r="R11" s="656" t="s">
        <v>14</v>
      </c>
      <c r="S11" s="657" t="e">
        <f t="shared" si="0"/>
        <v>#N/A</v>
      </c>
      <c r="T11" s="656" t="s">
        <v>14</v>
      </c>
      <c r="U11" s="657" t="e">
        <f t="shared" si="1"/>
        <v>#N/A</v>
      </c>
      <c r="V11" s="656" t="s">
        <v>14</v>
      </c>
      <c r="W11" s="657" t="e">
        <f t="shared" si="2"/>
        <v>#N/A</v>
      </c>
      <c r="X11" s="658"/>
      <c r="Y11" s="3327"/>
      <c r="Z11" s="50" t="str">
        <f t="shared" si="7"/>
        <v>容积率</v>
      </c>
      <c r="AA11" s="50" t="e">
        <f t="shared" si="3"/>
        <v>#N/A</v>
      </c>
      <c r="AB11" s="50" t="e">
        <f t="shared" si="4"/>
        <v>#N/A</v>
      </c>
      <c r="AC11" s="50" t="e">
        <f t="shared" si="5"/>
        <v>#N/A</v>
      </c>
    </row>
    <row r="12" spans="1:29" s="102" customFormat="1" ht="15.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92"/>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92"/>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6"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92"/>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98">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27" t="s">
        <v>1691</v>
      </c>
      <c r="Q15" s="1255" t="str">
        <f t="shared" si="6"/>
        <v>商业繁华度</v>
      </c>
      <c r="R15" s="659" t="s">
        <v>14</v>
      </c>
      <c r="S15" s="660">
        <f t="shared" si="0"/>
        <v>100</v>
      </c>
      <c r="T15" s="659" t="s">
        <v>14</v>
      </c>
      <c r="U15" s="660">
        <f t="shared" si="1"/>
        <v>100</v>
      </c>
      <c r="V15" s="659" t="s">
        <v>14</v>
      </c>
      <c r="W15" s="660">
        <f t="shared" si="2"/>
        <v>100</v>
      </c>
      <c r="X15" s="1257"/>
      <c r="Y15" s="3383" t="s">
        <v>1691</v>
      </c>
      <c r="Z15" s="1256" t="str">
        <f t="shared" si="7"/>
        <v>商业繁华度</v>
      </c>
      <c r="AA15" s="1256">
        <f t="shared" si="3"/>
        <v>1</v>
      </c>
      <c r="AB15" s="1256">
        <f t="shared" si="4"/>
        <v>1</v>
      </c>
      <c r="AC15" s="1256">
        <f t="shared" si="5"/>
        <v>1</v>
      </c>
    </row>
    <row r="16" spans="1:29" ht="15.5">
      <c r="A16" s="361"/>
      <c r="B16" s="379"/>
      <c r="C16" s="380"/>
      <c r="D16" s="381"/>
      <c r="E16" s="380"/>
      <c r="F16" s="382"/>
      <c r="G16" s="380"/>
      <c r="H16" s="383"/>
      <c r="I16" s="380"/>
      <c r="J16" s="381"/>
      <c r="K16" s="535"/>
      <c r="L16" s="2482"/>
      <c r="M16" s="2477"/>
      <c r="N16" s="2477"/>
      <c r="O16" s="2477"/>
      <c r="P16" s="3428"/>
      <c r="Q16" s="1255"/>
      <c r="R16" s="659"/>
      <c r="S16" s="660"/>
      <c r="T16" s="659"/>
      <c r="U16" s="660"/>
      <c r="V16" s="659"/>
      <c r="W16" s="660"/>
      <c r="X16" s="1257"/>
      <c r="Y16" s="3384"/>
      <c r="Z16" s="1256"/>
      <c r="AA16" s="1256">
        <v>1</v>
      </c>
      <c r="AB16" s="1256">
        <v>1</v>
      </c>
      <c r="AC16" s="1256">
        <v>1</v>
      </c>
    </row>
    <row r="17" spans="1:29" ht="140">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5">
      <c r="A18" s="361"/>
      <c r="B18" s="389"/>
      <c r="C18" s="1746"/>
      <c r="D18" s="383"/>
      <c r="E18" s="1748"/>
      <c r="F18" s="386"/>
      <c r="G18" s="1747"/>
      <c r="H18" s="381"/>
      <c r="I18" s="1748"/>
      <c r="J18" s="381"/>
      <c r="K18" s="535"/>
      <c r="L18" s="2482"/>
      <c r="M18" s="2477"/>
      <c r="N18" s="2477"/>
      <c r="O18" s="2477"/>
      <c r="P18" s="3428"/>
      <c r="Q18" s="1255"/>
      <c r="R18" s="659"/>
      <c r="S18" s="660"/>
      <c r="T18" s="659"/>
      <c r="U18" s="660"/>
      <c r="V18" s="659"/>
      <c r="W18" s="660"/>
      <c r="X18" s="1257"/>
      <c r="Y18" s="3384"/>
      <c r="Z18" s="1256"/>
      <c r="AA18" s="1256">
        <v>1</v>
      </c>
      <c r="AB18" s="1256">
        <v>1</v>
      </c>
      <c r="AC18" s="1256">
        <v>1</v>
      </c>
    </row>
    <row r="19" spans="1:29" ht="42">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256">
        <f t="shared" si="5"/>
        <v>1</v>
      </c>
    </row>
    <row r="20" spans="1:29" ht="15.5">
      <c r="A20" s="361"/>
      <c r="B20" s="389"/>
      <c r="C20" s="380"/>
      <c r="D20" s="381"/>
      <c r="E20" s="1743"/>
      <c r="F20" s="382"/>
      <c r="G20" s="1742"/>
      <c r="H20" s="381"/>
      <c r="I20" s="1743"/>
      <c r="J20" s="381"/>
      <c r="K20" s="535"/>
      <c r="L20" s="2482"/>
      <c r="M20" s="2477"/>
      <c r="N20" s="2477"/>
      <c r="O20" s="2477"/>
      <c r="P20" s="3428"/>
      <c r="Q20" s="1255"/>
      <c r="R20" s="659"/>
      <c r="S20" s="660"/>
      <c r="T20" s="659"/>
      <c r="U20" s="660"/>
      <c r="V20" s="659"/>
      <c r="W20" s="660"/>
      <c r="X20" s="1257"/>
      <c r="Y20" s="3384"/>
      <c r="Z20" s="1256"/>
      <c r="AA20" s="1256">
        <v>1</v>
      </c>
      <c r="AB20" s="1256">
        <v>1</v>
      </c>
      <c r="AC20" s="1256">
        <v>1</v>
      </c>
    </row>
    <row r="21" spans="1:29" ht="15.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5">
      <c r="A22" s="361"/>
      <c r="B22" s="580"/>
      <c r="C22" s="1746"/>
      <c r="D22" s="381"/>
      <c r="E22" s="380"/>
      <c r="F22" s="382"/>
      <c r="G22" s="380"/>
      <c r="H22" s="381"/>
      <c r="I22" s="380"/>
      <c r="J22" s="381"/>
      <c r="K22" s="1057"/>
      <c r="L22" s="2482"/>
      <c r="M22" s="2477"/>
      <c r="N22" s="2477"/>
      <c r="O22" s="2477"/>
      <c r="P22" s="3428"/>
      <c r="Q22" s="1255"/>
      <c r="R22" s="659"/>
      <c r="S22" s="660"/>
      <c r="T22" s="659"/>
      <c r="U22" s="660"/>
      <c r="V22" s="659"/>
      <c r="W22" s="660"/>
      <c r="X22" s="1257"/>
      <c r="Y22" s="3384"/>
      <c r="Z22" s="1256"/>
      <c r="AA22" s="1256">
        <v>1</v>
      </c>
      <c r="AB22" s="1256">
        <v>1</v>
      </c>
      <c r="AC22" s="1256">
        <v>1</v>
      </c>
    </row>
    <row r="23" spans="1:29" ht="84">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28"/>
      <c r="Q23" s="1255" t="str">
        <f>B23</f>
        <v>自然及人文环境</v>
      </c>
      <c r="R23" s="659" t="s">
        <v>14</v>
      </c>
      <c r="S23" s="660">
        <f>F23</f>
        <v>100</v>
      </c>
      <c r="T23" s="659" t="s">
        <v>14</v>
      </c>
      <c r="U23" s="660">
        <f>H23</f>
        <v>100</v>
      </c>
      <c r="V23" s="659" t="s">
        <v>14</v>
      </c>
      <c r="W23" s="660">
        <f>J23</f>
        <v>100</v>
      </c>
      <c r="X23" s="1257"/>
      <c r="Y23" s="3384"/>
      <c r="Z23" s="1256" t="str">
        <f>Q23</f>
        <v>自然及人文环境</v>
      </c>
      <c r="AA23" s="1256">
        <f t="shared" si="3"/>
        <v>1</v>
      </c>
      <c r="AB23" s="1256">
        <f t="shared" si="4"/>
        <v>1</v>
      </c>
      <c r="AC23" s="1256">
        <f t="shared" si="5"/>
        <v>1</v>
      </c>
    </row>
    <row r="24" spans="1:29" ht="15.5">
      <c r="A24" s="361"/>
      <c r="B24" s="389"/>
      <c r="C24" s="380"/>
      <c r="D24" s="381"/>
      <c r="E24" s="1743"/>
      <c r="F24" s="382"/>
      <c r="G24" s="1742"/>
      <c r="H24" s="381"/>
      <c r="I24" s="1743"/>
      <c r="J24" s="381"/>
      <c r="K24" s="535"/>
      <c r="L24" s="2482"/>
      <c r="M24" s="2477"/>
      <c r="N24" s="2477"/>
      <c r="O24" s="2477"/>
      <c r="P24" s="3428"/>
      <c r="Q24" s="1255"/>
      <c r="R24" s="659"/>
      <c r="S24" s="660"/>
      <c r="T24" s="659"/>
      <c r="U24" s="660"/>
      <c r="V24" s="659"/>
      <c r="W24" s="660"/>
      <c r="X24" s="1257"/>
      <c r="Y24" s="3384"/>
      <c r="Z24" s="1256"/>
      <c r="AA24" s="1256">
        <v>1</v>
      </c>
      <c r="AB24" s="1256">
        <v>1</v>
      </c>
      <c r="AC24" s="1256">
        <v>1</v>
      </c>
    </row>
    <row r="25" spans="1:29" ht="15.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28"/>
      <c r="Q25" s="1255" t="str">
        <f t="shared" ref="Q25:Q46" si="11">B25</f>
        <v>临街状况</v>
      </c>
      <c r="R25" s="659" t="s">
        <v>14</v>
      </c>
      <c r="S25" s="660">
        <f>F25</f>
        <v>100</v>
      </c>
      <c r="T25" s="659" t="s">
        <v>14</v>
      </c>
      <c r="U25" s="660">
        <f>H25</f>
        <v>100</v>
      </c>
      <c r="V25" s="659" t="s">
        <v>14</v>
      </c>
      <c r="W25" s="660">
        <f>J25</f>
        <v>100</v>
      </c>
      <c r="X25" s="1257"/>
      <c r="Y25" s="3384"/>
      <c r="Z25" s="1256" t="str">
        <f>Q25</f>
        <v>临街状况</v>
      </c>
      <c r="AA25" s="1256">
        <f t="shared" si="3"/>
        <v>1</v>
      </c>
      <c r="AB25" s="1256">
        <f t="shared" si="4"/>
        <v>1</v>
      </c>
      <c r="AC25" s="1256">
        <f t="shared" si="5"/>
        <v>1</v>
      </c>
    </row>
    <row r="26" spans="1:29" ht="15.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28"/>
      <c r="Q26" s="1255" t="str">
        <f t="shared" si="11"/>
        <v>平面位置/可视性</v>
      </c>
      <c r="R26" s="659" t="s">
        <v>14</v>
      </c>
      <c r="S26" s="660">
        <f>F26</f>
        <v>100</v>
      </c>
      <c r="T26" s="659" t="s">
        <v>14</v>
      </c>
      <c r="U26" s="660">
        <f>H26</f>
        <v>100</v>
      </c>
      <c r="V26" s="659" t="s">
        <v>14</v>
      </c>
      <c r="W26" s="660">
        <f>J26</f>
        <v>100</v>
      </c>
      <c r="X26" s="1257"/>
      <c r="Y26" s="3384"/>
      <c r="Z26" s="1256" t="str">
        <f>Q26</f>
        <v>平面位置/可视性</v>
      </c>
      <c r="AA26" s="1256">
        <f t="shared" si="3"/>
        <v>1</v>
      </c>
      <c r="AB26" s="1256">
        <f t="shared" si="4"/>
        <v>1</v>
      </c>
      <c r="AC26" s="1256">
        <f t="shared" si="5"/>
        <v>1</v>
      </c>
    </row>
    <row r="27" spans="1:29" s="102" customFormat="1" ht="15.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28"/>
      <c r="Q27" s="524" t="str">
        <f t="shared" si="11"/>
        <v>人流量</v>
      </c>
      <c r="R27" s="656" t="s">
        <v>14</v>
      </c>
      <c r="S27" s="657">
        <f>F27</f>
        <v>100</v>
      </c>
      <c r="T27" s="656" t="s">
        <v>14</v>
      </c>
      <c r="U27" s="657">
        <f>H27</f>
        <v>100</v>
      </c>
      <c r="V27" s="656" t="s">
        <v>14</v>
      </c>
      <c r="W27" s="657">
        <f>J27</f>
        <v>100</v>
      </c>
      <c r="X27" s="658"/>
      <c r="Y27" s="3384"/>
      <c r="Z27" s="50" t="str">
        <f>Q27</f>
        <v>人流量</v>
      </c>
      <c r="AA27" s="1256">
        <f>D27/F27</f>
        <v>1</v>
      </c>
      <c r="AB27" s="1256">
        <f>D27/H27</f>
        <v>1</v>
      </c>
      <c r="AC27" s="1256">
        <f>D27/J27</f>
        <v>1</v>
      </c>
    </row>
    <row r="28" spans="1:29" ht="15.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28"/>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84"/>
      <c r="Z28" s="1256" t="str">
        <f t="shared" ref="Z28:Z46" si="15">Q28</f>
        <v>楼层</v>
      </c>
      <c r="AA28" s="1256">
        <f t="shared" si="3"/>
        <v>1</v>
      </c>
      <c r="AB28" s="1256">
        <f t="shared" si="4"/>
        <v>1</v>
      </c>
      <c r="AC28" s="1256">
        <f t="shared" si="5"/>
        <v>1</v>
      </c>
    </row>
    <row r="29" spans="1:29" ht="15.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28"/>
      <c r="Q29" s="1255">
        <f t="shared" si="11"/>
        <v>111</v>
      </c>
      <c r="R29" s="659" t="s">
        <v>14</v>
      </c>
      <c r="S29" s="660">
        <f t="shared" si="12"/>
        <v>100</v>
      </c>
      <c r="T29" s="659" t="s">
        <v>14</v>
      </c>
      <c r="U29" s="660">
        <f t="shared" si="13"/>
        <v>100</v>
      </c>
      <c r="V29" s="659" t="s">
        <v>14</v>
      </c>
      <c r="W29" s="660">
        <f t="shared" si="14"/>
        <v>100</v>
      </c>
      <c r="X29" s="1257"/>
      <c r="Y29" s="3384"/>
      <c r="Z29" s="1256">
        <f t="shared" si="15"/>
        <v>111</v>
      </c>
      <c r="AA29" s="1256">
        <f t="shared" si="3"/>
        <v>1</v>
      </c>
      <c r="AB29" s="1256">
        <f t="shared" si="4"/>
        <v>1</v>
      </c>
      <c r="AC29" s="1256">
        <f t="shared" si="5"/>
        <v>1</v>
      </c>
    </row>
    <row r="30" spans="1:29" ht="15.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84"/>
      <c r="Z30" s="1256">
        <f t="shared" si="15"/>
        <v>111</v>
      </c>
      <c r="AA30" s="1256">
        <f t="shared" si="3"/>
        <v>1</v>
      </c>
      <c r="AB30" s="1256">
        <f t="shared" si="4"/>
        <v>1</v>
      </c>
      <c r="AC30" s="1256">
        <f t="shared" si="5"/>
        <v>1</v>
      </c>
    </row>
    <row r="31" spans="1:29" ht="16"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84"/>
      <c r="Z31" s="1256">
        <f t="shared" si="15"/>
        <v>111</v>
      </c>
      <c r="AA31" s="1256">
        <f t="shared" si="3"/>
        <v>1</v>
      </c>
      <c r="AB31" s="1256">
        <f t="shared" si="4"/>
        <v>1</v>
      </c>
      <c r="AC31" s="1256">
        <f t="shared" si="5"/>
        <v>1</v>
      </c>
    </row>
    <row r="32" spans="1:29" ht="15.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3" t="s">
        <v>1696</v>
      </c>
      <c r="Q32" s="1255" t="str">
        <f t="shared" si="11"/>
        <v>商业类型</v>
      </c>
      <c r="R32" s="659" t="s">
        <v>14</v>
      </c>
      <c r="S32" s="660">
        <f t="shared" si="12"/>
        <v>100</v>
      </c>
      <c r="T32" s="659" t="s">
        <v>14</v>
      </c>
      <c r="U32" s="660">
        <f t="shared" si="13"/>
        <v>100</v>
      </c>
      <c r="V32" s="659" t="s">
        <v>14</v>
      </c>
      <c r="W32" s="660">
        <f t="shared" si="14"/>
        <v>100</v>
      </c>
      <c r="X32" s="1257"/>
      <c r="Y32" s="3386" t="s">
        <v>1696</v>
      </c>
      <c r="Z32" s="1256" t="str">
        <f t="shared" si="15"/>
        <v>商业类型</v>
      </c>
      <c r="AA32" s="1256">
        <f t="shared" si="3"/>
        <v>1</v>
      </c>
      <c r="AB32" s="1256">
        <f t="shared" si="4"/>
        <v>1</v>
      </c>
      <c r="AC32" s="1256">
        <f t="shared" si="5"/>
        <v>1</v>
      </c>
    </row>
    <row r="33" spans="1:29" s="402" customFormat="1" ht="15.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24"/>
      <c r="Q33" s="525" t="str">
        <f t="shared" si="11"/>
        <v>项目建筑规模</v>
      </c>
      <c r="R33" s="661" t="s">
        <v>14</v>
      </c>
      <c r="S33" s="662" t="e">
        <f t="shared" si="12"/>
        <v>#N/A</v>
      </c>
      <c r="T33" s="661" t="s">
        <v>14</v>
      </c>
      <c r="U33" s="662" t="e">
        <f t="shared" si="13"/>
        <v>#N/A</v>
      </c>
      <c r="V33" s="661" t="s">
        <v>14</v>
      </c>
      <c r="W33" s="662" t="e">
        <f t="shared" si="14"/>
        <v>#N/A</v>
      </c>
      <c r="X33" s="663"/>
      <c r="Y33" s="3386"/>
      <c r="Z33" s="664" t="str">
        <f t="shared" si="15"/>
        <v>项目建筑规模</v>
      </c>
      <c r="AA33" s="1256" t="e">
        <f t="shared" si="3"/>
        <v>#N/A</v>
      </c>
      <c r="AB33" s="1256" t="e">
        <f t="shared" si="4"/>
        <v>#N/A</v>
      </c>
      <c r="AC33" s="1256" t="e">
        <f t="shared" si="5"/>
        <v>#N/A</v>
      </c>
    </row>
    <row r="34" spans="1:29" ht="15.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24"/>
      <c r="Q34" s="1255" t="str">
        <f t="shared" si="11"/>
        <v>建筑结构</v>
      </c>
      <c r="R34" s="659" t="s">
        <v>14</v>
      </c>
      <c r="S34" s="660">
        <f t="shared" si="12"/>
        <v>100</v>
      </c>
      <c r="T34" s="659" t="s">
        <v>14</v>
      </c>
      <c r="U34" s="660">
        <f t="shared" si="13"/>
        <v>100</v>
      </c>
      <c r="V34" s="659" t="s">
        <v>14</v>
      </c>
      <c r="W34" s="660">
        <f t="shared" si="14"/>
        <v>100</v>
      </c>
      <c r="X34" s="1257"/>
      <c r="Y34" s="3386"/>
      <c r="Z34" s="1256" t="str">
        <f t="shared" si="15"/>
        <v>建筑结构</v>
      </c>
      <c r="AA34" s="1256">
        <f t="shared" si="3"/>
        <v>1</v>
      </c>
      <c r="AB34" s="1256">
        <f t="shared" si="4"/>
        <v>1</v>
      </c>
      <c r="AC34" s="1256">
        <f t="shared" si="5"/>
        <v>1</v>
      </c>
    </row>
    <row r="35" spans="1:29" ht="15.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24"/>
      <c r="Q35" s="1255" t="str">
        <f t="shared" si="11"/>
        <v>公共部分装修</v>
      </c>
      <c r="R35" s="659" t="s">
        <v>14</v>
      </c>
      <c r="S35" s="660">
        <f t="shared" si="12"/>
        <v>100</v>
      </c>
      <c r="T35" s="659" t="s">
        <v>14</v>
      </c>
      <c r="U35" s="660">
        <f t="shared" si="13"/>
        <v>100</v>
      </c>
      <c r="V35" s="659" t="s">
        <v>14</v>
      </c>
      <c r="W35" s="660">
        <f t="shared" si="14"/>
        <v>100</v>
      </c>
      <c r="X35" s="1257"/>
      <c r="Y35" s="3386"/>
      <c r="Z35" s="1256" t="str">
        <f t="shared" si="15"/>
        <v>公共部分装修</v>
      </c>
      <c r="AA35" s="1256">
        <f t="shared" si="3"/>
        <v>1</v>
      </c>
      <c r="AB35" s="1256">
        <f t="shared" si="4"/>
        <v>1</v>
      </c>
      <c r="AC35" s="1256">
        <f t="shared" si="5"/>
        <v>1</v>
      </c>
    </row>
    <row r="36" spans="1:29" ht="15.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24"/>
      <c r="Q36" s="1255" t="str">
        <f t="shared" si="11"/>
        <v>成新度</v>
      </c>
      <c r="R36" s="659" t="s">
        <v>14</v>
      </c>
      <c r="S36" s="660" t="e">
        <f t="shared" si="12"/>
        <v>#N/A</v>
      </c>
      <c r="T36" s="659" t="s">
        <v>14</v>
      </c>
      <c r="U36" s="660" t="e">
        <f t="shared" si="13"/>
        <v>#N/A</v>
      </c>
      <c r="V36" s="659" t="s">
        <v>14</v>
      </c>
      <c r="W36" s="660" t="e">
        <f t="shared" si="14"/>
        <v>#N/A</v>
      </c>
      <c r="X36" s="1257"/>
      <c r="Y36" s="3386"/>
      <c r="Z36" s="1256" t="str">
        <f t="shared" si="15"/>
        <v>成新度</v>
      </c>
      <c r="AA36" s="1256" t="e">
        <f t="shared" si="3"/>
        <v>#N/A</v>
      </c>
      <c r="AB36" s="1256" t="e">
        <f t="shared" si="4"/>
        <v>#N/A</v>
      </c>
      <c r="AC36" s="1256" t="e">
        <f t="shared" si="5"/>
        <v>#N/A</v>
      </c>
    </row>
    <row r="37" spans="1:29" s="102" customFormat="1" ht="15.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24"/>
      <c r="Q37" s="524" t="str">
        <f t="shared" si="11"/>
        <v>市政基础设施</v>
      </c>
      <c r="R37" s="656" t="s">
        <v>14</v>
      </c>
      <c r="S37" s="657">
        <f t="shared" si="12"/>
        <v>100</v>
      </c>
      <c r="T37" s="656" t="s">
        <v>14</v>
      </c>
      <c r="U37" s="657">
        <f t="shared" si="13"/>
        <v>100</v>
      </c>
      <c r="V37" s="656" t="s">
        <v>14</v>
      </c>
      <c r="W37" s="657">
        <f t="shared" si="14"/>
        <v>100</v>
      </c>
      <c r="X37" s="658"/>
      <c r="Y37" s="3386"/>
      <c r="Z37" s="50" t="str">
        <f t="shared" si="15"/>
        <v>市政基础设施</v>
      </c>
      <c r="AA37" s="50">
        <f t="shared" si="3"/>
        <v>1</v>
      </c>
      <c r="AB37" s="50">
        <f t="shared" si="4"/>
        <v>1</v>
      </c>
      <c r="AC37" s="50">
        <f t="shared" si="5"/>
        <v>1</v>
      </c>
    </row>
    <row r="38" spans="1:29" ht="15.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24" t="s">
        <v>1696</v>
      </c>
      <c r="Q38" s="1255" t="str">
        <f t="shared" si="11"/>
        <v>业态</v>
      </c>
      <c r="R38" s="659" t="s">
        <v>14</v>
      </c>
      <c r="S38" s="660">
        <f t="shared" si="12"/>
        <v>100</v>
      </c>
      <c r="T38" s="659" t="s">
        <v>14</v>
      </c>
      <c r="U38" s="660">
        <f t="shared" si="13"/>
        <v>100</v>
      </c>
      <c r="V38" s="659" t="s">
        <v>14</v>
      </c>
      <c r="W38" s="660">
        <f t="shared" si="14"/>
        <v>100</v>
      </c>
      <c r="X38" s="1257"/>
      <c r="Y38" s="3386" t="s">
        <v>1696</v>
      </c>
      <c r="Z38" s="1256" t="str">
        <f t="shared" si="15"/>
        <v>业态</v>
      </c>
      <c r="AA38" s="1256">
        <f t="shared" si="3"/>
        <v>1</v>
      </c>
      <c r="AB38" s="1256">
        <f t="shared" si="4"/>
        <v>1</v>
      </c>
      <c r="AC38" s="1256">
        <f t="shared" si="5"/>
        <v>1</v>
      </c>
    </row>
    <row r="39" spans="1:29" ht="15.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24"/>
      <c r="Q39" s="1255" t="str">
        <f t="shared" si="11"/>
        <v>层高</v>
      </c>
      <c r="R39" s="659" t="s">
        <v>14</v>
      </c>
      <c r="S39" s="660">
        <f t="shared" si="12"/>
        <v>100</v>
      </c>
      <c r="T39" s="659" t="s">
        <v>14</v>
      </c>
      <c r="U39" s="660">
        <f t="shared" si="13"/>
        <v>100</v>
      </c>
      <c r="V39" s="659" t="s">
        <v>14</v>
      </c>
      <c r="W39" s="660">
        <f t="shared" si="14"/>
        <v>100</v>
      </c>
      <c r="X39" s="1257"/>
      <c r="Y39" s="3386"/>
      <c r="Z39" s="1256" t="str">
        <f t="shared" si="15"/>
        <v>层高</v>
      </c>
      <c r="AA39" s="1256">
        <f t="shared" si="3"/>
        <v>1</v>
      </c>
      <c r="AB39" s="1256">
        <f t="shared" si="4"/>
        <v>1</v>
      </c>
      <c r="AC39" s="1256">
        <f t="shared" si="5"/>
        <v>1</v>
      </c>
    </row>
    <row r="40" spans="1:29" ht="15.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24"/>
      <c r="Q40" s="1255" t="str">
        <f t="shared" si="11"/>
        <v>单套建筑面积</v>
      </c>
      <c r="R40" s="659" t="s">
        <v>14</v>
      </c>
      <c r="S40" s="660">
        <f t="shared" si="12"/>
        <v>100</v>
      </c>
      <c r="T40" s="659" t="s">
        <v>14</v>
      </c>
      <c r="U40" s="660">
        <f t="shared" si="13"/>
        <v>100</v>
      </c>
      <c r="V40" s="659" t="s">
        <v>14</v>
      </c>
      <c r="W40" s="660">
        <f t="shared" si="14"/>
        <v>100</v>
      </c>
      <c r="X40" s="1257"/>
      <c r="Y40" s="3386"/>
      <c r="Z40" s="1256" t="str">
        <f t="shared" si="15"/>
        <v>单套建筑面积</v>
      </c>
      <c r="AA40" s="1256">
        <f t="shared" si="3"/>
        <v>1</v>
      </c>
      <c r="AB40" s="1256">
        <f t="shared" si="4"/>
        <v>1</v>
      </c>
      <c r="AC40" s="1256">
        <f t="shared" si="5"/>
        <v>1</v>
      </c>
    </row>
    <row r="41" spans="1:29" s="402" customFormat="1" ht="15.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24"/>
      <c r="Q41" s="525" t="str">
        <f t="shared" si="11"/>
        <v>进深比</v>
      </c>
      <c r="R41" s="661" t="s">
        <v>14</v>
      </c>
      <c r="S41" s="662">
        <f t="shared" si="12"/>
        <v>100</v>
      </c>
      <c r="T41" s="661" t="s">
        <v>14</v>
      </c>
      <c r="U41" s="662">
        <f t="shared" si="13"/>
        <v>100</v>
      </c>
      <c r="V41" s="661" t="s">
        <v>14</v>
      </c>
      <c r="W41" s="662">
        <f t="shared" si="14"/>
        <v>100</v>
      </c>
      <c r="X41" s="663"/>
      <c r="Y41" s="3386"/>
      <c r="Z41" s="664" t="str">
        <f t="shared" si="15"/>
        <v>进深比</v>
      </c>
      <c r="AA41" s="1256">
        <f t="shared" si="3"/>
        <v>1</v>
      </c>
      <c r="AB41" s="1256">
        <f t="shared" si="4"/>
        <v>1</v>
      </c>
      <c r="AC41" s="1256">
        <f t="shared" si="5"/>
        <v>1</v>
      </c>
    </row>
    <row r="42" spans="1:29" ht="15.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24"/>
      <c r="Q42" s="1255" t="str">
        <f t="shared" si="11"/>
        <v>内部装修</v>
      </c>
      <c r="R42" s="659" t="s">
        <v>14</v>
      </c>
      <c r="S42" s="660">
        <f t="shared" si="12"/>
        <v>100</v>
      </c>
      <c r="T42" s="659" t="s">
        <v>14</v>
      </c>
      <c r="U42" s="660">
        <f t="shared" si="13"/>
        <v>100</v>
      </c>
      <c r="V42" s="659" t="s">
        <v>14</v>
      </c>
      <c r="W42" s="660">
        <f t="shared" si="14"/>
        <v>100</v>
      </c>
      <c r="X42" s="1257"/>
      <c r="Y42" s="3386"/>
      <c r="Z42" s="1256" t="str">
        <f t="shared" si="15"/>
        <v>内部装修</v>
      </c>
      <c r="AA42" s="1256">
        <f t="shared" si="3"/>
        <v>1</v>
      </c>
      <c r="AB42" s="1256">
        <f t="shared" si="4"/>
        <v>1</v>
      </c>
      <c r="AC42" s="1256">
        <f t="shared" si="5"/>
        <v>1</v>
      </c>
    </row>
    <row r="43" spans="1:29" ht="28">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24"/>
      <c r="Q43" s="1255" t="str">
        <f t="shared" si="11"/>
        <v>内部装修维护情况</v>
      </c>
      <c r="R43" s="659" t="s">
        <v>14</v>
      </c>
      <c r="S43" s="660">
        <f t="shared" si="12"/>
        <v>100</v>
      </c>
      <c r="T43" s="659" t="s">
        <v>14</v>
      </c>
      <c r="U43" s="660">
        <f t="shared" si="13"/>
        <v>100</v>
      </c>
      <c r="V43" s="659" t="s">
        <v>14</v>
      </c>
      <c r="W43" s="660">
        <f t="shared" si="14"/>
        <v>100</v>
      </c>
      <c r="X43" s="1257"/>
      <c r="Y43" s="3386"/>
      <c r="Z43" s="1256" t="str">
        <f t="shared" si="15"/>
        <v>内部装修维护情况</v>
      </c>
      <c r="AA43" s="1256">
        <f t="shared" si="3"/>
        <v>1</v>
      </c>
      <c r="AB43" s="1256">
        <f t="shared" si="4"/>
        <v>1</v>
      </c>
      <c r="AC43" s="1256">
        <f t="shared" si="5"/>
        <v>1</v>
      </c>
    </row>
    <row r="44" spans="1:29" s="102" customFormat="1" ht="15.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24"/>
      <c r="Q44" s="524">
        <f t="shared" si="11"/>
        <v>111</v>
      </c>
      <c r="R44" s="656" t="s">
        <v>14</v>
      </c>
      <c r="S44" s="657">
        <f t="shared" si="12"/>
        <v>100</v>
      </c>
      <c r="T44" s="656" t="s">
        <v>14</v>
      </c>
      <c r="U44" s="657">
        <f t="shared" si="13"/>
        <v>100</v>
      </c>
      <c r="V44" s="656" t="s">
        <v>14</v>
      </c>
      <c r="W44" s="657">
        <f t="shared" si="14"/>
        <v>100</v>
      </c>
      <c r="X44" s="658"/>
      <c r="Y44" s="3386"/>
      <c r="Z44" s="50">
        <f t="shared" si="15"/>
        <v>111</v>
      </c>
      <c r="AA44" s="50">
        <f t="shared" si="3"/>
        <v>1</v>
      </c>
      <c r="AB44" s="50">
        <f t="shared" si="4"/>
        <v>1</v>
      </c>
      <c r="AC44" s="50">
        <f t="shared" si="5"/>
        <v>1</v>
      </c>
    </row>
    <row r="45" spans="1:29" ht="15.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24"/>
      <c r="Q45" s="1255">
        <f t="shared" si="11"/>
        <v>111</v>
      </c>
      <c r="R45" s="659" t="s">
        <v>14</v>
      </c>
      <c r="S45" s="660">
        <f t="shared" si="12"/>
        <v>100</v>
      </c>
      <c r="T45" s="659" t="s">
        <v>14</v>
      </c>
      <c r="U45" s="660">
        <f t="shared" si="13"/>
        <v>100</v>
      </c>
      <c r="V45" s="659" t="s">
        <v>14</v>
      </c>
      <c r="W45" s="660">
        <f t="shared" si="14"/>
        <v>100</v>
      </c>
      <c r="X45" s="1257"/>
      <c r="Y45" s="3386"/>
      <c r="Z45" s="1256">
        <f t="shared" si="15"/>
        <v>111</v>
      </c>
      <c r="AA45" s="1256">
        <f t="shared" si="3"/>
        <v>1</v>
      </c>
      <c r="AB45" s="1256">
        <f t="shared" si="4"/>
        <v>1</v>
      </c>
      <c r="AC45" s="1256">
        <f t="shared" si="5"/>
        <v>1</v>
      </c>
    </row>
    <row r="46" spans="1:29" ht="16"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25"/>
      <c r="Q46" s="1255">
        <f t="shared" si="11"/>
        <v>111</v>
      </c>
      <c r="R46" s="659" t="s">
        <v>14</v>
      </c>
      <c r="S46" s="660">
        <f t="shared" si="12"/>
        <v>100</v>
      </c>
      <c r="T46" s="659" t="s">
        <v>14</v>
      </c>
      <c r="U46" s="660">
        <f t="shared" si="13"/>
        <v>100</v>
      </c>
      <c r="V46" s="659" t="s">
        <v>14</v>
      </c>
      <c r="W46" s="660">
        <f t="shared" si="14"/>
        <v>100</v>
      </c>
      <c r="X46" s="1257"/>
      <c r="Y46" s="3426"/>
      <c r="Z46" s="1256">
        <f t="shared" si="15"/>
        <v>111</v>
      </c>
      <c r="AA46" s="1256">
        <f t="shared" si="3"/>
        <v>1</v>
      </c>
      <c r="AB46" s="1256">
        <f t="shared" si="4"/>
        <v>1</v>
      </c>
      <c r="AC46" s="1256">
        <f t="shared" si="5"/>
        <v>1</v>
      </c>
    </row>
    <row r="47" spans="1:29">
      <c r="A47" s="410" t="s">
        <v>1708</v>
      </c>
      <c r="B47" s="411"/>
      <c r="C47" s="1074" t="s">
        <v>0</v>
      </c>
      <c r="D47" s="412"/>
      <c r="E47" s="413"/>
      <c r="F47" s="414"/>
      <c r="G47" s="415"/>
      <c r="H47" s="416"/>
      <c r="I47" s="413"/>
      <c r="J47" s="416"/>
      <c r="K47" s="666"/>
      <c r="L47" s="2484"/>
      <c r="M47" s="2477"/>
      <c r="N47" s="2477"/>
      <c r="O47" s="2477"/>
      <c r="P47" s="3368" t="str">
        <f>A47</f>
        <v>成交单价（元/平方米）</v>
      </c>
      <c r="Q47" s="3368"/>
      <c r="R47" s="3381">
        <f>E47</f>
        <v>0</v>
      </c>
      <c r="S47" s="3381"/>
      <c r="T47" s="3381">
        <f>G47</f>
        <v>0</v>
      </c>
      <c r="U47" s="3381"/>
      <c r="V47" s="3381">
        <f>I47</f>
        <v>0</v>
      </c>
      <c r="W47" s="3381"/>
      <c r="X47" s="379"/>
      <c r="Y47" s="665"/>
      <c r="Z47" s="379"/>
      <c r="AA47" s="379"/>
      <c r="AB47" s="379"/>
      <c r="AC47" s="379"/>
    </row>
    <row r="48" spans="1:29" ht="14.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68" t="str">
        <f>A48</f>
        <v>比较价值（元/平方米）</v>
      </c>
      <c r="Q48" s="3368"/>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79"/>
      <c r="Y48" s="379"/>
      <c r="Z48" s="379"/>
      <c r="AA48" s="379"/>
      <c r="AB48" s="379"/>
      <c r="AC48" s="379"/>
    </row>
    <row r="49" spans="1:29" ht="14.5" thickBot="1">
      <c r="A49" s="421" t="s">
        <v>1794</v>
      </c>
      <c r="B49" s="422"/>
      <c r="C49" s="345" t="e">
        <f>R49</f>
        <v>#DIV/0!</v>
      </c>
      <c r="D49" s="345"/>
      <c r="E49" s="345"/>
      <c r="F49" s="345"/>
      <c r="G49" s="345"/>
      <c r="H49" s="345"/>
      <c r="I49" s="345"/>
      <c r="J49" s="345"/>
      <c r="K49" s="667"/>
      <c r="L49" s="2484"/>
      <c r="M49" s="2477"/>
      <c r="N49" s="2477"/>
      <c r="O49" s="2477"/>
      <c r="P49" s="3388" t="str">
        <f>A49</f>
        <v>估价对象XX用房的比较价值（楼面单价，元/平方米）</v>
      </c>
      <c r="Q49" s="3389"/>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c r="A58" s="434" t="s">
        <v>1679</v>
      </c>
      <c r="B58" s="435"/>
      <c r="C58" s="1095" t="str">
        <f>YEAR(C7)&amp;"-"&amp;MONTH(C7)</f>
        <v>2023-11</v>
      </c>
      <c r="D58" s="1096">
        <f>EDATE(C58,-1)</f>
        <v>45200</v>
      </c>
      <c r="E58" s="1096">
        <f t="shared" ref="E58:N58" si="16">EDATE(D58,-1)</f>
        <v>45170</v>
      </c>
      <c r="F58" s="1096">
        <f t="shared" si="16"/>
        <v>45139</v>
      </c>
      <c r="G58" s="1096">
        <f t="shared" si="16"/>
        <v>45108</v>
      </c>
      <c r="H58" s="1096">
        <f t="shared" si="16"/>
        <v>45078</v>
      </c>
      <c r="I58" s="1096">
        <f t="shared" si="16"/>
        <v>45047</v>
      </c>
      <c r="J58" s="1096">
        <f t="shared" si="16"/>
        <v>45017</v>
      </c>
      <c r="K58" s="1096">
        <f t="shared" si="16"/>
        <v>44986</v>
      </c>
      <c r="L58" s="1096">
        <f t="shared" si="16"/>
        <v>44958</v>
      </c>
      <c r="M58" s="1096">
        <f t="shared" si="16"/>
        <v>44927</v>
      </c>
      <c r="N58" s="1096">
        <f t="shared" si="16"/>
        <v>44896</v>
      </c>
      <c r="O58" s="1096">
        <f>EDATE(N58,-1)</f>
        <v>44866</v>
      </c>
      <c r="P58" s="2499"/>
      <c r="Q58" s="2500"/>
      <c r="R58" s="2500"/>
      <c r="S58" s="2500"/>
      <c r="T58" s="2500"/>
      <c r="U58" s="2500"/>
      <c r="V58" s="2500"/>
      <c r="W58" s="2500"/>
      <c r="X58" s="2500"/>
      <c r="Y58" s="2500"/>
      <c r="Z58" s="2500"/>
      <c r="AA58" s="2500"/>
      <c r="AB58" s="2500"/>
      <c r="AC58" s="2500"/>
    </row>
    <row r="59" spans="1:29" s="102" customFormat="1">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4.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4.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4.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8.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4.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4.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4.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4.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4.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4.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4.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4.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4.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4.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4.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4.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4.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4.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4.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4.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4.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4.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4.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4.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4.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4.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4.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4.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4.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4.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4.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4.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4.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4.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4.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4.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4.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4.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4.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4.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4.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4.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4.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4.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4.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4.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4.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4.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4.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4.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4.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4.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4.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4.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4.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4.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4.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28.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4.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4.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4.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4.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4.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4.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4.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34" customWidth="1"/>
    <col min="2" max="16384" width="9" style="634"/>
  </cols>
  <sheetData>
    <row r="1" spans="1:1" ht="23">
      <c r="A1" s="1372" t="s">
        <v>898</v>
      </c>
    </row>
    <row r="3" spans="1:1" ht="18">
      <c r="A3" s="1373" t="str">
        <f>项目基本情况!B5&amp;"："</f>
        <v>：</v>
      </c>
    </row>
    <row r="4" spans="1:1" ht="17.5">
      <c r="A4" s="1374" t="str">
        <f>"受贵公司委托，我公司对"&amp;项目基本情况!S1&amp;"进行了预评估。"</f>
        <v>受贵公司委托，我公司对北京市房地产抵押价值进行了预评估。</v>
      </c>
    </row>
    <row r="5" spans="1:1" ht="18">
      <c r="A5" s="1375" t="s">
        <v>899</v>
      </c>
    </row>
    <row r="6" spans="1:1" ht="17.5">
      <c r="A6" s="1376" t="s">
        <v>900</v>
      </c>
    </row>
    <row r="7" spans="1:1" ht="52.5">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估价对象为北京市房地产，为所有。根据《国有土地使用证》[]，估价对象（分摊）出让国有建设用地使用权面积为0平方米，建筑面积为41819.96平方米。</v>
      </c>
    </row>
    <row r="8" spans="1:1" ht="53.5">
      <c r="A8" s="1377" t="s">
        <v>901</v>
      </c>
    </row>
    <row r="9" spans="1:1" ht="17.5">
      <c r="A9" s="1376" t="s">
        <v>902</v>
      </c>
    </row>
    <row r="10" spans="1:1" ht="52.5">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估价对象为北京市房地产,为开发建设的，该项目尚在开发建设中。根据《国有土地使用证》[]，估价对象（分摊）出让国有建设用地使用权面积为0平方米，规划建筑面积为41819.96平方米。</v>
      </c>
    </row>
    <row r="11" spans="1:1" ht="71">
      <c r="A11" s="1377" t="s">
        <v>903</v>
      </c>
    </row>
    <row r="12" spans="1:1" ht="18">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73" t="s">
        <v>905</v>
      </c>
    </row>
    <row r="15" spans="1:1" ht="17.5">
      <c r="A15" s="1378" t="str">
        <f>TEXT(项目基本情况!D3,"yyyy年m月d日;;")&amp;IF(项目基本情况!D3=项目基本情况!B3,"（评估专业人员实地查勘之日）","")</f>
        <v>2023年11月8日（评估专业人员实地查勘之日）</v>
      </c>
    </row>
    <row r="16" spans="1:1" ht="18">
      <c r="A16" s="1373" t="s">
        <v>906</v>
      </c>
    </row>
    <row r="17" spans="1:1" ht="70">
      <c r="A17" s="1374" t="s">
        <v>907</v>
      </c>
    </row>
    <row r="18" spans="1:1" ht="70">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3" t="s">
        <v>896</v>
      </c>
    </row>
    <row r="24" spans="1:1" ht="17.5">
      <c r="A24" s="1379" t="str">
        <f>"本次评估采用的主估价方法为"&amp;结果表!K4&amp;"和"&amp;结果表!L4&amp;"。"</f>
        <v>本次评估采用的主估价方法为成本法和收益法。</v>
      </c>
    </row>
    <row r="25" spans="1:1" ht="17.5">
      <c r="A25" s="1379"/>
    </row>
    <row r="26" spans="1:1" ht="1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
  <cols>
    <col min="1" max="1" width="10.453125" style="341" customWidth="1"/>
    <col min="2" max="2" width="15.7265625" style="341" customWidth="1"/>
    <col min="3" max="3" width="15.632812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846"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1660</v>
      </c>
      <c r="B1" s="1799" t="s">
        <v>1810</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c r="A4" s="339" t="s">
        <v>1769</v>
      </c>
      <c r="B4" s="340"/>
      <c r="C4" s="3369" t="s">
        <v>1770</v>
      </c>
      <c r="D4" s="3370"/>
      <c r="E4" s="3371" t="s">
        <v>1771</v>
      </c>
      <c r="F4" s="3372"/>
      <c r="G4" s="3369" t="s">
        <v>1772</v>
      </c>
      <c r="H4" s="3370"/>
      <c r="I4" s="3369" t="s">
        <v>1773</v>
      </c>
      <c r="J4" s="3370"/>
      <c r="K4" s="531" t="s">
        <v>1774</v>
      </c>
      <c r="L4" s="2476"/>
      <c r="M4" s="2477"/>
      <c r="N4" s="2477"/>
      <c r="O4" s="2477"/>
      <c r="P4" s="3435" t="s">
        <v>1775</v>
      </c>
      <c r="Q4" s="3436"/>
      <c r="R4" s="3430" t="s">
        <v>1771</v>
      </c>
      <c r="S4" s="3431"/>
      <c r="T4" s="3430" t="s">
        <v>1772</v>
      </c>
      <c r="U4" s="3431"/>
      <c r="V4" s="3439" t="s">
        <v>1773</v>
      </c>
      <c r="W4" s="3439"/>
      <c r="X4" s="1800"/>
      <c r="Y4" s="3430" t="s">
        <v>1775</v>
      </c>
      <c r="Z4" s="3431"/>
      <c r="AA4" s="3429" t="s">
        <v>1771</v>
      </c>
      <c r="AB4" s="3429" t="s">
        <v>1772</v>
      </c>
      <c r="AC4" s="3432" t="s">
        <v>1773</v>
      </c>
    </row>
    <row r="5" spans="1:29">
      <c r="A5" s="342"/>
      <c r="B5" s="343"/>
      <c r="C5" s="3362" t="s">
        <v>1673</v>
      </c>
      <c r="D5" s="3363"/>
      <c r="E5" s="3360" t="s">
        <v>1674</v>
      </c>
      <c r="F5" s="3361"/>
      <c r="G5" s="3362" t="s">
        <v>1675</v>
      </c>
      <c r="H5" s="3363"/>
      <c r="I5" s="3362" t="s">
        <v>1676</v>
      </c>
      <c r="J5" s="3363"/>
      <c r="K5" s="531"/>
      <c r="L5" s="2476"/>
      <c r="M5" s="2477"/>
      <c r="N5" s="2477"/>
      <c r="O5" s="2477"/>
      <c r="P5" s="3437"/>
      <c r="Q5" s="3376"/>
      <c r="R5" s="3358"/>
      <c r="S5" s="3359"/>
      <c r="T5" s="3358"/>
      <c r="U5" s="3359"/>
      <c r="V5" s="3381"/>
      <c r="W5" s="3381"/>
      <c r="X5" s="1257"/>
      <c r="Y5" s="3358"/>
      <c r="Z5" s="3359"/>
      <c r="AA5" s="3352"/>
      <c r="AB5" s="3352"/>
      <c r="AC5" s="3433"/>
    </row>
    <row r="6" spans="1:29" ht="15" thickBot="1">
      <c r="A6" s="344"/>
      <c r="B6" s="345"/>
      <c r="C6" s="3364" t="s">
        <v>1677</v>
      </c>
      <c r="D6" s="3365"/>
      <c r="E6" s="3366" t="s">
        <v>1677</v>
      </c>
      <c r="F6" s="3367"/>
      <c r="G6" s="3364" t="s">
        <v>1677</v>
      </c>
      <c r="H6" s="3365"/>
      <c r="I6" s="3364" t="s">
        <v>1677</v>
      </c>
      <c r="J6" s="3365"/>
      <c r="K6" s="531" t="s">
        <v>1678</v>
      </c>
      <c r="L6" s="2476"/>
      <c r="M6" s="2477"/>
      <c r="N6" s="2477"/>
      <c r="O6" s="2477"/>
      <c r="P6" s="3438"/>
      <c r="Q6" s="3378"/>
      <c r="R6" s="3358"/>
      <c r="S6" s="3359"/>
      <c r="T6" s="3379"/>
      <c r="U6" s="3380"/>
      <c r="V6" s="3381"/>
      <c r="W6" s="3381"/>
      <c r="X6" s="1257"/>
      <c r="Y6" s="3379"/>
      <c r="Z6" s="3380"/>
      <c r="AA6" s="3353"/>
      <c r="AB6" s="3353"/>
      <c r="AC6" s="3434"/>
    </row>
    <row r="7" spans="1:29" s="102" customFormat="1" ht="14.5" thickBot="1">
      <c r="A7" s="346" t="s">
        <v>1679</v>
      </c>
      <c r="B7" s="347"/>
      <c r="C7" s="348">
        <f>'数据-取费表'!B2</f>
        <v>45238</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0"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795" t="e">
        <f>D7/J7</f>
        <v>#DIV/0!</v>
      </c>
    </row>
    <row r="8" spans="1:29" s="102" customFormat="1" ht="14.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0" t="s">
        <v>1683</v>
      </c>
      <c r="Q8" s="3355"/>
      <c r="R8" s="656" t="s">
        <v>14</v>
      </c>
      <c r="S8" s="657">
        <f t="shared" si="0"/>
        <v>100</v>
      </c>
      <c r="T8" s="656" t="s">
        <v>14</v>
      </c>
      <c r="U8" s="657">
        <f t="shared" si="1"/>
        <v>100</v>
      </c>
      <c r="V8" s="656" t="s">
        <v>14</v>
      </c>
      <c r="W8" s="657">
        <f t="shared" si="2"/>
        <v>100</v>
      </c>
      <c r="X8" s="658"/>
      <c r="Y8" s="3354" t="s">
        <v>1683</v>
      </c>
      <c r="Z8" s="3355"/>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92"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795">
        <f t="shared" si="5"/>
        <v>1</v>
      </c>
    </row>
    <row r="10" spans="1:29" s="360" customFormat="1" ht="28">
      <c r="A10" s="357"/>
      <c r="B10" s="358" t="s">
        <v>1688</v>
      </c>
      <c r="C10" s="3121"/>
      <c r="D10" s="113">
        <v>100</v>
      </c>
      <c r="E10" s="3121"/>
      <c r="F10" s="113">
        <f>SUMIF(66:66,E10,67:67)-SUMIF(66:66,C10,67:67)+100</f>
        <v>100</v>
      </c>
      <c r="G10" s="3122"/>
      <c r="H10" s="113">
        <f>SUMIF(66:66,G10,67:67)-SUMIF(66:66,C10,67:67)+100</f>
        <v>100</v>
      </c>
      <c r="I10" s="3121"/>
      <c r="J10" s="113">
        <f>SUMIF(66:66,I10,67:67)-SUMIF(66:66,C10,67:67)+100</f>
        <v>100</v>
      </c>
      <c r="K10" s="38"/>
      <c r="L10" s="2479"/>
      <c r="M10" s="2480"/>
      <c r="N10" s="2480"/>
      <c r="O10" s="2480"/>
      <c r="P10" s="3392"/>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795">
        <f t="shared" si="5"/>
        <v>1</v>
      </c>
    </row>
    <row r="11" spans="1:29" ht="15.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92"/>
      <c r="Q11" s="524" t="str">
        <f t="shared" si="6"/>
        <v>容积率</v>
      </c>
      <c r="R11" s="656" t="s">
        <v>14</v>
      </c>
      <c r="S11" s="657">
        <f t="shared" si="0"/>
        <v>100</v>
      </c>
      <c r="T11" s="656" t="s">
        <v>14</v>
      </c>
      <c r="U11" s="657">
        <f t="shared" si="1"/>
        <v>100</v>
      </c>
      <c r="V11" s="656" t="s">
        <v>14</v>
      </c>
      <c r="W11" s="657">
        <f t="shared" si="2"/>
        <v>100</v>
      </c>
      <c r="X11" s="658"/>
      <c r="Y11" s="3327"/>
      <c r="Z11" s="50" t="str">
        <f t="shared" si="7"/>
        <v>容积率</v>
      </c>
      <c r="AA11" s="50">
        <f t="shared" si="3"/>
        <v>1</v>
      </c>
      <c r="AB11" s="50">
        <f t="shared" si="4"/>
        <v>1</v>
      </c>
      <c r="AC11" s="795">
        <f t="shared" si="5"/>
        <v>1</v>
      </c>
    </row>
    <row r="12" spans="1:29" s="102" customFormat="1" ht="15.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92"/>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795">
        <f>D12/J12</f>
        <v>1</v>
      </c>
    </row>
    <row r="13" spans="1:29" ht="15.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92"/>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795">
        <f t="shared" si="5"/>
        <v>1</v>
      </c>
    </row>
    <row r="14" spans="1:29" ht="16"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92"/>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795">
        <f t="shared" si="5"/>
        <v>1</v>
      </c>
    </row>
    <row r="15" spans="1:29" ht="15.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27" t="s">
        <v>1691</v>
      </c>
      <c r="Q15" s="1255" t="str">
        <f t="shared" si="6"/>
        <v>办公集聚程度</v>
      </c>
      <c r="R15" s="659" t="s">
        <v>14</v>
      </c>
      <c r="S15" s="660">
        <f t="shared" si="0"/>
        <v>100</v>
      </c>
      <c r="T15" s="659" t="s">
        <v>14</v>
      </c>
      <c r="U15" s="660">
        <f t="shared" si="1"/>
        <v>100</v>
      </c>
      <c r="V15" s="659" t="s">
        <v>14</v>
      </c>
      <c r="W15" s="660">
        <f t="shared" si="2"/>
        <v>100</v>
      </c>
      <c r="X15" s="1257"/>
      <c r="Y15" s="3383" t="s">
        <v>1691</v>
      </c>
      <c r="Z15" s="1256" t="str">
        <f t="shared" si="7"/>
        <v>办公集聚程度</v>
      </c>
      <c r="AA15" s="1256">
        <f t="shared" si="3"/>
        <v>1</v>
      </c>
      <c r="AB15" s="1256">
        <f t="shared" si="4"/>
        <v>1</v>
      </c>
      <c r="AC15" s="1803">
        <f t="shared" si="5"/>
        <v>1</v>
      </c>
    </row>
    <row r="16" spans="1:29" ht="15.5">
      <c r="A16" s="361"/>
      <c r="B16" s="549"/>
      <c r="C16" s="1749"/>
      <c r="D16" s="381"/>
      <c r="E16" s="380"/>
      <c r="F16" s="381"/>
      <c r="G16" s="1749"/>
      <c r="H16" s="383"/>
      <c r="I16" s="380"/>
      <c r="J16" s="381"/>
      <c r="K16" s="535"/>
      <c r="L16" s="2482"/>
      <c r="M16" s="2477"/>
      <c r="N16" s="2477"/>
      <c r="O16" s="2477"/>
      <c r="P16" s="3428"/>
      <c r="Q16" s="1255"/>
      <c r="R16" s="659"/>
      <c r="S16" s="660"/>
      <c r="T16" s="659"/>
      <c r="U16" s="660"/>
      <c r="V16" s="659"/>
      <c r="W16" s="660"/>
      <c r="X16" s="1257"/>
      <c r="Y16" s="3384"/>
      <c r="Z16" s="1256"/>
      <c r="AA16" s="1256">
        <v>1</v>
      </c>
      <c r="AB16" s="1256">
        <v>1</v>
      </c>
      <c r="AC16" s="1803">
        <v>1</v>
      </c>
    </row>
    <row r="17" spans="1:29" ht="140">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803">
        <f t="shared" si="5"/>
        <v>1</v>
      </c>
    </row>
    <row r="18" spans="1:29" ht="15.5">
      <c r="A18" s="361"/>
      <c r="B18" s="395"/>
      <c r="C18" s="1805"/>
      <c r="D18" s="383"/>
      <c r="E18" s="1747"/>
      <c r="F18" s="383"/>
      <c r="G18" s="1748"/>
      <c r="H18" s="381"/>
      <c r="I18" s="1748"/>
      <c r="J18" s="381"/>
      <c r="K18" s="535"/>
      <c r="L18" s="2482"/>
      <c r="M18" s="2477"/>
      <c r="N18" s="2477"/>
      <c r="O18" s="2477"/>
      <c r="P18" s="3428"/>
      <c r="Q18" s="1255"/>
      <c r="R18" s="659"/>
      <c r="S18" s="660"/>
      <c r="T18" s="659"/>
      <c r="U18" s="660"/>
      <c r="V18" s="659"/>
      <c r="W18" s="660"/>
      <c r="X18" s="1257"/>
      <c r="Y18" s="3384"/>
      <c r="Z18" s="1256"/>
      <c r="AA18" s="1256">
        <v>1</v>
      </c>
      <c r="AB18" s="1256">
        <v>1</v>
      </c>
      <c r="AC18" s="1803">
        <v>1</v>
      </c>
    </row>
    <row r="19" spans="1:29" ht="42">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803">
        <f t="shared" si="5"/>
        <v>1</v>
      </c>
    </row>
    <row r="20" spans="1:29" ht="15.5">
      <c r="A20" s="361"/>
      <c r="B20" s="395"/>
      <c r="C20" s="1749"/>
      <c r="D20" s="381"/>
      <c r="E20" s="1742"/>
      <c r="F20" s="381"/>
      <c r="G20" s="1743"/>
      <c r="H20" s="381"/>
      <c r="I20" s="1743"/>
      <c r="J20" s="381"/>
      <c r="K20" s="535"/>
      <c r="L20" s="2482"/>
      <c r="M20" s="2477"/>
      <c r="N20" s="2477"/>
      <c r="O20" s="2477"/>
      <c r="P20" s="3428"/>
      <c r="Q20" s="1255"/>
      <c r="R20" s="659"/>
      <c r="S20" s="660"/>
      <c r="T20" s="659"/>
      <c r="U20" s="660"/>
      <c r="V20" s="659"/>
      <c r="W20" s="660"/>
      <c r="X20" s="1257"/>
      <c r="Y20" s="3384"/>
      <c r="Z20" s="1256"/>
      <c r="AA20" s="1256">
        <v>1</v>
      </c>
      <c r="AB20" s="1256">
        <v>1</v>
      </c>
      <c r="AC20" s="1803">
        <v>1</v>
      </c>
    </row>
    <row r="21" spans="1:29" ht="15.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803">
        <f t="shared" ref="AC21" si="10">D21/J21</f>
        <v>1</v>
      </c>
    </row>
    <row r="22" spans="1:29" ht="15.5">
      <c r="A22" s="361"/>
      <c r="B22" s="551"/>
      <c r="C22" s="1805"/>
      <c r="D22" s="381"/>
      <c r="E22" s="380"/>
      <c r="F22" s="381"/>
      <c r="G22" s="1749"/>
      <c r="H22" s="381"/>
      <c r="I22" s="1749"/>
      <c r="J22" s="381"/>
      <c r="K22" s="1057"/>
      <c r="L22" s="2482"/>
      <c r="M22" s="2477"/>
      <c r="N22" s="2477"/>
      <c r="O22" s="2477"/>
      <c r="P22" s="3428"/>
      <c r="Q22" s="1255"/>
      <c r="R22" s="659"/>
      <c r="S22" s="660"/>
      <c r="T22" s="659"/>
      <c r="U22" s="660"/>
      <c r="V22" s="659"/>
      <c r="W22" s="660"/>
      <c r="X22" s="1257"/>
      <c r="Y22" s="3384"/>
      <c r="Z22" s="1256"/>
      <c r="AA22" s="1256">
        <v>1</v>
      </c>
      <c r="AB22" s="1256">
        <v>1</v>
      </c>
      <c r="AC22" s="1803">
        <v>1</v>
      </c>
    </row>
    <row r="23" spans="1:29" ht="84">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28"/>
      <c r="Q23" s="1255" t="str">
        <f>B23</f>
        <v>环境质量</v>
      </c>
      <c r="R23" s="659" t="s">
        <v>14</v>
      </c>
      <c r="S23" s="660">
        <f>F23</f>
        <v>100</v>
      </c>
      <c r="T23" s="659" t="s">
        <v>14</v>
      </c>
      <c r="U23" s="660">
        <f>H23</f>
        <v>100</v>
      </c>
      <c r="V23" s="659" t="s">
        <v>14</v>
      </c>
      <c r="W23" s="660">
        <f>J23</f>
        <v>100</v>
      </c>
      <c r="X23" s="1257"/>
      <c r="Y23" s="3384"/>
      <c r="Z23" s="1256" t="str">
        <f>Q23</f>
        <v>环境质量</v>
      </c>
      <c r="AA23" s="1256">
        <f t="shared" si="3"/>
        <v>1</v>
      </c>
      <c r="AB23" s="1256">
        <f t="shared" si="4"/>
        <v>1</v>
      </c>
      <c r="AC23" s="1803">
        <f t="shared" si="5"/>
        <v>1</v>
      </c>
    </row>
    <row r="24" spans="1:29" ht="15.5">
      <c r="A24" s="361"/>
      <c r="B24" s="551"/>
      <c r="C24" s="1749"/>
      <c r="D24" s="381"/>
      <c r="E24" s="1742"/>
      <c r="F24" s="381"/>
      <c r="G24" s="1743"/>
      <c r="H24" s="381"/>
      <c r="I24" s="1743"/>
      <c r="J24" s="381"/>
      <c r="K24" s="535"/>
      <c r="L24" s="2482"/>
      <c r="M24" s="2477"/>
      <c r="N24" s="2477"/>
      <c r="O24" s="2477"/>
      <c r="P24" s="3428"/>
      <c r="Q24" s="1255"/>
      <c r="R24" s="659"/>
      <c r="S24" s="660"/>
      <c r="T24" s="659"/>
      <c r="U24" s="660"/>
      <c r="V24" s="659"/>
      <c r="W24" s="660"/>
      <c r="X24" s="1257"/>
      <c r="Y24" s="3384"/>
      <c r="Z24" s="1256"/>
      <c r="AA24" s="1256">
        <v>1</v>
      </c>
      <c r="AB24" s="1256">
        <v>1</v>
      </c>
      <c r="AC24" s="1803">
        <v>1</v>
      </c>
    </row>
    <row r="25" spans="1:29" ht="28">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28"/>
      <c r="Q25" s="1255" t="str">
        <f>B25</f>
        <v>毗邻道路的类型与等级</v>
      </c>
      <c r="R25" s="659" t="s">
        <v>14</v>
      </c>
      <c r="S25" s="660">
        <f>F25</f>
        <v>100</v>
      </c>
      <c r="T25" s="659" t="s">
        <v>14</v>
      </c>
      <c r="U25" s="660">
        <f>H25</f>
        <v>100</v>
      </c>
      <c r="V25" s="659" t="s">
        <v>14</v>
      </c>
      <c r="W25" s="660">
        <f>J25</f>
        <v>100</v>
      </c>
      <c r="X25" s="1257"/>
      <c r="Y25" s="3384"/>
      <c r="Z25" s="1256" t="str">
        <f>Q25</f>
        <v>毗邻道路的类型与等级</v>
      </c>
      <c r="AA25" s="1256">
        <f t="shared" si="3"/>
        <v>1</v>
      </c>
      <c r="AB25" s="1256">
        <f t="shared" si="4"/>
        <v>1</v>
      </c>
      <c r="AC25" s="1803">
        <f t="shared" si="5"/>
        <v>1</v>
      </c>
    </row>
    <row r="26" spans="1:29" ht="15.5">
      <c r="A26" s="342"/>
      <c r="B26" s="395"/>
      <c r="C26" s="552"/>
      <c r="D26" s="368"/>
      <c r="E26" s="536"/>
      <c r="F26" s="368"/>
      <c r="G26" s="552"/>
      <c r="H26" s="368"/>
      <c r="I26" s="536"/>
      <c r="J26" s="368"/>
      <c r="K26" s="535"/>
      <c r="L26" s="2482"/>
      <c r="M26" s="2477"/>
      <c r="N26" s="2477"/>
      <c r="O26" s="2477"/>
      <c r="P26" s="3428"/>
      <c r="Q26" s="1255"/>
      <c r="R26" s="659"/>
      <c r="S26" s="660"/>
      <c r="T26" s="659"/>
      <c r="U26" s="660"/>
      <c r="V26" s="659"/>
      <c r="W26" s="660"/>
      <c r="X26" s="1257"/>
      <c r="Y26" s="3384"/>
      <c r="Z26" s="1256"/>
      <c r="AA26" s="1256">
        <v>1</v>
      </c>
      <c r="AB26" s="1256">
        <v>1</v>
      </c>
      <c r="AC26" s="1803">
        <v>1</v>
      </c>
    </row>
    <row r="27" spans="1:29" ht="15.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28"/>
      <c r="Q27" s="1255" t="str">
        <f t="shared" ref="Q27:Q47" si="11">B27</f>
        <v>楼层</v>
      </c>
      <c r="R27" s="659" t="s">
        <v>14</v>
      </c>
      <c r="S27" s="660">
        <f>F27</f>
        <v>100</v>
      </c>
      <c r="T27" s="659" t="s">
        <v>14</v>
      </c>
      <c r="U27" s="660">
        <f>H27</f>
        <v>100</v>
      </c>
      <c r="V27" s="659" t="s">
        <v>14</v>
      </c>
      <c r="W27" s="660">
        <f>J27</f>
        <v>100</v>
      </c>
      <c r="X27" s="1257"/>
      <c r="Y27" s="3384"/>
      <c r="Z27" s="1256" t="str">
        <f>Q27</f>
        <v>楼层</v>
      </c>
      <c r="AA27" s="1256">
        <f t="shared" si="3"/>
        <v>1</v>
      </c>
      <c r="AB27" s="1256">
        <f t="shared" si="4"/>
        <v>1</v>
      </c>
      <c r="AC27" s="1803">
        <f t="shared" si="5"/>
        <v>1</v>
      </c>
    </row>
    <row r="28" spans="1:29" s="102" customFormat="1" ht="15.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28"/>
      <c r="Q28" s="524" t="str">
        <f t="shared" si="11"/>
        <v>朝向</v>
      </c>
      <c r="R28" s="656" t="s">
        <v>14</v>
      </c>
      <c r="S28" s="657">
        <f>F28</f>
        <v>100</v>
      </c>
      <c r="T28" s="656" t="s">
        <v>14</v>
      </c>
      <c r="U28" s="657">
        <f>H28</f>
        <v>100</v>
      </c>
      <c r="V28" s="656" t="s">
        <v>14</v>
      </c>
      <c r="W28" s="657">
        <f>J28</f>
        <v>100</v>
      </c>
      <c r="X28" s="658"/>
      <c r="Y28" s="3384"/>
      <c r="Z28" s="50" t="str">
        <f>Q28</f>
        <v>朝向</v>
      </c>
      <c r="AA28" s="1256">
        <f>D28/F28</f>
        <v>1</v>
      </c>
      <c r="AB28" s="1256">
        <f>D28/H28</f>
        <v>1</v>
      </c>
      <c r="AC28" s="1803">
        <f>D28/J28</f>
        <v>1</v>
      </c>
    </row>
    <row r="29" spans="1:29" ht="15.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28"/>
      <c r="Q29" s="1255">
        <f t="shared" si="11"/>
        <v>111</v>
      </c>
      <c r="R29" s="659" t="s">
        <v>14</v>
      </c>
      <c r="S29" s="660">
        <f t="shared" ref="S29:S47" si="12">F29</f>
        <v>100</v>
      </c>
      <c r="T29" s="659" t="s">
        <v>14</v>
      </c>
      <c r="U29" s="660">
        <f t="shared" ref="U29:U47" si="13">H29</f>
        <v>100</v>
      </c>
      <c r="V29" s="659" t="s">
        <v>14</v>
      </c>
      <c r="W29" s="660">
        <f t="shared" ref="W29:W47" si="14">J29</f>
        <v>100</v>
      </c>
      <c r="X29" s="1257"/>
      <c r="Y29" s="3384"/>
      <c r="Z29" s="1256">
        <f t="shared" ref="Z29:Z47" si="15">Q29</f>
        <v>111</v>
      </c>
      <c r="AA29" s="1256">
        <f t="shared" si="3"/>
        <v>1</v>
      </c>
      <c r="AB29" s="1256">
        <f t="shared" si="4"/>
        <v>1</v>
      </c>
      <c r="AC29" s="1803">
        <f t="shared" si="5"/>
        <v>1</v>
      </c>
    </row>
    <row r="30" spans="1:29" ht="15.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84"/>
      <c r="Z30" s="1256">
        <f t="shared" si="15"/>
        <v>111</v>
      </c>
      <c r="AA30" s="1256">
        <f t="shared" si="3"/>
        <v>1</v>
      </c>
      <c r="AB30" s="1256">
        <f t="shared" si="4"/>
        <v>1</v>
      </c>
      <c r="AC30" s="1803">
        <f t="shared" si="5"/>
        <v>1</v>
      </c>
    </row>
    <row r="31" spans="1:29" ht="15.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84"/>
      <c r="Z31" s="1256">
        <f t="shared" si="15"/>
        <v>111</v>
      </c>
      <c r="AA31" s="1256">
        <f t="shared" si="3"/>
        <v>1</v>
      </c>
      <c r="AB31" s="1256">
        <f t="shared" si="4"/>
        <v>1</v>
      </c>
      <c r="AC31" s="1803">
        <f t="shared" si="5"/>
        <v>1</v>
      </c>
    </row>
    <row r="32" spans="1:29" ht="16"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28"/>
      <c r="Q32" s="1255">
        <f t="shared" si="11"/>
        <v>111</v>
      </c>
      <c r="R32" s="659" t="s">
        <v>14</v>
      </c>
      <c r="S32" s="660">
        <f t="shared" si="12"/>
        <v>100</v>
      </c>
      <c r="T32" s="659" t="s">
        <v>14</v>
      </c>
      <c r="U32" s="660">
        <f t="shared" si="13"/>
        <v>100</v>
      </c>
      <c r="V32" s="659" t="s">
        <v>14</v>
      </c>
      <c r="W32" s="660">
        <f t="shared" si="14"/>
        <v>100</v>
      </c>
      <c r="X32" s="1257"/>
      <c r="Y32" s="3384"/>
      <c r="Z32" s="1256">
        <f t="shared" si="15"/>
        <v>111</v>
      </c>
      <c r="AA32" s="1256">
        <f t="shared" si="3"/>
        <v>1</v>
      </c>
      <c r="AB32" s="1256">
        <f t="shared" si="4"/>
        <v>1</v>
      </c>
      <c r="AC32" s="1803">
        <f t="shared" si="5"/>
        <v>1</v>
      </c>
    </row>
    <row r="33" spans="1:29" ht="15.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3" t="s">
        <v>1696</v>
      </c>
      <c r="Q33" s="1255" t="str">
        <f t="shared" si="11"/>
        <v>建筑类型</v>
      </c>
      <c r="R33" s="659" t="s">
        <v>14</v>
      </c>
      <c r="S33" s="660">
        <f t="shared" si="12"/>
        <v>100</v>
      </c>
      <c r="T33" s="659" t="s">
        <v>14</v>
      </c>
      <c r="U33" s="660">
        <f t="shared" si="13"/>
        <v>100</v>
      </c>
      <c r="V33" s="659" t="s">
        <v>14</v>
      </c>
      <c r="W33" s="660">
        <f t="shared" si="14"/>
        <v>100</v>
      </c>
      <c r="X33" s="1257"/>
      <c r="Y33" s="3386" t="s">
        <v>1696</v>
      </c>
      <c r="Z33" s="1256" t="str">
        <f t="shared" si="15"/>
        <v>建筑类型</v>
      </c>
      <c r="AA33" s="1256">
        <f t="shared" si="3"/>
        <v>1</v>
      </c>
      <c r="AB33" s="1256">
        <f t="shared" si="4"/>
        <v>1</v>
      </c>
      <c r="AC33" s="1803">
        <f t="shared" si="5"/>
        <v>1</v>
      </c>
    </row>
    <row r="34" spans="1:29" s="402" customFormat="1" ht="15.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24"/>
      <c r="Q34" s="525" t="str">
        <f t="shared" si="11"/>
        <v>项目建筑规模</v>
      </c>
      <c r="R34" s="661" t="s">
        <v>14</v>
      </c>
      <c r="S34" s="662" t="e">
        <f t="shared" si="12"/>
        <v>#N/A</v>
      </c>
      <c r="T34" s="661" t="s">
        <v>14</v>
      </c>
      <c r="U34" s="662" t="e">
        <f t="shared" si="13"/>
        <v>#N/A</v>
      </c>
      <c r="V34" s="661" t="s">
        <v>14</v>
      </c>
      <c r="W34" s="662" t="e">
        <f t="shared" si="14"/>
        <v>#N/A</v>
      </c>
      <c r="X34" s="663"/>
      <c r="Y34" s="3386"/>
      <c r="Z34" s="664" t="str">
        <f t="shared" si="15"/>
        <v>项目建筑规模</v>
      </c>
      <c r="AA34" s="1256" t="e">
        <f t="shared" si="3"/>
        <v>#N/A</v>
      </c>
      <c r="AB34" s="1256" t="e">
        <f t="shared" si="4"/>
        <v>#N/A</v>
      </c>
      <c r="AC34" s="1803" t="e">
        <f t="shared" si="5"/>
        <v>#N/A</v>
      </c>
    </row>
    <row r="35" spans="1:29" ht="15.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24"/>
      <c r="Q35" s="1255" t="str">
        <f t="shared" si="11"/>
        <v>建筑结构</v>
      </c>
      <c r="R35" s="659" t="s">
        <v>14</v>
      </c>
      <c r="S35" s="660">
        <f t="shared" si="12"/>
        <v>100</v>
      </c>
      <c r="T35" s="659" t="s">
        <v>14</v>
      </c>
      <c r="U35" s="660">
        <f t="shared" si="13"/>
        <v>100</v>
      </c>
      <c r="V35" s="659" t="s">
        <v>14</v>
      </c>
      <c r="W35" s="660">
        <f t="shared" si="14"/>
        <v>100</v>
      </c>
      <c r="X35" s="1257"/>
      <c r="Y35" s="3386"/>
      <c r="Z35" s="1256" t="str">
        <f t="shared" si="15"/>
        <v>建筑结构</v>
      </c>
      <c r="AA35" s="1256">
        <f t="shared" si="3"/>
        <v>1</v>
      </c>
      <c r="AB35" s="1256">
        <f t="shared" si="4"/>
        <v>1</v>
      </c>
      <c r="AC35" s="1803">
        <f t="shared" si="5"/>
        <v>1</v>
      </c>
    </row>
    <row r="36" spans="1:29" ht="15.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24"/>
      <c r="Q36" s="1255" t="str">
        <f t="shared" si="11"/>
        <v>公共部分装修</v>
      </c>
      <c r="R36" s="659" t="s">
        <v>14</v>
      </c>
      <c r="S36" s="660">
        <f t="shared" si="12"/>
        <v>100</v>
      </c>
      <c r="T36" s="659" t="s">
        <v>14</v>
      </c>
      <c r="U36" s="660">
        <f t="shared" si="13"/>
        <v>100</v>
      </c>
      <c r="V36" s="659" t="s">
        <v>14</v>
      </c>
      <c r="W36" s="660">
        <f t="shared" si="14"/>
        <v>100</v>
      </c>
      <c r="X36" s="1257"/>
      <c r="Y36" s="3386"/>
      <c r="Z36" s="1256" t="str">
        <f t="shared" si="15"/>
        <v>公共部分装修</v>
      </c>
      <c r="AA36" s="1256">
        <f t="shared" si="3"/>
        <v>1</v>
      </c>
      <c r="AB36" s="1256">
        <f t="shared" si="4"/>
        <v>1</v>
      </c>
      <c r="AC36" s="1803">
        <f t="shared" si="5"/>
        <v>1</v>
      </c>
    </row>
    <row r="37" spans="1:29" ht="15.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24"/>
      <c r="Q37" s="1255" t="str">
        <f t="shared" si="11"/>
        <v>成新度</v>
      </c>
      <c r="R37" s="659" t="s">
        <v>14</v>
      </c>
      <c r="S37" s="660" t="e">
        <f t="shared" si="12"/>
        <v>#N/A</v>
      </c>
      <c r="T37" s="659" t="s">
        <v>14</v>
      </c>
      <c r="U37" s="660" t="e">
        <f t="shared" si="13"/>
        <v>#N/A</v>
      </c>
      <c r="V37" s="659" t="s">
        <v>14</v>
      </c>
      <c r="W37" s="660" t="e">
        <f t="shared" si="14"/>
        <v>#N/A</v>
      </c>
      <c r="X37" s="1257"/>
      <c r="Y37" s="3386"/>
      <c r="Z37" s="1256" t="str">
        <f t="shared" si="15"/>
        <v>成新度</v>
      </c>
      <c r="AA37" s="1256" t="e">
        <f t="shared" si="3"/>
        <v>#N/A</v>
      </c>
      <c r="AB37" s="1256" t="e">
        <f t="shared" si="4"/>
        <v>#N/A</v>
      </c>
      <c r="AC37" s="1803" t="e">
        <f t="shared" si="5"/>
        <v>#N/A</v>
      </c>
    </row>
    <row r="38" spans="1:29" s="102" customFormat="1" ht="15.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24"/>
      <c r="Q38" s="524" t="str">
        <f t="shared" si="11"/>
        <v>写字楼等级</v>
      </c>
      <c r="R38" s="656" t="s">
        <v>14</v>
      </c>
      <c r="S38" s="657">
        <f t="shared" si="12"/>
        <v>100</v>
      </c>
      <c r="T38" s="656" t="s">
        <v>14</v>
      </c>
      <c r="U38" s="657">
        <f t="shared" si="13"/>
        <v>100</v>
      </c>
      <c r="V38" s="656" t="s">
        <v>14</v>
      </c>
      <c r="W38" s="657">
        <f t="shared" si="14"/>
        <v>100</v>
      </c>
      <c r="X38" s="658"/>
      <c r="Y38" s="3386"/>
      <c r="Z38" s="50" t="str">
        <f t="shared" si="15"/>
        <v>写字楼等级</v>
      </c>
      <c r="AA38" s="50">
        <f t="shared" si="3"/>
        <v>1</v>
      </c>
      <c r="AB38" s="50">
        <f t="shared" si="4"/>
        <v>1</v>
      </c>
      <c r="AC38" s="795">
        <f t="shared" si="5"/>
        <v>1</v>
      </c>
    </row>
    <row r="39" spans="1:29" ht="15.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24" t="s">
        <v>1696</v>
      </c>
      <c r="Q39" s="1255" t="str">
        <f t="shared" si="11"/>
        <v>物业管理</v>
      </c>
      <c r="R39" s="659" t="s">
        <v>14</v>
      </c>
      <c r="S39" s="660">
        <f t="shared" si="12"/>
        <v>100</v>
      </c>
      <c r="T39" s="659" t="s">
        <v>14</v>
      </c>
      <c r="U39" s="660">
        <f t="shared" si="13"/>
        <v>100</v>
      </c>
      <c r="V39" s="659" t="s">
        <v>14</v>
      </c>
      <c r="W39" s="660">
        <f t="shared" si="14"/>
        <v>100</v>
      </c>
      <c r="X39" s="1257"/>
      <c r="Y39" s="3386" t="s">
        <v>1696</v>
      </c>
      <c r="Z39" s="1256" t="str">
        <f t="shared" si="15"/>
        <v>物业管理</v>
      </c>
      <c r="AA39" s="1256">
        <f t="shared" si="3"/>
        <v>1</v>
      </c>
      <c r="AB39" s="1256">
        <f t="shared" si="4"/>
        <v>1</v>
      </c>
      <c r="AC39" s="1803">
        <f t="shared" si="5"/>
        <v>1</v>
      </c>
    </row>
    <row r="40" spans="1:29" ht="15.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24"/>
      <c r="Q40" s="1255" t="str">
        <f t="shared" si="11"/>
        <v>市政基础设施</v>
      </c>
      <c r="R40" s="659" t="s">
        <v>14</v>
      </c>
      <c r="S40" s="660">
        <f t="shared" si="12"/>
        <v>100</v>
      </c>
      <c r="T40" s="659" t="s">
        <v>14</v>
      </c>
      <c r="U40" s="660">
        <f t="shared" si="13"/>
        <v>100</v>
      </c>
      <c r="V40" s="659" t="s">
        <v>14</v>
      </c>
      <c r="W40" s="660">
        <f t="shared" si="14"/>
        <v>100</v>
      </c>
      <c r="X40" s="1257"/>
      <c r="Y40" s="3386"/>
      <c r="Z40" s="1256" t="str">
        <f t="shared" si="15"/>
        <v>市政基础设施</v>
      </c>
      <c r="AA40" s="1256">
        <f t="shared" si="3"/>
        <v>1</v>
      </c>
      <c r="AB40" s="1256">
        <f t="shared" si="4"/>
        <v>1</v>
      </c>
      <c r="AC40" s="1803">
        <f t="shared" si="5"/>
        <v>1</v>
      </c>
    </row>
    <row r="41" spans="1:29" ht="15.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24"/>
      <c r="Q41" s="1255" t="str">
        <f t="shared" si="11"/>
        <v>层高</v>
      </c>
      <c r="R41" s="659" t="s">
        <v>14</v>
      </c>
      <c r="S41" s="660">
        <f t="shared" si="12"/>
        <v>100</v>
      </c>
      <c r="T41" s="659" t="s">
        <v>14</v>
      </c>
      <c r="U41" s="660">
        <f t="shared" si="13"/>
        <v>100</v>
      </c>
      <c r="V41" s="659" t="s">
        <v>14</v>
      </c>
      <c r="W41" s="660">
        <f t="shared" si="14"/>
        <v>100</v>
      </c>
      <c r="X41" s="1257"/>
      <c r="Y41" s="3386"/>
      <c r="Z41" s="1256" t="str">
        <f t="shared" si="15"/>
        <v>层高</v>
      </c>
      <c r="AA41" s="1256">
        <f t="shared" si="3"/>
        <v>1</v>
      </c>
      <c r="AB41" s="1256">
        <f t="shared" si="4"/>
        <v>1</v>
      </c>
      <c r="AC41" s="1803">
        <f t="shared" si="5"/>
        <v>1</v>
      </c>
    </row>
    <row r="42" spans="1:29" s="402" customFormat="1" ht="15.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24"/>
      <c r="Q42" s="525" t="str">
        <f t="shared" si="11"/>
        <v>单套建筑面积</v>
      </c>
      <c r="R42" s="661" t="s">
        <v>14</v>
      </c>
      <c r="S42" s="662">
        <f t="shared" si="12"/>
        <v>100</v>
      </c>
      <c r="T42" s="661" t="s">
        <v>14</v>
      </c>
      <c r="U42" s="662">
        <f t="shared" si="13"/>
        <v>100</v>
      </c>
      <c r="V42" s="661" t="s">
        <v>14</v>
      </c>
      <c r="W42" s="662">
        <f t="shared" si="14"/>
        <v>100</v>
      </c>
      <c r="X42" s="663"/>
      <c r="Y42" s="3386"/>
      <c r="Z42" s="664" t="str">
        <f t="shared" si="15"/>
        <v>单套建筑面积</v>
      </c>
      <c r="AA42" s="1256">
        <f t="shared" si="3"/>
        <v>1</v>
      </c>
      <c r="AB42" s="1256">
        <f t="shared" si="4"/>
        <v>1</v>
      </c>
      <c r="AC42" s="1803">
        <f t="shared" si="5"/>
        <v>1</v>
      </c>
    </row>
    <row r="43" spans="1:29" ht="15.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24"/>
      <c r="Q43" s="1255" t="str">
        <f t="shared" si="11"/>
        <v>内部装修</v>
      </c>
      <c r="R43" s="659" t="s">
        <v>14</v>
      </c>
      <c r="S43" s="660">
        <f t="shared" si="12"/>
        <v>100</v>
      </c>
      <c r="T43" s="659" t="s">
        <v>14</v>
      </c>
      <c r="U43" s="660">
        <f t="shared" si="13"/>
        <v>100</v>
      </c>
      <c r="V43" s="659" t="s">
        <v>14</v>
      </c>
      <c r="W43" s="660">
        <f t="shared" si="14"/>
        <v>100</v>
      </c>
      <c r="X43" s="1257"/>
      <c r="Y43" s="3386"/>
      <c r="Z43" s="1256" t="str">
        <f t="shared" si="15"/>
        <v>内部装修</v>
      </c>
      <c r="AA43" s="1256">
        <f t="shared" si="3"/>
        <v>1</v>
      </c>
      <c r="AB43" s="1256">
        <f t="shared" si="4"/>
        <v>1</v>
      </c>
      <c r="AC43" s="1803">
        <f t="shared" si="5"/>
        <v>1</v>
      </c>
    </row>
    <row r="44" spans="1:29" ht="28">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24"/>
      <c r="Q44" s="1255" t="str">
        <f t="shared" si="11"/>
        <v>内部装修维护情况</v>
      </c>
      <c r="R44" s="659" t="s">
        <v>14</v>
      </c>
      <c r="S44" s="660">
        <f t="shared" si="12"/>
        <v>100</v>
      </c>
      <c r="T44" s="659" t="s">
        <v>14</v>
      </c>
      <c r="U44" s="660">
        <f t="shared" si="13"/>
        <v>100</v>
      </c>
      <c r="V44" s="659" t="s">
        <v>14</v>
      </c>
      <c r="W44" s="660">
        <f t="shared" si="14"/>
        <v>100</v>
      </c>
      <c r="X44" s="1257"/>
      <c r="Y44" s="3386"/>
      <c r="Z44" s="1256" t="str">
        <f t="shared" si="15"/>
        <v>内部装修维护情况</v>
      </c>
      <c r="AA44" s="1256">
        <f t="shared" si="3"/>
        <v>1</v>
      </c>
      <c r="AB44" s="1256">
        <f t="shared" si="4"/>
        <v>1</v>
      </c>
      <c r="AC44" s="1803">
        <f t="shared" si="5"/>
        <v>1</v>
      </c>
    </row>
    <row r="45" spans="1:29" s="102" customFormat="1" ht="15.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24"/>
      <c r="Q45" s="524">
        <f t="shared" si="11"/>
        <v>111</v>
      </c>
      <c r="R45" s="656" t="s">
        <v>14</v>
      </c>
      <c r="S45" s="657">
        <f t="shared" si="12"/>
        <v>100</v>
      </c>
      <c r="T45" s="656" t="s">
        <v>14</v>
      </c>
      <c r="U45" s="657">
        <f t="shared" si="13"/>
        <v>100</v>
      </c>
      <c r="V45" s="656" t="s">
        <v>14</v>
      </c>
      <c r="W45" s="657">
        <f t="shared" si="14"/>
        <v>100</v>
      </c>
      <c r="X45" s="658"/>
      <c r="Y45" s="3386"/>
      <c r="Z45" s="50">
        <f t="shared" si="15"/>
        <v>111</v>
      </c>
      <c r="AA45" s="50">
        <f t="shared" si="3"/>
        <v>1</v>
      </c>
      <c r="AB45" s="50">
        <f t="shared" si="4"/>
        <v>1</v>
      </c>
      <c r="AC45" s="795">
        <f t="shared" si="5"/>
        <v>1</v>
      </c>
    </row>
    <row r="46" spans="1:29" ht="15.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24"/>
      <c r="Q46" s="1255">
        <f t="shared" si="11"/>
        <v>111</v>
      </c>
      <c r="R46" s="659" t="s">
        <v>14</v>
      </c>
      <c r="S46" s="660">
        <f t="shared" si="12"/>
        <v>100</v>
      </c>
      <c r="T46" s="659" t="s">
        <v>14</v>
      </c>
      <c r="U46" s="660">
        <f t="shared" si="13"/>
        <v>100</v>
      </c>
      <c r="V46" s="659" t="s">
        <v>14</v>
      </c>
      <c r="W46" s="660">
        <f t="shared" si="14"/>
        <v>100</v>
      </c>
      <c r="X46" s="1257"/>
      <c r="Y46" s="3386"/>
      <c r="Z46" s="1256">
        <f t="shared" si="15"/>
        <v>111</v>
      </c>
      <c r="AA46" s="1256">
        <f t="shared" si="3"/>
        <v>1</v>
      </c>
      <c r="AB46" s="1256">
        <f t="shared" si="4"/>
        <v>1</v>
      </c>
      <c r="AC46" s="1803">
        <f t="shared" si="5"/>
        <v>1</v>
      </c>
    </row>
    <row r="47" spans="1:29" ht="16"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25"/>
      <c r="Q47" s="1255">
        <f t="shared" si="11"/>
        <v>111</v>
      </c>
      <c r="R47" s="659" t="s">
        <v>14</v>
      </c>
      <c r="S47" s="660">
        <f t="shared" si="12"/>
        <v>100</v>
      </c>
      <c r="T47" s="659" t="s">
        <v>14</v>
      </c>
      <c r="U47" s="660">
        <f t="shared" si="13"/>
        <v>100</v>
      </c>
      <c r="V47" s="659" t="s">
        <v>14</v>
      </c>
      <c r="W47" s="660">
        <f t="shared" si="14"/>
        <v>100</v>
      </c>
      <c r="X47" s="1257"/>
      <c r="Y47" s="3426"/>
      <c r="Z47" s="1256">
        <f t="shared" si="15"/>
        <v>111</v>
      </c>
      <c r="AA47" s="1256">
        <f t="shared" si="3"/>
        <v>1</v>
      </c>
      <c r="AB47" s="1256">
        <f t="shared" si="4"/>
        <v>1</v>
      </c>
      <c r="AC47" s="1803">
        <f t="shared" si="5"/>
        <v>1</v>
      </c>
    </row>
    <row r="48" spans="1:29">
      <c r="A48" s="410" t="s">
        <v>1708</v>
      </c>
      <c r="B48" s="411"/>
      <c r="C48" s="1074" t="s">
        <v>0</v>
      </c>
      <c r="D48" s="412"/>
      <c r="E48" s="413"/>
      <c r="F48" s="414"/>
      <c r="G48" s="415"/>
      <c r="H48" s="416"/>
      <c r="I48" s="413"/>
      <c r="J48" s="416"/>
      <c r="K48" s="666"/>
      <c r="L48" s="2484"/>
      <c r="M48" s="2477"/>
      <c r="N48" s="2477"/>
      <c r="O48" s="2477"/>
      <c r="P48" s="3392" t="str">
        <f>A48</f>
        <v>成交单价（元/平方米）</v>
      </c>
      <c r="Q48" s="3368"/>
      <c r="R48" s="3381">
        <f>E48</f>
        <v>0</v>
      </c>
      <c r="S48" s="3381"/>
      <c r="T48" s="3381">
        <f>G48</f>
        <v>0</v>
      </c>
      <c r="U48" s="3381"/>
      <c r="V48" s="3381">
        <f>I48</f>
        <v>0</v>
      </c>
      <c r="W48" s="3381"/>
      <c r="X48" s="379"/>
      <c r="Y48" s="665"/>
      <c r="Z48" s="379"/>
      <c r="AA48" s="379"/>
      <c r="AB48" s="379"/>
      <c r="AC48" s="549"/>
    </row>
    <row r="49" spans="1:29" ht="14.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92" t="str">
        <f>A49</f>
        <v>比较价值（元/平方米）</v>
      </c>
      <c r="Q49" s="3368"/>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79"/>
      <c r="Y49" s="379"/>
      <c r="Z49" s="379"/>
      <c r="AA49" s="379"/>
      <c r="AB49" s="379"/>
      <c r="AC49" s="549"/>
    </row>
    <row r="50" spans="1:29" ht="14.5" thickBot="1">
      <c r="A50" s="421" t="s">
        <v>1794</v>
      </c>
      <c r="B50" s="422"/>
      <c r="C50" s="345" t="e">
        <f>R50</f>
        <v>#DIV/0!</v>
      </c>
      <c r="D50" s="345"/>
      <c r="E50" s="345"/>
      <c r="F50" s="345"/>
      <c r="G50" s="345"/>
      <c r="H50" s="345"/>
      <c r="I50" s="345"/>
      <c r="J50" s="423"/>
      <c r="K50" s="667"/>
      <c r="L50" s="2484"/>
      <c r="M50" s="2477"/>
      <c r="N50" s="2477"/>
      <c r="O50" s="247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c r="A59" s="434" t="s">
        <v>1679</v>
      </c>
      <c r="B59" s="435"/>
      <c r="C59" s="1095" t="str">
        <f>YEAR(C7)&amp;"-"&amp;MONTH(C7)</f>
        <v>2023-11</v>
      </c>
      <c r="D59" s="1096">
        <f>EDATE(C59,-1)</f>
        <v>45200</v>
      </c>
      <c r="E59" s="1096">
        <f>EDATE(D59,-1)</f>
        <v>45170</v>
      </c>
      <c r="F59" s="1096">
        <f t="shared" ref="F59:O59" si="16">EDATE(E59,-1)</f>
        <v>45139</v>
      </c>
      <c r="G59" s="1096">
        <f t="shared" si="16"/>
        <v>45108</v>
      </c>
      <c r="H59" s="1096">
        <f t="shared" si="16"/>
        <v>45078</v>
      </c>
      <c r="I59" s="1096">
        <f t="shared" si="16"/>
        <v>45047</v>
      </c>
      <c r="J59" s="1096">
        <f t="shared" si="16"/>
        <v>45017</v>
      </c>
      <c r="K59" s="1096">
        <f t="shared" si="16"/>
        <v>44986</v>
      </c>
      <c r="L59" s="1096">
        <f t="shared" si="16"/>
        <v>44958</v>
      </c>
      <c r="M59" s="1096">
        <f t="shared" si="16"/>
        <v>44927</v>
      </c>
      <c r="N59" s="1096">
        <f t="shared" si="16"/>
        <v>44896</v>
      </c>
      <c r="O59" s="1096">
        <f t="shared" si="16"/>
        <v>44866</v>
      </c>
      <c r="P59" s="2517"/>
      <c r="Q59" s="2500"/>
      <c r="R59" s="2500"/>
      <c r="S59" s="2500"/>
      <c r="T59" s="2500"/>
      <c r="U59" s="2500"/>
      <c r="V59" s="2500"/>
      <c r="W59" s="2500"/>
      <c r="X59" s="2500"/>
      <c r="Y59" s="2500"/>
      <c r="Z59" s="2500"/>
      <c r="AA59" s="2500"/>
      <c r="AB59" s="2500"/>
      <c r="AC59" s="2500"/>
    </row>
    <row r="60" spans="1:29" s="102" customFormat="1">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4.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4.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4.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8.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4.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4.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4.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4.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4.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4.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4.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4.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4.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4.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4.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4.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4.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4.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4.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4.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4.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4.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8.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4.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4.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4.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4.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4.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4.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4.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4.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4.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4.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4.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4.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4.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4.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4.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4.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4.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4.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4.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4.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4.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4.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4.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4.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4.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4.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4.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4.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4.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4.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4.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4.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4.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4.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28.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4.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4.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4.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4.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4.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4.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4.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
  <cols>
    <col min="1" max="1" width="10.453125" style="341" customWidth="1"/>
    <col min="2" max="2" width="15.7265625" style="341" customWidth="1"/>
    <col min="3" max="3" width="14.3632812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341"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1660</v>
      </c>
      <c r="B1" s="1799" t="s">
        <v>1826</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41819.959999999992</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c r="A4" s="339" t="s">
        <v>1769</v>
      </c>
      <c r="B4" s="340"/>
      <c r="C4" s="3369" t="s">
        <v>1770</v>
      </c>
      <c r="D4" s="3370"/>
      <c r="E4" s="3371" t="s">
        <v>1771</v>
      </c>
      <c r="F4" s="3372"/>
      <c r="G4" s="3369" t="s">
        <v>1772</v>
      </c>
      <c r="H4" s="3370"/>
      <c r="I4" s="3369" t="s">
        <v>1773</v>
      </c>
      <c r="J4" s="3370"/>
      <c r="K4" s="531" t="s">
        <v>1774</v>
      </c>
      <c r="L4" s="853"/>
      <c r="M4" s="854"/>
      <c r="N4" s="854"/>
      <c r="O4" s="854"/>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c r="A5" s="342"/>
      <c r="B5" s="343"/>
      <c r="C5" s="3362" t="s">
        <v>1673</v>
      </c>
      <c r="D5" s="3363"/>
      <c r="E5" s="3360" t="s">
        <v>1674</v>
      </c>
      <c r="F5" s="3361"/>
      <c r="G5" s="3362" t="s">
        <v>1675</v>
      </c>
      <c r="H5" s="3363"/>
      <c r="I5" s="3362" t="s">
        <v>1676</v>
      </c>
      <c r="J5" s="3363"/>
      <c r="K5" s="531"/>
      <c r="L5" s="853"/>
      <c r="M5" s="854"/>
      <c r="N5" s="854"/>
      <c r="O5" s="854"/>
      <c r="P5" s="3375"/>
      <c r="Q5" s="3376"/>
      <c r="R5" s="3358"/>
      <c r="S5" s="3359"/>
      <c r="T5" s="3358"/>
      <c r="U5" s="3359"/>
      <c r="V5" s="3381"/>
      <c r="W5" s="3381"/>
      <c r="X5" s="1257"/>
      <c r="Y5" s="3358"/>
      <c r="Z5" s="3359"/>
      <c r="AA5" s="3352"/>
      <c r="AB5" s="3352"/>
      <c r="AC5" s="3352"/>
    </row>
    <row r="6" spans="1:29" ht="15" thickBot="1">
      <c r="A6" s="344"/>
      <c r="B6" s="345"/>
      <c r="C6" s="3364" t="s">
        <v>1677</v>
      </c>
      <c r="D6" s="3365"/>
      <c r="E6" s="3366" t="s">
        <v>1677</v>
      </c>
      <c r="F6" s="3367"/>
      <c r="G6" s="3364" t="s">
        <v>1677</v>
      </c>
      <c r="H6" s="3365"/>
      <c r="I6" s="3364" t="s">
        <v>1677</v>
      </c>
      <c r="J6" s="3365"/>
      <c r="K6" s="531" t="s">
        <v>1678</v>
      </c>
      <c r="L6" s="853"/>
      <c r="M6" s="854"/>
      <c r="N6" s="854"/>
      <c r="O6" s="854"/>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c r="F7" s="351">
        <f>SUMIF(52:52,YEAR(E7)&amp;"-"&amp;MONTH(E7),53:53)</f>
        <v>0</v>
      </c>
      <c r="G7" s="350"/>
      <c r="H7" s="349">
        <f>SUMIF(52:52,YEAR(G7)&amp;"-"&amp;MONTH(G7),53:53)</f>
        <v>0</v>
      </c>
      <c r="I7" s="350"/>
      <c r="J7" s="349">
        <f>SUMIF(52:52,YEAR(I7)&amp;"-"&amp;MONTH(I7),53:53)</f>
        <v>0</v>
      </c>
      <c r="K7" s="38"/>
      <c r="L7" s="855"/>
      <c r="M7" s="856"/>
      <c r="N7" s="856"/>
      <c r="O7" s="856"/>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4.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54" t="s">
        <v>1683</v>
      </c>
      <c r="Q8" s="3355"/>
      <c r="R8" s="656" t="s">
        <v>14</v>
      </c>
      <c r="S8" s="657">
        <f t="shared" si="0"/>
        <v>100</v>
      </c>
      <c r="T8" s="656" t="s">
        <v>14</v>
      </c>
      <c r="U8" s="657">
        <f t="shared" si="1"/>
        <v>100</v>
      </c>
      <c r="V8" s="656" t="s">
        <v>14</v>
      </c>
      <c r="W8" s="657">
        <f t="shared" si="2"/>
        <v>100</v>
      </c>
      <c r="X8" s="658"/>
      <c r="Y8" s="3354" t="s">
        <v>1683</v>
      </c>
      <c r="Z8" s="3355"/>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8">
      <c r="A10" s="357"/>
      <c r="B10" s="358" t="s">
        <v>1688</v>
      </c>
      <c r="C10" s="3121"/>
      <c r="D10" s="113">
        <v>100</v>
      </c>
      <c r="E10" s="3121"/>
      <c r="F10" s="113">
        <f>SUMIF(59:59,E10,60:60)-SUMIF(59:59,C10,60:60)+100</f>
        <v>100</v>
      </c>
      <c r="G10" s="3122"/>
      <c r="H10" s="113">
        <f>SUMIF(59:59,G10,60:60)-SUMIF(59:59,C10,60:60)+100</f>
        <v>100</v>
      </c>
      <c r="I10" s="3121"/>
      <c r="J10" s="113">
        <f>SUMIF(59:59,I10,60:60)-SUMIF(59:59,C10,60:60)+100</f>
        <v>100</v>
      </c>
      <c r="K10" s="38"/>
      <c r="L10" s="858"/>
      <c r="M10" s="859"/>
      <c r="N10" s="859"/>
      <c r="O10" s="860"/>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68"/>
      <c r="Q11" s="524" t="str">
        <f t="shared" si="6"/>
        <v>容积率</v>
      </c>
      <c r="R11" s="656" t="s">
        <v>14</v>
      </c>
      <c r="S11" s="657">
        <f t="shared" si="0"/>
        <v>100</v>
      </c>
      <c r="T11" s="656" t="s">
        <v>14</v>
      </c>
      <c r="U11" s="657">
        <f t="shared" si="1"/>
        <v>100</v>
      </c>
      <c r="V11" s="656" t="s">
        <v>14</v>
      </c>
      <c r="W11" s="657">
        <f t="shared" si="2"/>
        <v>100</v>
      </c>
      <c r="X11" s="658"/>
      <c r="Y11" s="3327"/>
      <c r="Z11" s="50" t="str">
        <f t="shared" si="7"/>
        <v>容积率</v>
      </c>
      <c r="AA11" s="50">
        <f t="shared" si="3"/>
        <v>1</v>
      </c>
      <c r="AB11" s="50">
        <f t="shared" si="4"/>
        <v>1</v>
      </c>
      <c r="AC11" s="50">
        <f t="shared" si="5"/>
        <v>1</v>
      </c>
    </row>
    <row r="12" spans="1:29" s="102" customFormat="1" ht="15.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6"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15.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83" t="s">
        <v>1691</v>
      </c>
      <c r="Q15" s="1255" t="str">
        <f t="shared" si="6"/>
        <v>产业集聚程度</v>
      </c>
      <c r="R15" s="659" t="s">
        <v>14</v>
      </c>
      <c r="S15" s="660">
        <f t="shared" si="0"/>
        <v>100</v>
      </c>
      <c r="T15" s="659" t="s">
        <v>14</v>
      </c>
      <c r="U15" s="660">
        <f t="shared" si="1"/>
        <v>100</v>
      </c>
      <c r="V15" s="659" t="s">
        <v>14</v>
      </c>
      <c r="W15" s="660">
        <f t="shared" si="2"/>
        <v>100</v>
      </c>
      <c r="X15" s="1257"/>
      <c r="Y15" s="3383" t="s">
        <v>1691</v>
      </c>
      <c r="Z15" s="1256" t="str">
        <f t="shared" si="7"/>
        <v>产业集聚程度</v>
      </c>
      <c r="AA15" s="1256">
        <f t="shared" si="3"/>
        <v>1</v>
      </c>
      <c r="AB15" s="1256">
        <f t="shared" si="4"/>
        <v>1</v>
      </c>
      <c r="AC15" s="1256">
        <f t="shared" si="5"/>
        <v>1</v>
      </c>
    </row>
    <row r="16" spans="1:29" ht="15.5">
      <c r="A16" s="361"/>
      <c r="B16" s="379"/>
      <c r="C16" s="380"/>
      <c r="D16" s="381"/>
      <c r="E16" s="380"/>
      <c r="F16" s="382"/>
      <c r="G16" s="380"/>
      <c r="H16" s="383"/>
      <c r="I16" s="380"/>
      <c r="J16" s="381"/>
      <c r="K16" s="535"/>
      <c r="L16" s="863"/>
      <c r="M16" s="854"/>
      <c r="N16" s="854"/>
      <c r="O16" s="862"/>
      <c r="P16" s="3384"/>
      <c r="Q16" s="1255"/>
      <c r="R16" s="659"/>
      <c r="S16" s="660"/>
      <c r="T16" s="659"/>
      <c r="U16" s="660"/>
      <c r="V16" s="659"/>
      <c r="W16" s="660"/>
      <c r="X16" s="1257"/>
      <c r="Y16" s="3384"/>
      <c r="Z16" s="1256"/>
      <c r="AA16" s="1256">
        <v>1</v>
      </c>
      <c r="AB16" s="1256">
        <v>1</v>
      </c>
      <c r="AC16" s="1256">
        <v>1</v>
      </c>
    </row>
    <row r="17" spans="1:29" ht="15.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84"/>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5">
      <c r="A18" s="361"/>
      <c r="B18" s="389"/>
      <c r="C18" s="1746"/>
      <c r="D18" s="383"/>
      <c r="E18" s="1748"/>
      <c r="F18" s="386"/>
      <c r="G18" s="1747"/>
      <c r="H18" s="381"/>
      <c r="I18" s="1748"/>
      <c r="J18" s="381"/>
      <c r="K18" s="535"/>
      <c r="L18" s="863"/>
      <c r="M18" s="854"/>
      <c r="N18" s="854"/>
      <c r="O18" s="862"/>
      <c r="P18" s="3384"/>
      <c r="Q18" s="1255"/>
      <c r="R18" s="659"/>
      <c r="S18" s="660"/>
      <c r="T18" s="659"/>
      <c r="U18" s="660"/>
      <c r="V18" s="659"/>
      <c r="W18" s="660"/>
      <c r="X18" s="1257"/>
      <c r="Y18" s="3384"/>
      <c r="Z18" s="1256"/>
      <c r="AA18" s="1256">
        <v>1</v>
      </c>
      <c r="AB18" s="1256">
        <v>1</v>
      </c>
      <c r="AC18" s="1256">
        <v>1</v>
      </c>
    </row>
    <row r="19" spans="1:29" ht="15.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84"/>
      <c r="Q19" s="1255" t="str">
        <f>B19</f>
        <v>公共配套设施</v>
      </c>
      <c r="R19" s="659" t="s">
        <v>14</v>
      </c>
      <c r="S19" s="660">
        <f>F19</f>
        <v>100</v>
      </c>
      <c r="T19" s="659" t="s">
        <v>14</v>
      </c>
      <c r="U19" s="660">
        <f>H19</f>
        <v>100</v>
      </c>
      <c r="V19" s="659" t="s">
        <v>14</v>
      </c>
      <c r="W19" s="660">
        <f>J19</f>
        <v>100</v>
      </c>
      <c r="X19" s="1257"/>
      <c r="Y19" s="3384"/>
      <c r="Z19" s="1256" t="str">
        <f>Q19</f>
        <v>公共配套设施</v>
      </c>
      <c r="AA19" s="1256">
        <f t="shared" si="3"/>
        <v>1</v>
      </c>
      <c r="AB19" s="1256">
        <f t="shared" si="4"/>
        <v>1</v>
      </c>
      <c r="AC19" s="1256">
        <f t="shared" si="5"/>
        <v>1</v>
      </c>
    </row>
    <row r="20" spans="1:29" ht="15.5">
      <c r="A20" s="361"/>
      <c r="B20" s="389"/>
      <c r="C20" s="380"/>
      <c r="D20" s="381"/>
      <c r="E20" s="1743"/>
      <c r="F20" s="382"/>
      <c r="G20" s="1742"/>
      <c r="H20" s="381"/>
      <c r="I20" s="1743"/>
      <c r="J20" s="381"/>
      <c r="K20" s="535"/>
      <c r="L20" s="863"/>
      <c r="M20" s="854"/>
      <c r="N20" s="854"/>
      <c r="O20" s="862"/>
      <c r="P20" s="3384"/>
      <c r="Q20" s="1255"/>
      <c r="R20" s="659"/>
      <c r="S20" s="660"/>
      <c r="T20" s="659"/>
      <c r="U20" s="660"/>
      <c r="V20" s="659"/>
      <c r="W20" s="660"/>
      <c r="X20" s="1257"/>
      <c r="Y20" s="3384"/>
      <c r="Z20" s="1256"/>
      <c r="AA20" s="1256">
        <v>1</v>
      </c>
      <c r="AB20" s="1256">
        <v>1</v>
      </c>
      <c r="AC20" s="1256">
        <v>1</v>
      </c>
    </row>
    <row r="21" spans="1:29" ht="15.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84"/>
      <c r="Q21" s="1255" t="str">
        <f>B21</f>
        <v>基础设施水平</v>
      </c>
      <c r="R21" s="659" t="s">
        <v>14</v>
      </c>
      <c r="S21" s="660">
        <f>F21</f>
        <v>100</v>
      </c>
      <c r="T21" s="659" t="s">
        <v>14</v>
      </c>
      <c r="U21" s="660">
        <f>H21</f>
        <v>100</v>
      </c>
      <c r="V21" s="659" t="s">
        <v>14</v>
      </c>
      <c r="W21" s="660">
        <f>J21</f>
        <v>100</v>
      </c>
      <c r="X21" s="1257"/>
      <c r="Y21" s="3384"/>
      <c r="Z21" s="1256" t="str">
        <f>Q21</f>
        <v>基础设施水平</v>
      </c>
      <c r="AA21" s="1256">
        <f t="shared" ref="AA21" si="8">D21/F21</f>
        <v>1</v>
      </c>
      <c r="AB21" s="1256">
        <f t="shared" ref="AB21" si="9">D21/H21</f>
        <v>1</v>
      </c>
      <c r="AC21" s="1256">
        <f t="shared" ref="AC21" si="10">D21/J21</f>
        <v>1</v>
      </c>
    </row>
    <row r="22" spans="1:29" ht="15.5">
      <c r="A22" s="361"/>
      <c r="B22" s="580"/>
      <c r="C22" s="1746"/>
      <c r="D22" s="381"/>
      <c r="E22" s="380"/>
      <c r="F22" s="382"/>
      <c r="G22" s="380"/>
      <c r="H22" s="381"/>
      <c r="I22" s="380"/>
      <c r="J22" s="381"/>
      <c r="K22" s="1057"/>
      <c r="L22" s="863"/>
      <c r="M22" s="854"/>
      <c r="N22" s="854"/>
      <c r="O22" s="862"/>
      <c r="P22" s="3384"/>
      <c r="Q22" s="1255"/>
      <c r="R22" s="659"/>
      <c r="S22" s="660"/>
      <c r="T22" s="659"/>
      <c r="U22" s="660"/>
      <c r="V22" s="659"/>
      <c r="W22" s="660"/>
      <c r="X22" s="1257"/>
      <c r="Y22" s="3384"/>
      <c r="Z22" s="1256"/>
      <c r="AA22" s="1256">
        <v>1</v>
      </c>
      <c r="AB22" s="1256">
        <v>1</v>
      </c>
      <c r="AC22" s="1256">
        <v>1</v>
      </c>
    </row>
    <row r="23" spans="1:29" ht="15.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84"/>
      <c r="Q23" s="1255" t="str">
        <f>B23</f>
        <v>环境质量</v>
      </c>
      <c r="R23" s="659" t="s">
        <v>14</v>
      </c>
      <c r="S23" s="660">
        <f>F23</f>
        <v>100</v>
      </c>
      <c r="T23" s="659" t="s">
        <v>14</v>
      </c>
      <c r="U23" s="660">
        <f>H23</f>
        <v>100</v>
      </c>
      <c r="V23" s="659" t="s">
        <v>14</v>
      </c>
      <c r="W23" s="660">
        <f>J23</f>
        <v>100</v>
      </c>
      <c r="X23" s="1257"/>
      <c r="Y23" s="3384"/>
      <c r="Z23" s="1256" t="str">
        <f>Q23</f>
        <v>环境质量</v>
      </c>
      <c r="AA23" s="1256">
        <f t="shared" si="3"/>
        <v>1</v>
      </c>
      <c r="AB23" s="1256">
        <f t="shared" si="4"/>
        <v>1</v>
      </c>
      <c r="AC23" s="1256">
        <f t="shared" si="5"/>
        <v>1</v>
      </c>
    </row>
    <row r="24" spans="1:29" ht="15.5">
      <c r="A24" s="361"/>
      <c r="B24" s="580"/>
      <c r="C24" s="380"/>
      <c r="D24" s="381"/>
      <c r="E24" s="1743"/>
      <c r="F24" s="382"/>
      <c r="G24" s="1742"/>
      <c r="H24" s="381"/>
      <c r="I24" s="1743"/>
      <c r="J24" s="381"/>
      <c r="K24" s="535"/>
      <c r="L24" s="863"/>
      <c r="M24" s="854"/>
      <c r="N24" s="854"/>
      <c r="O24" s="862"/>
      <c r="P24" s="3384"/>
      <c r="Q24" s="1255"/>
      <c r="R24" s="659"/>
      <c r="S24" s="660"/>
      <c r="T24" s="659"/>
      <c r="U24" s="660"/>
      <c r="V24" s="659"/>
      <c r="W24" s="660"/>
      <c r="X24" s="1257"/>
      <c r="Y24" s="3384"/>
      <c r="Z24" s="1256"/>
      <c r="AA24" s="1256">
        <v>1</v>
      </c>
      <c r="AB24" s="1256">
        <v>1</v>
      </c>
      <c r="AC24" s="1256">
        <v>1</v>
      </c>
    </row>
    <row r="25" spans="1:29" ht="15.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84"/>
      <c r="Q25" s="1255">
        <f>B25</f>
        <v>111</v>
      </c>
      <c r="R25" s="659" t="s">
        <v>14</v>
      </c>
      <c r="S25" s="660">
        <f>F25</f>
        <v>100</v>
      </c>
      <c r="T25" s="659" t="s">
        <v>14</v>
      </c>
      <c r="U25" s="660">
        <f>H25</f>
        <v>100</v>
      </c>
      <c r="V25" s="659" t="s">
        <v>14</v>
      </c>
      <c r="W25" s="660">
        <f>J25</f>
        <v>100</v>
      </c>
      <c r="X25" s="1257"/>
      <c r="Y25" s="3384"/>
      <c r="Z25" s="1256">
        <f>Q25</f>
        <v>111</v>
      </c>
      <c r="AA25" s="1256">
        <f t="shared" si="3"/>
        <v>1</v>
      </c>
      <c r="AB25" s="1256">
        <f t="shared" si="4"/>
        <v>1</v>
      </c>
      <c r="AC25" s="1256">
        <f t="shared" si="5"/>
        <v>1</v>
      </c>
    </row>
    <row r="26" spans="1:29" ht="15.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84"/>
      <c r="Q26" s="1255">
        <f t="shared" ref="Q26:Q40" si="11">B26</f>
        <v>111</v>
      </c>
      <c r="R26" s="659" t="s">
        <v>14</v>
      </c>
      <c r="S26" s="660">
        <f>F26</f>
        <v>100</v>
      </c>
      <c r="T26" s="659" t="s">
        <v>14</v>
      </c>
      <c r="U26" s="660">
        <f>H26</f>
        <v>100</v>
      </c>
      <c r="V26" s="659" t="s">
        <v>14</v>
      </c>
      <c r="W26" s="660">
        <f>J26</f>
        <v>100</v>
      </c>
      <c r="X26" s="1257"/>
      <c r="Y26" s="3384"/>
      <c r="Z26" s="1256">
        <f>Q26</f>
        <v>111</v>
      </c>
      <c r="AA26" s="1256">
        <f t="shared" si="3"/>
        <v>1</v>
      </c>
      <c r="AB26" s="1256">
        <f t="shared" si="4"/>
        <v>1</v>
      </c>
      <c r="AC26" s="1256">
        <f t="shared" si="5"/>
        <v>1</v>
      </c>
    </row>
    <row r="27" spans="1:29" s="102" customFormat="1" ht="15.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84"/>
      <c r="Q27" s="524">
        <f t="shared" si="11"/>
        <v>111</v>
      </c>
      <c r="R27" s="656" t="s">
        <v>14</v>
      </c>
      <c r="S27" s="657">
        <f>F27</f>
        <v>100</v>
      </c>
      <c r="T27" s="656" t="s">
        <v>14</v>
      </c>
      <c r="U27" s="657">
        <f>H27</f>
        <v>100</v>
      </c>
      <c r="V27" s="656" t="s">
        <v>14</v>
      </c>
      <c r="W27" s="657">
        <f>J27</f>
        <v>100</v>
      </c>
      <c r="X27" s="658"/>
      <c r="Y27" s="3384"/>
      <c r="Z27" s="50">
        <f>Q27</f>
        <v>111</v>
      </c>
      <c r="AA27" s="1256">
        <f>D27/F27</f>
        <v>1</v>
      </c>
      <c r="AB27" s="1256">
        <f>D27/H27</f>
        <v>1</v>
      </c>
      <c r="AC27" s="1256">
        <f>D27/J27</f>
        <v>1</v>
      </c>
    </row>
    <row r="28" spans="1:29" ht="16"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84"/>
      <c r="Q28" s="1255">
        <f t="shared" si="11"/>
        <v>111</v>
      </c>
      <c r="R28" s="659" t="s">
        <v>14</v>
      </c>
      <c r="S28" s="660">
        <f t="shared" ref="S28:S40" si="12">F28</f>
        <v>100</v>
      </c>
      <c r="T28" s="659" t="s">
        <v>14</v>
      </c>
      <c r="U28" s="660">
        <f t="shared" ref="U28:U40" si="13">H28</f>
        <v>100</v>
      </c>
      <c r="V28" s="659" t="s">
        <v>14</v>
      </c>
      <c r="W28" s="660">
        <f t="shared" ref="W28:W40" si="14">J28</f>
        <v>100</v>
      </c>
      <c r="X28" s="1257"/>
      <c r="Y28" s="3384"/>
      <c r="Z28" s="1256">
        <f t="shared" ref="Z28:Z40" si="15">Q28</f>
        <v>111</v>
      </c>
      <c r="AA28" s="1256">
        <f t="shared" si="3"/>
        <v>1</v>
      </c>
      <c r="AB28" s="1256">
        <f t="shared" si="4"/>
        <v>1</v>
      </c>
      <c r="AC28" s="1256">
        <f t="shared" si="5"/>
        <v>1</v>
      </c>
    </row>
    <row r="29" spans="1:29" ht="29">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85" t="s">
        <v>1696</v>
      </c>
      <c r="Q29" s="1255" t="str">
        <f t="shared" si="11"/>
        <v>建筑类型</v>
      </c>
      <c r="R29" s="659" t="s">
        <v>14</v>
      </c>
      <c r="S29" s="660">
        <f t="shared" si="12"/>
        <v>100</v>
      </c>
      <c r="T29" s="659" t="s">
        <v>14</v>
      </c>
      <c r="U29" s="660">
        <f t="shared" si="13"/>
        <v>100</v>
      </c>
      <c r="V29" s="659" t="s">
        <v>14</v>
      </c>
      <c r="W29" s="660">
        <f t="shared" si="14"/>
        <v>100</v>
      </c>
      <c r="X29" s="1257"/>
      <c r="Y29" s="3386" t="s">
        <v>1696</v>
      </c>
      <c r="Z29" s="1256" t="str">
        <f t="shared" si="15"/>
        <v>建筑类型</v>
      </c>
      <c r="AA29" s="1256">
        <f t="shared" si="3"/>
        <v>1</v>
      </c>
      <c r="AB29" s="1256">
        <f t="shared" si="4"/>
        <v>1</v>
      </c>
      <c r="AC29" s="1256">
        <f t="shared" si="5"/>
        <v>1</v>
      </c>
    </row>
    <row r="30" spans="1:29" s="402" customFormat="1" ht="15.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86"/>
      <c r="Q30" s="525" t="str">
        <f t="shared" si="11"/>
        <v>项目建筑规模</v>
      </c>
      <c r="R30" s="661" t="s">
        <v>14</v>
      </c>
      <c r="S30" s="662" t="e">
        <f t="shared" si="12"/>
        <v>#N/A</v>
      </c>
      <c r="T30" s="661" t="s">
        <v>14</v>
      </c>
      <c r="U30" s="662" t="e">
        <f t="shared" si="13"/>
        <v>#N/A</v>
      </c>
      <c r="V30" s="661" t="s">
        <v>14</v>
      </c>
      <c r="W30" s="662" t="e">
        <f t="shared" si="14"/>
        <v>#N/A</v>
      </c>
      <c r="X30" s="663"/>
      <c r="Y30" s="3386"/>
      <c r="Z30" s="664" t="str">
        <f t="shared" si="15"/>
        <v>项目建筑规模</v>
      </c>
      <c r="AA30" s="1256" t="e">
        <f t="shared" si="3"/>
        <v>#N/A</v>
      </c>
      <c r="AB30" s="1256" t="e">
        <f t="shared" si="4"/>
        <v>#N/A</v>
      </c>
      <c r="AC30" s="1256" t="e">
        <f t="shared" si="5"/>
        <v>#N/A</v>
      </c>
    </row>
    <row r="31" spans="1:29" ht="15.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86"/>
      <c r="Q31" s="1255" t="str">
        <f t="shared" si="11"/>
        <v>建筑结构</v>
      </c>
      <c r="R31" s="659" t="s">
        <v>14</v>
      </c>
      <c r="S31" s="660">
        <f t="shared" si="12"/>
        <v>100</v>
      </c>
      <c r="T31" s="659" t="s">
        <v>14</v>
      </c>
      <c r="U31" s="660">
        <f t="shared" si="13"/>
        <v>100</v>
      </c>
      <c r="V31" s="659" t="s">
        <v>14</v>
      </c>
      <c r="W31" s="660">
        <f t="shared" si="14"/>
        <v>100</v>
      </c>
      <c r="X31" s="1257"/>
      <c r="Y31" s="3386"/>
      <c r="Z31" s="1256" t="str">
        <f t="shared" si="15"/>
        <v>建筑结构</v>
      </c>
      <c r="AA31" s="1256">
        <f t="shared" si="3"/>
        <v>1</v>
      </c>
      <c r="AB31" s="1256">
        <f t="shared" si="4"/>
        <v>1</v>
      </c>
      <c r="AC31" s="1256">
        <f t="shared" si="5"/>
        <v>1</v>
      </c>
    </row>
    <row r="32" spans="1:29" ht="15.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86"/>
      <c r="Q32" s="1255" t="str">
        <f t="shared" si="11"/>
        <v>公共部分装修</v>
      </c>
      <c r="R32" s="659" t="s">
        <v>14</v>
      </c>
      <c r="S32" s="660">
        <f t="shared" si="12"/>
        <v>100</v>
      </c>
      <c r="T32" s="659" t="s">
        <v>14</v>
      </c>
      <c r="U32" s="660">
        <f t="shared" si="13"/>
        <v>100</v>
      </c>
      <c r="V32" s="659" t="s">
        <v>14</v>
      </c>
      <c r="W32" s="660">
        <f t="shared" si="14"/>
        <v>100</v>
      </c>
      <c r="X32" s="1257"/>
      <c r="Y32" s="3386"/>
      <c r="Z32" s="1256" t="str">
        <f t="shared" si="15"/>
        <v>公共部分装修</v>
      </c>
      <c r="AA32" s="1256">
        <f t="shared" si="3"/>
        <v>1</v>
      </c>
      <c r="AB32" s="1256">
        <f t="shared" si="4"/>
        <v>1</v>
      </c>
      <c r="AC32" s="1256">
        <f t="shared" si="5"/>
        <v>1</v>
      </c>
    </row>
    <row r="33" spans="1:29" ht="15.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86"/>
      <c r="Q33" s="1255" t="str">
        <f t="shared" si="11"/>
        <v>成新度</v>
      </c>
      <c r="R33" s="659" t="s">
        <v>14</v>
      </c>
      <c r="S33" s="660" t="e">
        <f t="shared" si="12"/>
        <v>#N/A</v>
      </c>
      <c r="T33" s="659" t="s">
        <v>14</v>
      </c>
      <c r="U33" s="660" t="e">
        <f t="shared" si="13"/>
        <v>#N/A</v>
      </c>
      <c r="V33" s="659" t="s">
        <v>14</v>
      </c>
      <c r="W33" s="660" t="e">
        <f t="shared" si="14"/>
        <v>#N/A</v>
      </c>
      <c r="X33" s="1257"/>
      <c r="Y33" s="3386"/>
      <c r="Z33" s="1256" t="str">
        <f t="shared" si="15"/>
        <v>成新度</v>
      </c>
      <c r="AA33" s="1256" t="e">
        <f t="shared" si="3"/>
        <v>#N/A</v>
      </c>
      <c r="AB33" s="1256" t="e">
        <f t="shared" si="4"/>
        <v>#N/A</v>
      </c>
      <c r="AC33" s="1256" t="e">
        <f t="shared" si="5"/>
        <v>#N/A</v>
      </c>
    </row>
    <row r="34" spans="1:29" s="102" customFormat="1" ht="15.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86"/>
      <c r="Q34" s="524" t="str">
        <f t="shared" si="11"/>
        <v>物业管理</v>
      </c>
      <c r="R34" s="656" t="s">
        <v>14</v>
      </c>
      <c r="S34" s="657">
        <f t="shared" si="12"/>
        <v>100</v>
      </c>
      <c r="T34" s="656" t="s">
        <v>14</v>
      </c>
      <c r="U34" s="657">
        <f t="shared" si="13"/>
        <v>100</v>
      </c>
      <c r="V34" s="656" t="s">
        <v>14</v>
      </c>
      <c r="W34" s="657">
        <f t="shared" si="14"/>
        <v>100</v>
      </c>
      <c r="X34" s="658"/>
      <c r="Y34" s="3386"/>
      <c r="Z34" s="50" t="str">
        <f t="shared" si="15"/>
        <v>物业管理</v>
      </c>
      <c r="AA34" s="50">
        <f t="shared" si="3"/>
        <v>1</v>
      </c>
      <c r="AB34" s="50">
        <f t="shared" si="4"/>
        <v>1</v>
      </c>
      <c r="AC34" s="50">
        <f t="shared" si="5"/>
        <v>1</v>
      </c>
    </row>
    <row r="35" spans="1:29" ht="15.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86" t="s">
        <v>1696</v>
      </c>
      <c r="Q35" s="1255" t="str">
        <f t="shared" si="11"/>
        <v>市政基础设施</v>
      </c>
      <c r="R35" s="659" t="s">
        <v>14</v>
      </c>
      <c r="S35" s="660">
        <f t="shared" si="12"/>
        <v>100</v>
      </c>
      <c r="T35" s="659" t="s">
        <v>14</v>
      </c>
      <c r="U35" s="660">
        <f t="shared" si="13"/>
        <v>100</v>
      </c>
      <c r="V35" s="659" t="s">
        <v>14</v>
      </c>
      <c r="W35" s="660">
        <f t="shared" si="14"/>
        <v>100</v>
      </c>
      <c r="X35" s="1257"/>
      <c r="Y35" s="3386" t="s">
        <v>1696</v>
      </c>
      <c r="Z35" s="1256" t="str">
        <f t="shared" si="15"/>
        <v>市政基础设施</v>
      </c>
      <c r="AA35" s="1256">
        <f t="shared" si="3"/>
        <v>1</v>
      </c>
      <c r="AB35" s="1256">
        <f t="shared" si="4"/>
        <v>1</v>
      </c>
      <c r="AC35" s="1256">
        <f t="shared" si="5"/>
        <v>1</v>
      </c>
    </row>
    <row r="36" spans="1:29" ht="15.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86"/>
      <c r="Q36" s="1255" t="str">
        <f t="shared" si="11"/>
        <v>内部装修</v>
      </c>
      <c r="R36" s="659" t="s">
        <v>14</v>
      </c>
      <c r="S36" s="660">
        <f t="shared" si="12"/>
        <v>100</v>
      </c>
      <c r="T36" s="659" t="s">
        <v>14</v>
      </c>
      <c r="U36" s="660">
        <f t="shared" si="13"/>
        <v>100</v>
      </c>
      <c r="V36" s="659" t="s">
        <v>14</v>
      </c>
      <c r="W36" s="660">
        <f t="shared" si="14"/>
        <v>100</v>
      </c>
      <c r="X36" s="1257"/>
      <c r="Y36" s="3386"/>
      <c r="Z36" s="1256" t="str">
        <f t="shared" si="15"/>
        <v>内部装修</v>
      </c>
      <c r="AA36" s="1256">
        <f t="shared" si="3"/>
        <v>1</v>
      </c>
      <c r="AB36" s="1256">
        <f t="shared" si="4"/>
        <v>1</v>
      </c>
      <c r="AC36" s="1256">
        <f t="shared" si="5"/>
        <v>1</v>
      </c>
    </row>
    <row r="37" spans="1:29" ht="15.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86"/>
      <c r="Q37" s="1255" t="str">
        <f t="shared" si="11"/>
        <v>内部装修状况</v>
      </c>
      <c r="R37" s="659" t="s">
        <v>14</v>
      </c>
      <c r="S37" s="660">
        <f t="shared" si="12"/>
        <v>100</v>
      </c>
      <c r="T37" s="659" t="s">
        <v>14</v>
      </c>
      <c r="U37" s="660">
        <f t="shared" si="13"/>
        <v>100</v>
      </c>
      <c r="V37" s="659" t="s">
        <v>14</v>
      </c>
      <c r="W37" s="660">
        <f t="shared" si="14"/>
        <v>100</v>
      </c>
      <c r="X37" s="1257"/>
      <c r="Y37" s="3386"/>
      <c r="Z37" s="1256" t="str">
        <f t="shared" si="15"/>
        <v>内部装修状况</v>
      </c>
      <c r="AA37" s="1256">
        <f t="shared" si="3"/>
        <v>1</v>
      </c>
      <c r="AB37" s="1256">
        <f t="shared" si="4"/>
        <v>1</v>
      </c>
      <c r="AC37" s="1256">
        <f t="shared" si="5"/>
        <v>1</v>
      </c>
    </row>
    <row r="38" spans="1:29" s="402" customFormat="1" ht="15.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86"/>
      <c r="Q38" s="525">
        <f t="shared" si="11"/>
        <v>111</v>
      </c>
      <c r="R38" s="661" t="s">
        <v>14</v>
      </c>
      <c r="S38" s="662">
        <f t="shared" si="12"/>
        <v>100</v>
      </c>
      <c r="T38" s="661" t="s">
        <v>14</v>
      </c>
      <c r="U38" s="662">
        <f t="shared" si="13"/>
        <v>100</v>
      </c>
      <c r="V38" s="661" t="s">
        <v>14</v>
      </c>
      <c r="W38" s="662">
        <f t="shared" si="14"/>
        <v>100</v>
      </c>
      <c r="X38" s="663"/>
      <c r="Y38" s="3386"/>
      <c r="Z38" s="664">
        <f t="shared" si="15"/>
        <v>111</v>
      </c>
      <c r="AA38" s="1256">
        <f t="shared" si="3"/>
        <v>1</v>
      </c>
      <c r="AB38" s="1256">
        <f t="shared" si="4"/>
        <v>1</v>
      </c>
      <c r="AC38" s="1256">
        <f t="shared" si="5"/>
        <v>1</v>
      </c>
    </row>
    <row r="39" spans="1:29" ht="15.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86"/>
      <c r="Q39" s="1255">
        <f t="shared" si="11"/>
        <v>111</v>
      </c>
      <c r="R39" s="659" t="s">
        <v>14</v>
      </c>
      <c r="S39" s="660">
        <f t="shared" si="12"/>
        <v>100</v>
      </c>
      <c r="T39" s="659" t="s">
        <v>14</v>
      </c>
      <c r="U39" s="660">
        <f t="shared" si="13"/>
        <v>100</v>
      </c>
      <c r="V39" s="659" t="s">
        <v>14</v>
      </c>
      <c r="W39" s="660">
        <f t="shared" si="14"/>
        <v>100</v>
      </c>
      <c r="X39" s="1257"/>
      <c r="Y39" s="3386"/>
      <c r="Z39" s="1256">
        <f t="shared" si="15"/>
        <v>111</v>
      </c>
      <c r="AA39" s="1256">
        <f t="shared" si="3"/>
        <v>1</v>
      </c>
      <c r="AB39" s="1256">
        <f t="shared" si="4"/>
        <v>1</v>
      </c>
      <c r="AC39" s="1256">
        <f t="shared" si="5"/>
        <v>1</v>
      </c>
    </row>
    <row r="40" spans="1:29" ht="16"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26"/>
      <c r="Q40" s="1255">
        <f t="shared" si="11"/>
        <v>111</v>
      </c>
      <c r="R40" s="659" t="s">
        <v>14</v>
      </c>
      <c r="S40" s="660">
        <f t="shared" si="12"/>
        <v>100</v>
      </c>
      <c r="T40" s="659" t="s">
        <v>14</v>
      </c>
      <c r="U40" s="660">
        <f t="shared" si="13"/>
        <v>100</v>
      </c>
      <c r="V40" s="659" t="s">
        <v>14</v>
      </c>
      <c r="W40" s="660">
        <f t="shared" si="14"/>
        <v>100</v>
      </c>
      <c r="X40" s="1257"/>
      <c r="Y40" s="3426"/>
      <c r="Z40" s="1256">
        <f t="shared" si="15"/>
        <v>111</v>
      </c>
      <c r="AA40" s="1256">
        <f t="shared" si="3"/>
        <v>1</v>
      </c>
      <c r="AB40" s="1256">
        <f t="shared" si="4"/>
        <v>1</v>
      </c>
      <c r="AC40" s="1256">
        <f t="shared" si="5"/>
        <v>1</v>
      </c>
    </row>
    <row r="41" spans="1:29">
      <c r="A41" s="410" t="s">
        <v>1708</v>
      </c>
      <c r="B41" s="411"/>
      <c r="C41" s="1074" t="s">
        <v>0</v>
      </c>
      <c r="D41" s="412"/>
      <c r="E41" s="413"/>
      <c r="F41" s="414"/>
      <c r="G41" s="415"/>
      <c r="H41" s="416"/>
      <c r="I41" s="413"/>
      <c r="J41" s="416"/>
      <c r="K41" s="666"/>
      <c r="L41" s="866"/>
      <c r="M41" s="854"/>
      <c r="N41" s="854"/>
      <c r="O41" s="854"/>
      <c r="P41" s="3368" t="str">
        <f>A41</f>
        <v>成交单价（元/平方米）</v>
      </c>
      <c r="Q41" s="3368"/>
      <c r="R41" s="3381">
        <f>E41</f>
        <v>0</v>
      </c>
      <c r="S41" s="3381"/>
      <c r="T41" s="3381">
        <f>G41</f>
        <v>0</v>
      </c>
      <c r="U41" s="3381"/>
      <c r="V41" s="3381">
        <f>I41</f>
        <v>0</v>
      </c>
      <c r="W41" s="3381"/>
      <c r="X41" s="379"/>
      <c r="Y41" s="665"/>
      <c r="Z41" s="379"/>
      <c r="AA41" s="379"/>
      <c r="AB41" s="379"/>
      <c r="AC41" s="379"/>
    </row>
    <row r="42" spans="1:29" ht="14.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68" t="str">
        <f>A42</f>
        <v>比较价值（元/平方米）</v>
      </c>
      <c r="Q42" s="3368"/>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79"/>
      <c r="Y42" s="379"/>
      <c r="Z42" s="379"/>
      <c r="AA42" s="379"/>
      <c r="AB42" s="379"/>
      <c r="AC42" s="379"/>
    </row>
    <row r="43" spans="1:29" ht="14.5" thickBot="1">
      <c r="A43" s="421" t="s">
        <v>1794</v>
      </c>
      <c r="B43" s="422"/>
      <c r="C43" s="345" t="e">
        <f>R43</f>
        <v>#DIV/0!</v>
      </c>
      <c r="D43" s="345"/>
      <c r="E43" s="345"/>
      <c r="F43" s="345"/>
      <c r="G43" s="345"/>
      <c r="H43" s="345"/>
      <c r="I43" s="345"/>
      <c r="J43" s="345"/>
      <c r="K43" s="667"/>
      <c r="L43" s="866"/>
      <c r="M43" s="854"/>
      <c r="N43" s="854"/>
      <c r="O43" s="854"/>
      <c r="P43" s="3388" t="str">
        <f>A43</f>
        <v>估价对象XX用房的比较价值（楼面单价，元/平方米）</v>
      </c>
      <c r="Q43" s="3389"/>
      <c r="R43" s="3422" t="e">
        <f>IF(F1="售价",ROUND(IF(D42="简单平均",AVERAGE(R42:V42),R42*F42+T42*H42+V42*J42),0),ROUND(IF(D42="简单平均",AVERAGE(R42:V42),R42*F42+T42*H42+V42*J42),1))</f>
        <v>#DIV/0!</v>
      </c>
      <c r="S43" s="3422"/>
      <c r="T43" s="3422"/>
      <c r="U43" s="3422"/>
      <c r="V43" s="3422"/>
      <c r="W43" s="3422"/>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5" thickBot="1">
      <c r="A51" s="650" t="s">
        <v>1798</v>
      </c>
      <c r="B51" s="379"/>
      <c r="C51" s="651"/>
      <c r="D51" s="651"/>
      <c r="E51" s="651"/>
      <c r="F51" s="652"/>
      <c r="G51" s="652"/>
      <c r="H51" s="651"/>
      <c r="I51" s="651"/>
      <c r="J51" s="651"/>
      <c r="K51" s="880"/>
      <c r="L51" s="881"/>
      <c r="M51" s="879"/>
      <c r="N51" s="879"/>
      <c r="O51" s="879"/>
      <c r="P51" s="432"/>
      <c r="Q51" s="433"/>
    </row>
    <row r="52" spans="1:17" s="436" customFormat="1">
      <c r="A52" s="434" t="s">
        <v>1679</v>
      </c>
      <c r="B52" s="435"/>
      <c r="C52" s="1095" t="str">
        <f>YEAR(C7)&amp;"-"&amp;MONTH(C7)</f>
        <v>2023-11</v>
      </c>
      <c r="D52" s="1096">
        <f>EDATE(C52,-1)</f>
        <v>45200</v>
      </c>
      <c r="E52" s="1096">
        <f t="shared" ref="E52:O52" si="16">EDATE(D52,-1)</f>
        <v>45170</v>
      </c>
      <c r="F52" s="1096">
        <f t="shared" si="16"/>
        <v>45139</v>
      </c>
      <c r="G52" s="1096">
        <f t="shared" si="16"/>
        <v>45108</v>
      </c>
      <c r="H52" s="1096">
        <f t="shared" si="16"/>
        <v>45078</v>
      </c>
      <c r="I52" s="1096">
        <f t="shared" si="16"/>
        <v>45047</v>
      </c>
      <c r="J52" s="1096">
        <f t="shared" si="16"/>
        <v>45017</v>
      </c>
      <c r="K52" s="1096">
        <f t="shared" si="16"/>
        <v>44986</v>
      </c>
      <c r="L52" s="1096">
        <f t="shared" si="16"/>
        <v>44958</v>
      </c>
      <c r="M52" s="1096">
        <f t="shared" si="16"/>
        <v>44927</v>
      </c>
      <c r="N52" s="1096">
        <f t="shared" si="16"/>
        <v>44896</v>
      </c>
      <c r="O52" s="1096">
        <f t="shared" si="16"/>
        <v>44866</v>
      </c>
    </row>
    <row r="53" spans="1:17" s="102" customFormat="1">
      <c r="A53" s="437"/>
      <c r="B53" s="438"/>
      <c r="C53" s="1094">
        <v>100</v>
      </c>
      <c r="D53" s="440"/>
      <c r="E53" s="440"/>
      <c r="F53" s="440"/>
      <c r="G53" s="440"/>
      <c r="H53" s="440"/>
      <c r="I53" s="440"/>
      <c r="J53" s="440"/>
      <c r="K53" s="440"/>
      <c r="L53" s="440"/>
      <c r="M53" s="441"/>
      <c r="N53" s="440"/>
      <c r="O53" s="442"/>
      <c r="P53" s="433"/>
    </row>
    <row r="54" spans="1:17" s="102" customFormat="1" ht="14.5" thickBot="1">
      <c r="A54" s="443" t="s">
        <v>1716</v>
      </c>
      <c r="B54" s="444"/>
      <c r="C54" s="445"/>
      <c r="D54" s="446"/>
      <c r="E54" s="446"/>
      <c r="F54" s="446"/>
      <c r="G54" s="446"/>
      <c r="H54" s="446"/>
      <c r="I54" s="446"/>
      <c r="J54" s="446"/>
      <c r="K54" s="446"/>
      <c r="L54" s="446"/>
      <c r="M54" s="447"/>
      <c r="N54" s="2528"/>
      <c r="O54" s="2529"/>
      <c r="P54" s="433"/>
      <c r="Q54" s="433"/>
    </row>
    <row r="55" spans="1:17" s="102" customFormat="1">
      <c r="A55" s="449" t="s">
        <v>1681</v>
      </c>
      <c r="B55" s="438"/>
      <c r="C55" s="450" t="s">
        <v>1776</v>
      </c>
      <c r="D55" s="31"/>
      <c r="E55" s="31"/>
      <c r="F55" s="31"/>
      <c r="G55" s="31"/>
      <c r="H55" s="31"/>
      <c r="I55" s="31"/>
      <c r="J55" s="31"/>
      <c r="K55" s="31"/>
      <c r="L55" s="451"/>
      <c r="M55" s="452"/>
      <c r="N55" s="871"/>
      <c r="O55" s="871"/>
      <c r="P55" s="453"/>
      <c r="Q55" s="433"/>
    </row>
    <row r="56" spans="1:17" s="102" customFormat="1" ht="14.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4.5" thickBot="1">
      <c r="A58" s="361"/>
      <c r="B58" s="460"/>
      <c r="C58" s="461">
        <v>100</v>
      </c>
      <c r="D58" s="461"/>
      <c r="E58" s="461"/>
      <c r="F58" s="461"/>
      <c r="G58" s="461"/>
      <c r="H58" s="461"/>
      <c r="I58" s="461"/>
      <c r="J58" s="461"/>
      <c r="K58" s="461"/>
      <c r="L58" s="461"/>
      <c r="M58" s="462"/>
      <c r="N58" s="873"/>
      <c r="O58" s="873"/>
      <c r="P58" s="40"/>
      <c r="Q58" s="433"/>
    </row>
    <row r="59" spans="1:17" ht="28.5" thickTop="1">
      <c r="A59" s="361"/>
      <c r="B59" s="463" t="s">
        <v>1688</v>
      </c>
      <c r="C59" s="507"/>
      <c r="D59" s="507"/>
      <c r="E59" s="507"/>
      <c r="F59" s="507"/>
      <c r="G59" s="507"/>
      <c r="H59" s="507"/>
      <c r="I59" s="507"/>
      <c r="J59" s="507"/>
      <c r="K59" s="508"/>
      <c r="L59" s="509"/>
      <c r="M59" s="510"/>
      <c r="N59" s="872"/>
      <c r="O59" s="872"/>
      <c r="P59" s="40"/>
      <c r="Q59" s="433"/>
    </row>
    <row r="60" spans="1:17" ht="14.5" thickBot="1">
      <c r="A60" s="361"/>
      <c r="B60" s="468"/>
      <c r="C60" s="461"/>
      <c r="D60" s="461"/>
      <c r="E60" s="461"/>
      <c r="F60" s="461"/>
      <c r="G60" s="461"/>
      <c r="H60" s="461"/>
      <c r="I60" s="461"/>
      <c r="J60" s="461"/>
      <c r="K60" s="461"/>
      <c r="L60" s="461"/>
      <c r="M60" s="462"/>
      <c r="N60" s="873"/>
      <c r="O60" s="873"/>
      <c r="P60" s="40"/>
      <c r="Q60" s="433"/>
    </row>
    <row r="61" spans="1:17" ht="14.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c r="A62" s="361"/>
      <c r="B62" s="473"/>
      <c r="C62" s="474">
        <v>0</v>
      </c>
      <c r="D62" s="474">
        <v>2</v>
      </c>
      <c r="E62" s="474"/>
      <c r="F62" s="474"/>
      <c r="G62" s="474"/>
      <c r="H62" s="474"/>
      <c r="I62" s="474"/>
      <c r="J62" s="474"/>
      <c r="K62" s="475"/>
      <c r="L62" s="476"/>
      <c r="M62" s="477"/>
      <c r="N62" s="872"/>
      <c r="O62" s="872"/>
      <c r="P62" s="40"/>
      <c r="Q62" s="433"/>
    </row>
    <row r="63" spans="1:17" ht="14.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4.5" thickTop="1">
      <c r="A64" s="478"/>
      <c r="B64" s="463">
        <f>B12</f>
        <v>111</v>
      </c>
      <c r="C64" s="479"/>
      <c r="D64" s="479"/>
      <c r="E64" s="479"/>
      <c r="F64" s="479"/>
      <c r="G64" s="479"/>
      <c r="H64" s="480"/>
      <c r="I64" s="480"/>
      <c r="J64" s="480"/>
      <c r="K64" s="480"/>
      <c r="L64" s="481"/>
      <c r="M64" s="482"/>
      <c r="N64" s="874"/>
      <c r="O64" s="874"/>
      <c r="P64" s="483"/>
      <c r="Q64" s="484"/>
    </row>
    <row r="65" spans="1:17" s="402" customFormat="1" ht="14.5" thickBot="1">
      <c r="A65" s="478"/>
      <c r="B65" s="468"/>
      <c r="C65" s="485"/>
      <c r="D65" s="461"/>
      <c r="E65" s="461"/>
      <c r="F65" s="461"/>
      <c r="G65" s="461"/>
      <c r="H65" s="461"/>
      <c r="I65" s="461"/>
      <c r="J65" s="461"/>
      <c r="K65" s="461"/>
      <c r="L65" s="461"/>
      <c r="M65" s="462"/>
      <c r="N65" s="873"/>
      <c r="O65" s="873"/>
      <c r="P65" s="483"/>
      <c r="Q65" s="484"/>
    </row>
    <row r="66" spans="1:17" s="402" customFormat="1" ht="14.5" thickTop="1">
      <c r="A66" s="478"/>
      <c r="B66" s="463">
        <f>B13</f>
        <v>111</v>
      </c>
      <c r="C66" s="479"/>
      <c r="D66" s="479"/>
      <c r="E66" s="479"/>
      <c r="F66" s="479"/>
      <c r="G66" s="479"/>
      <c r="H66" s="480"/>
      <c r="I66" s="480"/>
      <c r="J66" s="480"/>
      <c r="K66" s="480"/>
      <c r="L66" s="481"/>
      <c r="M66" s="482"/>
      <c r="N66" s="874"/>
      <c r="O66" s="874"/>
      <c r="Q66" s="486"/>
    </row>
    <row r="67" spans="1:17" s="402" customFormat="1" ht="14.5" thickBot="1">
      <c r="A67" s="478"/>
      <c r="B67" s="468"/>
      <c r="C67" s="485"/>
      <c r="D67" s="461"/>
      <c r="E67" s="461"/>
      <c r="F67" s="461"/>
      <c r="G67" s="485"/>
      <c r="H67" s="487"/>
      <c r="I67" s="487"/>
      <c r="J67" s="487"/>
      <c r="K67" s="487"/>
      <c r="L67" s="487"/>
      <c r="M67" s="488"/>
      <c r="N67" s="874"/>
      <c r="O67" s="874"/>
      <c r="P67" s="483"/>
      <c r="Q67" s="484"/>
    </row>
    <row r="68" spans="1:17" s="402" customFormat="1" ht="14.5" thickTop="1">
      <c r="A68" s="478"/>
      <c r="B68" s="471">
        <f>B14</f>
        <v>111</v>
      </c>
      <c r="C68" s="31"/>
      <c r="D68" s="31"/>
      <c r="E68" s="31"/>
      <c r="F68" s="31"/>
      <c r="G68" s="31"/>
      <c r="H68" s="489"/>
      <c r="I68" s="489"/>
      <c r="J68" s="489"/>
      <c r="K68" s="489"/>
      <c r="L68" s="490"/>
      <c r="M68" s="491"/>
      <c r="N68" s="874"/>
      <c r="O68" s="874"/>
      <c r="P68" s="492"/>
      <c r="Q68" s="484"/>
    </row>
    <row r="69" spans="1:17" s="402" customFormat="1" ht="14.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4.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4.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4.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4.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4.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4.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4.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4.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4.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4.5" thickTop="1">
      <c r="A80" s="364"/>
      <c r="B80" s="463">
        <f>B25</f>
        <v>111</v>
      </c>
      <c r="C80" s="479"/>
      <c r="D80" s="479"/>
      <c r="E80" s="479"/>
      <c r="F80" s="479"/>
      <c r="G80" s="479"/>
      <c r="H80" s="479"/>
      <c r="I80" s="479"/>
      <c r="J80" s="479"/>
      <c r="K80" s="479"/>
      <c r="L80" s="504"/>
      <c r="M80" s="505"/>
      <c r="N80" s="871"/>
      <c r="O80" s="871"/>
      <c r="P80" s="40"/>
      <c r="Q80" s="433"/>
    </row>
    <row r="81" spans="1:17" s="102" customFormat="1" ht="14.5" thickBot="1">
      <c r="A81" s="364"/>
      <c r="B81" s="468"/>
      <c r="C81" s="485"/>
      <c r="D81" s="461"/>
      <c r="E81" s="461"/>
      <c r="F81" s="461"/>
      <c r="G81" s="461"/>
      <c r="H81" s="461"/>
      <c r="I81" s="461"/>
      <c r="J81" s="461"/>
      <c r="K81" s="461"/>
      <c r="L81" s="461"/>
      <c r="M81" s="462"/>
      <c r="N81" s="873"/>
      <c r="O81" s="873"/>
      <c r="P81" s="40"/>
      <c r="Q81" s="433"/>
    </row>
    <row r="82" spans="1:17" s="102" customFormat="1" ht="14.5" thickTop="1">
      <c r="A82" s="364"/>
      <c r="B82" s="463">
        <f>B26</f>
        <v>111</v>
      </c>
      <c r="C82" s="479"/>
      <c r="D82" s="479"/>
      <c r="E82" s="479"/>
      <c r="F82" s="479"/>
      <c r="G82" s="479"/>
      <c r="H82" s="479"/>
      <c r="I82" s="479"/>
      <c r="J82" s="479"/>
      <c r="K82" s="479"/>
      <c r="L82" s="504"/>
      <c r="M82" s="505"/>
      <c r="N82" s="871"/>
      <c r="O82" s="871"/>
      <c r="P82" s="40"/>
      <c r="Q82" s="433"/>
    </row>
    <row r="83" spans="1:17" s="102" customFormat="1" ht="14.5" thickBot="1">
      <c r="A83" s="364"/>
      <c r="B83" s="468"/>
      <c r="C83" s="485"/>
      <c r="D83" s="461"/>
      <c r="E83" s="461"/>
      <c r="F83" s="461"/>
      <c r="G83" s="461"/>
      <c r="H83" s="461"/>
      <c r="I83" s="461"/>
      <c r="J83" s="461"/>
      <c r="K83" s="461"/>
      <c r="L83" s="461"/>
      <c r="M83" s="462"/>
      <c r="N83" s="873"/>
      <c r="O83" s="873"/>
      <c r="P83" s="40"/>
      <c r="Q83" s="433"/>
    </row>
    <row r="84" spans="1:17" s="402" customFormat="1" ht="14.5" thickTop="1">
      <c r="A84" s="478"/>
      <c r="B84" s="463">
        <f>B27</f>
        <v>111</v>
      </c>
      <c r="C84" s="479"/>
      <c r="D84" s="479"/>
      <c r="E84" s="479"/>
      <c r="F84" s="479"/>
      <c r="G84" s="479"/>
      <c r="H84" s="479"/>
      <c r="I84" s="479"/>
      <c r="J84" s="479"/>
      <c r="K84" s="479"/>
      <c r="L84" s="504"/>
      <c r="M84" s="505"/>
      <c r="N84" s="874"/>
      <c r="O84" s="874"/>
      <c r="P84" s="483"/>
      <c r="Q84" s="484"/>
    </row>
    <row r="85" spans="1:17" s="402" customFormat="1" ht="14.5" thickBot="1">
      <c r="A85" s="478"/>
      <c r="B85" s="468"/>
      <c r="C85" s="485"/>
      <c r="D85" s="461"/>
      <c r="E85" s="461"/>
      <c r="F85" s="461"/>
      <c r="G85" s="461"/>
      <c r="H85" s="461"/>
      <c r="I85" s="461"/>
      <c r="J85" s="461"/>
      <c r="K85" s="461"/>
      <c r="L85" s="461"/>
      <c r="M85" s="462"/>
      <c r="N85" s="874"/>
      <c r="O85" s="874"/>
      <c r="P85" s="483"/>
      <c r="Q85" s="484"/>
    </row>
    <row r="86" spans="1:17" ht="14.5" thickTop="1">
      <c r="A86" s="361"/>
      <c r="B86" s="471">
        <f>B28</f>
        <v>111</v>
      </c>
      <c r="C86" s="31"/>
      <c r="D86" s="31"/>
      <c r="E86" s="31"/>
      <c r="F86" s="31"/>
      <c r="G86" s="511"/>
      <c r="H86" s="511"/>
      <c r="I86" s="511"/>
      <c r="J86" s="511"/>
      <c r="K86" s="512"/>
      <c r="L86" s="513"/>
      <c r="M86" s="514"/>
      <c r="N86" s="872"/>
      <c r="O86" s="872"/>
      <c r="P86" s="40"/>
      <c r="Q86" s="433"/>
    </row>
    <row r="87" spans="1:17" ht="14.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4.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4.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4.5" thickBot="1">
      <c r="A92" s="478"/>
      <c r="B92" s="468"/>
      <c r="C92" s="485"/>
      <c r="D92" s="461"/>
      <c r="E92" s="461"/>
      <c r="F92" s="461"/>
      <c r="G92" s="461"/>
      <c r="H92" s="461"/>
      <c r="I92" s="461"/>
      <c r="J92" s="461"/>
      <c r="K92" s="461"/>
      <c r="L92" s="461"/>
      <c r="M92" s="462"/>
      <c r="N92" s="873"/>
      <c r="O92" s="873"/>
      <c r="P92" s="483"/>
      <c r="Q92" s="484"/>
    </row>
    <row r="93" spans="1:17" ht="14.5" thickTop="1">
      <c r="A93" s="403"/>
      <c r="B93" s="463" t="s">
        <v>1738</v>
      </c>
      <c r="C93" s="479"/>
      <c r="D93" s="479"/>
      <c r="E93" s="507"/>
      <c r="F93" s="507"/>
      <c r="G93" s="507"/>
      <c r="H93" s="507"/>
      <c r="I93" s="507"/>
      <c r="J93" s="507"/>
      <c r="K93" s="508"/>
      <c r="L93" s="509"/>
      <c r="M93" s="510"/>
      <c r="N93" s="872"/>
      <c r="O93" s="872"/>
      <c r="P93" s="40"/>
      <c r="Q93" s="433"/>
    </row>
    <row r="94" spans="1:17" ht="14.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4.5" thickTop="1">
      <c r="A95" s="403"/>
      <c r="B95" s="463" t="s">
        <v>1740</v>
      </c>
      <c r="C95" s="479"/>
      <c r="D95" s="479"/>
      <c r="E95" s="479"/>
      <c r="F95" s="507"/>
      <c r="G95" s="507"/>
      <c r="H95" s="507"/>
      <c r="I95" s="507"/>
      <c r="J95" s="507"/>
      <c r="K95" s="508"/>
      <c r="L95" s="509"/>
      <c r="M95" s="510"/>
      <c r="N95" s="872"/>
      <c r="O95" s="872"/>
      <c r="P95" s="40"/>
      <c r="Q95" s="433"/>
    </row>
    <row r="96" spans="1:17" ht="14.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4.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4.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4.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4.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4.5" thickTop="1">
      <c r="A102" s="403"/>
      <c r="B102" s="463" t="s">
        <v>1742</v>
      </c>
      <c r="C102" s="479"/>
      <c r="D102" s="479"/>
      <c r="E102" s="479"/>
      <c r="F102" s="479"/>
      <c r="G102" s="479"/>
      <c r="H102" s="507"/>
      <c r="I102" s="507"/>
      <c r="J102" s="507"/>
      <c r="K102" s="508"/>
      <c r="L102" s="509"/>
      <c r="M102" s="510"/>
      <c r="N102" s="872"/>
      <c r="O102" s="872"/>
      <c r="P102" s="40"/>
      <c r="Q102" s="433"/>
    </row>
    <row r="103" spans="1:17" ht="14.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4.5" thickTop="1">
      <c r="A104" s="403"/>
      <c r="B104" s="463" t="s">
        <v>1744</v>
      </c>
      <c r="C104" s="479"/>
      <c r="D104" s="479"/>
      <c r="E104" s="479"/>
      <c r="F104" s="479"/>
      <c r="G104" s="479"/>
      <c r="H104" s="507"/>
      <c r="I104" s="507"/>
      <c r="J104" s="507"/>
      <c r="K104" s="508"/>
      <c r="L104" s="509"/>
      <c r="M104" s="510"/>
      <c r="N104" s="872"/>
      <c r="O104" s="872"/>
      <c r="P104" s="40"/>
      <c r="Q104" s="433"/>
    </row>
    <row r="105" spans="1:17" ht="14.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28.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4.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4.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4.5" thickBot="1">
      <c r="A109" s="478"/>
      <c r="B109" s="460"/>
      <c r="C109" s="485"/>
      <c r="D109" s="461"/>
      <c r="E109" s="461"/>
      <c r="F109" s="461"/>
      <c r="G109" s="485"/>
      <c r="H109" s="487"/>
      <c r="I109" s="487"/>
      <c r="J109" s="487"/>
      <c r="K109" s="487"/>
      <c r="L109" s="487"/>
      <c r="M109" s="488"/>
      <c r="N109" s="874"/>
      <c r="O109" s="874"/>
      <c r="P109" s="483"/>
      <c r="Q109" s="484"/>
    </row>
    <row r="110" spans="1:17" ht="14.5" thickTop="1">
      <c r="A110" s="403"/>
      <c r="B110" s="463">
        <f>B39</f>
        <v>111</v>
      </c>
      <c r="C110" s="479"/>
      <c r="D110" s="479"/>
      <c r="E110" s="479"/>
      <c r="F110" s="479"/>
      <c r="G110" s="479"/>
      <c r="H110" s="480"/>
      <c r="I110" s="480"/>
      <c r="J110" s="480"/>
      <c r="K110" s="480"/>
      <c r="L110" s="481"/>
      <c r="M110" s="482"/>
      <c r="N110" s="872"/>
      <c r="O110" s="872"/>
      <c r="P110" s="40"/>
      <c r="Q110" s="433"/>
    </row>
    <row r="111" spans="1:17" ht="14.5" thickBot="1">
      <c r="A111" s="361"/>
      <c r="B111" s="468"/>
      <c r="C111" s="485"/>
      <c r="D111" s="461"/>
      <c r="E111" s="461"/>
      <c r="F111" s="461"/>
      <c r="G111" s="485"/>
      <c r="H111" s="487"/>
      <c r="I111" s="487"/>
      <c r="J111" s="487"/>
      <c r="K111" s="487"/>
      <c r="L111" s="487"/>
      <c r="M111" s="488"/>
      <c r="N111" s="873"/>
      <c r="O111" s="873"/>
      <c r="P111" s="40"/>
      <c r="Q111" s="433"/>
    </row>
    <row r="112" spans="1:17" ht="14.5" thickTop="1">
      <c r="A112" s="403"/>
      <c r="B112" s="471">
        <f>B40</f>
        <v>111</v>
      </c>
      <c r="C112" s="31"/>
      <c r="D112" s="31"/>
      <c r="E112" s="31"/>
      <c r="F112" s="31"/>
      <c r="G112" s="511"/>
      <c r="H112" s="511"/>
      <c r="I112" s="511"/>
      <c r="J112" s="511"/>
      <c r="K112" s="31"/>
      <c r="L112" s="451"/>
      <c r="M112" s="514"/>
      <c r="N112" s="872"/>
      <c r="O112" s="872"/>
      <c r="P112" s="40"/>
      <c r="Q112" s="433"/>
    </row>
    <row r="113" spans="1:17" ht="14.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
  <cols>
    <col min="1" max="1" width="10.453125" style="341" customWidth="1"/>
    <col min="2" max="2" width="15.7265625" style="341" customWidth="1"/>
    <col min="3" max="3" width="14.3632812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5.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846"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1831</v>
      </c>
      <c r="B1" s="1132" t="s">
        <v>3328</v>
      </c>
      <c r="C1" s="1133" t="s">
        <v>1662</v>
      </c>
      <c r="D1" s="1134"/>
      <c r="E1" s="3120"/>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c r="F7" s="351">
        <f>SUMIF(48:48,YEAR(E7)&amp;"-"&amp;MONTH(E7),49:49)</f>
        <v>0</v>
      </c>
      <c r="G7" s="350"/>
      <c r="H7" s="349">
        <f>SUMIF(48:48,YEAR(G7)&amp;"-"&amp;MONTH(G7),49:49)</f>
        <v>0</v>
      </c>
      <c r="I7" s="350"/>
      <c r="J7" s="349">
        <f>SUMIF(48:48,YEAR(I7)&amp;"-"&amp;MONTH(I7),49:49)</f>
        <v>0</v>
      </c>
      <c r="K7" s="38"/>
      <c r="L7" s="2478"/>
      <c r="M7" s="2429"/>
      <c r="N7" s="2429"/>
      <c r="O7" s="2429"/>
      <c r="P7" s="3354" t="s">
        <v>1680</v>
      </c>
      <c r="Q7" s="3382"/>
      <c r="R7" s="656" t="s">
        <v>14</v>
      </c>
      <c r="S7" s="657">
        <f t="shared" ref="S7:S14" si="0">F7</f>
        <v>0</v>
      </c>
      <c r="T7" s="656" t="s">
        <v>14</v>
      </c>
      <c r="U7" s="657">
        <f t="shared" ref="U7:U14" si="1">H7</f>
        <v>0</v>
      </c>
      <c r="V7" s="656" t="s">
        <v>14</v>
      </c>
      <c r="W7" s="657">
        <f t="shared" ref="W7:W14" si="2">J7</f>
        <v>0</v>
      </c>
      <c r="X7" s="658"/>
      <c r="Y7" s="3354" t="s">
        <v>1680</v>
      </c>
      <c r="Z7" s="3355"/>
      <c r="AA7" s="50" t="e">
        <f>D7/F7</f>
        <v>#DIV/0!</v>
      </c>
      <c r="AB7" s="50" t="e">
        <f>D7/H7</f>
        <v>#DIV/0!</v>
      </c>
      <c r="AC7" s="50" t="e">
        <f>D7/J7</f>
        <v>#DIV/0!</v>
      </c>
    </row>
    <row r="8" spans="1:29" s="102" customFormat="1" ht="14.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68" t="s">
        <v>1686</v>
      </c>
      <c r="Q9" s="524" t="str">
        <f t="shared" ref="Q9:Q14" si="6">B9</f>
        <v>用途</v>
      </c>
      <c r="R9" s="656" t="s">
        <v>14</v>
      </c>
      <c r="S9" s="657">
        <f t="shared" si="0"/>
        <v>100</v>
      </c>
      <c r="T9" s="656" t="s">
        <v>14</v>
      </c>
      <c r="U9" s="657">
        <f t="shared" si="1"/>
        <v>100</v>
      </c>
      <c r="V9" s="656" t="s">
        <v>14</v>
      </c>
      <c r="W9" s="657">
        <f t="shared" si="2"/>
        <v>100</v>
      </c>
      <c r="X9" s="658"/>
      <c r="Y9" s="3327" t="s">
        <v>1687</v>
      </c>
      <c r="Z9" s="50" t="str">
        <f t="shared" ref="Z9:Z14" si="7">Q9</f>
        <v>用途</v>
      </c>
      <c r="AA9" s="50">
        <f t="shared" si="3"/>
        <v>1</v>
      </c>
      <c r="AB9" s="50">
        <f t="shared" si="4"/>
        <v>1</v>
      </c>
      <c r="AC9" s="50">
        <f t="shared" si="5"/>
        <v>1</v>
      </c>
    </row>
    <row r="10" spans="1:29" s="360" customFormat="1" ht="28">
      <c r="A10" s="559"/>
      <c r="B10" s="560" t="s">
        <v>1688</v>
      </c>
      <c r="C10" s="3121"/>
      <c r="D10" s="113">
        <v>100</v>
      </c>
      <c r="E10" s="3121"/>
      <c r="F10" s="113">
        <f>SUMIF(55:55,E10,56:56)-SUMIF(55:55,C10,56:56)+100</f>
        <v>100</v>
      </c>
      <c r="G10" s="3122"/>
      <c r="H10" s="113">
        <f>SUMIF(55:55,G10,56:56)-SUMIF(55:55,C10,56:56)+100</f>
        <v>100</v>
      </c>
      <c r="I10" s="3121"/>
      <c r="J10" s="113">
        <f>SUMIF(55:55,I10,56:56)-SUMIF(55:55,C10,56:56)+100</f>
        <v>100</v>
      </c>
      <c r="K10" s="38"/>
      <c r="L10" s="2479"/>
      <c r="M10" s="2480"/>
      <c r="N10" s="2480"/>
      <c r="O10" s="2480"/>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68"/>
      <c r="Q11" s="524">
        <f t="shared" si="6"/>
        <v>111</v>
      </c>
      <c r="R11" s="656" t="s">
        <v>14</v>
      </c>
      <c r="S11" s="657">
        <f t="shared" si="0"/>
        <v>100</v>
      </c>
      <c r="T11" s="656" t="s">
        <v>14</v>
      </c>
      <c r="U11" s="657">
        <f t="shared" si="1"/>
        <v>100</v>
      </c>
      <c r="V11" s="656" t="s">
        <v>14</v>
      </c>
      <c r="W11" s="657">
        <f t="shared" si="2"/>
        <v>100</v>
      </c>
      <c r="X11" s="658"/>
      <c r="Y11" s="3327"/>
      <c r="Z11" s="50">
        <f t="shared" si="7"/>
        <v>111</v>
      </c>
      <c r="AA11" s="50">
        <f t="shared" si="3"/>
        <v>1</v>
      </c>
      <c r="AB11" s="50">
        <f t="shared" si="4"/>
        <v>1</v>
      </c>
      <c r="AC11" s="50">
        <f t="shared" si="5"/>
        <v>1</v>
      </c>
    </row>
    <row r="12" spans="1:29" s="102" customFormat="1" ht="15.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6"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54">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83" t="s">
        <v>1691</v>
      </c>
      <c r="Q14" s="1255" t="str">
        <f t="shared" si="6"/>
        <v>交通便捷度</v>
      </c>
      <c r="R14" s="659" t="s">
        <v>14</v>
      </c>
      <c r="S14" s="660">
        <f t="shared" si="0"/>
        <v>100</v>
      </c>
      <c r="T14" s="659" t="s">
        <v>14</v>
      </c>
      <c r="U14" s="660">
        <f t="shared" si="1"/>
        <v>100</v>
      </c>
      <c r="V14" s="659" t="s">
        <v>14</v>
      </c>
      <c r="W14" s="660">
        <f t="shared" si="2"/>
        <v>100</v>
      </c>
      <c r="X14" s="1257"/>
      <c r="Y14" s="3383" t="s">
        <v>1691</v>
      </c>
      <c r="Z14" s="1256" t="str">
        <f t="shared" si="7"/>
        <v>交通便捷度</v>
      </c>
      <c r="AA14" s="1256">
        <f t="shared" si="3"/>
        <v>1</v>
      </c>
      <c r="AB14" s="1256">
        <f t="shared" si="4"/>
        <v>1</v>
      </c>
      <c r="AC14" s="1256">
        <f t="shared" si="5"/>
        <v>1</v>
      </c>
    </row>
    <row r="15" spans="1:29" ht="15.5">
      <c r="A15" s="342"/>
      <c r="B15" s="565"/>
      <c r="C15" s="380"/>
      <c r="D15" s="381"/>
      <c r="E15" s="380"/>
      <c r="F15" s="382"/>
      <c r="G15" s="380"/>
      <c r="H15" s="383"/>
      <c r="I15" s="380"/>
      <c r="J15" s="381"/>
      <c r="K15" s="535"/>
      <c r="L15" s="2482"/>
      <c r="M15" s="2477"/>
      <c r="N15" s="2477"/>
      <c r="O15" s="2477"/>
      <c r="P15" s="3384"/>
      <c r="Q15" s="1255"/>
      <c r="R15" s="659"/>
      <c r="S15" s="660"/>
      <c r="T15" s="659"/>
      <c r="U15" s="660"/>
      <c r="V15" s="659"/>
      <c r="W15" s="660"/>
      <c r="X15" s="1257"/>
      <c r="Y15" s="3384"/>
      <c r="Z15" s="1256"/>
      <c r="AA15" s="1256">
        <v>1</v>
      </c>
      <c r="AB15" s="1256">
        <v>1</v>
      </c>
      <c r="AC15" s="1256">
        <v>1</v>
      </c>
    </row>
    <row r="16" spans="1:29" ht="56">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84"/>
      <c r="Q16" s="1255" t="str">
        <f>B16</f>
        <v>公共配套设施</v>
      </c>
      <c r="R16" s="659" t="s">
        <v>14</v>
      </c>
      <c r="S16" s="660">
        <f>F16</f>
        <v>100</v>
      </c>
      <c r="T16" s="659" t="s">
        <v>14</v>
      </c>
      <c r="U16" s="660">
        <f>H16</f>
        <v>100</v>
      </c>
      <c r="V16" s="659" t="s">
        <v>14</v>
      </c>
      <c r="W16" s="660">
        <f>J16</f>
        <v>100</v>
      </c>
      <c r="X16" s="1257"/>
      <c r="Y16" s="3384"/>
      <c r="Z16" s="1256" t="str">
        <f>Q16</f>
        <v>公共配套设施</v>
      </c>
      <c r="AA16" s="1256">
        <f t="shared" si="3"/>
        <v>1</v>
      </c>
      <c r="AB16" s="1256">
        <f t="shared" si="4"/>
        <v>1</v>
      </c>
      <c r="AC16" s="1256">
        <f t="shared" si="5"/>
        <v>1</v>
      </c>
    </row>
    <row r="17" spans="1:29" ht="15.5">
      <c r="A17" s="342"/>
      <c r="B17" s="395"/>
      <c r="C17" s="1746"/>
      <c r="D17" s="381"/>
      <c r="E17" s="380"/>
      <c r="F17" s="382"/>
      <c r="G17" s="380"/>
      <c r="H17" s="381"/>
      <c r="I17" s="380"/>
      <c r="J17" s="381"/>
      <c r="K17" s="535"/>
      <c r="L17" s="2482"/>
      <c r="M17" s="2477"/>
      <c r="N17" s="2477"/>
      <c r="O17" s="2477"/>
      <c r="P17" s="3384"/>
      <c r="Q17" s="1255"/>
      <c r="R17" s="659"/>
      <c r="S17" s="660"/>
      <c r="T17" s="659"/>
      <c r="U17" s="660"/>
      <c r="V17" s="659"/>
      <c r="W17" s="660"/>
      <c r="X17" s="1257"/>
      <c r="Y17" s="3384"/>
      <c r="Z17" s="1256"/>
      <c r="AA17" s="1256">
        <v>1</v>
      </c>
      <c r="AB17" s="1256">
        <v>1</v>
      </c>
      <c r="AC17" s="1256">
        <v>1</v>
      </c>
    </row>
    <row r="18" spans="1:29" ht="15.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84"/>
      <c r="Q18" s="1255" t="str">
        <f>B18</f>
        <v>基础设施水平</v>
      </c>
      <c r="R18" s="659" t="s">
        <v>14</v>
      </c>
      <c r="S18" s="660">
        <f>F18</f>
        <v>100</v>
      </c>
      <c r="T18" s="659" t="s">
        <v>14</v>
      </c>
      <c r="U18" s="660">
        <f>H18</f>
        <v>100</v>
      </c>
      <c r="V18" s="659" t="s">
        <v>14</v>
      </c>
      <c r="W18" s="660">
        <f>J18</f>
        <v>100</v>
      </c>
      <c r="X18" s="1257"/>
      <c r="Y18" s="3384"/>
      <c r="Z18" s="1256" t="str">
        <f>Q18</f>
        <v>基础设施水平</v>
      </c>
      <c r="AA18" s="1256">
        <f t="shared" ref="AA18" si="8">D18/F18</f>
        <v>1</v>
      </c>
      <c r="AB18" s="1256">
        <f t="shared" ref="AB18" si="9">D18/H18</f>
        <v>1</v>
      </c>
      <c r="AC18" s="1256">
        <f t="shared" ref="AC18" si="10">D18/J18</f>
        <v>1</v>
      </c>
    </row>
    <row r="19" spans="1:29" ht="15.5">
      <c r="A19" s="342"/>
      <c r="B19" s="551"/>
      <c r="C19" s="1746"/>
      <c r="D19" s="383"/>
      <c r="E19" s="1746"/>
      <c r="F19" s="386"/>
      <c r="G19" s="1746"/>
      <c r="H19" s="381"/>
      <c r="I19" s="380"/>
      <c r="J19" s="381"/>
      <c r="K19" s="1057"/>
      <c r="L19" s="2482"/>
      <c r="M19" s="2477"/>
      <c r="N19" s="2477"/>
      <c r="O19" s="2477"/>
      <c r="P19" s="3384"/>
      <c r="Q19" s="1255"/>
      <c r="R19" s="659"/>
      <c r="S19" s="660"/>
      <c r="T19" s="659"/>
      <c r="U19" s="660"/>
      <c r="V19" s="659"/>
      <c r="W19" s="660"/>
      <c r="X19" s="1257"/>
      <c r="Y19" s="3384"/>
      <c r="Z19" s="1256"/>
      <c r="AA19" s="1256">
        <v>1</v>
      </c>
      <c r="AB19" s="1256">
        <v>1</v>
      </c>
      <c r="AC19" s="1256">
        <v>1</v>
      </c>
    </row>
    <row r="20" spans="1:29" ht="98">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84"/>
      <c r="Q20" s="1255" t="str">
        <f>B20</f>
        <v>自然及人文环境</v>
      </c>
      <c r="R20" s="659" t="s">
        <v>14</v>
      </c>
      <c r="S20" s="660">
        <f>F20</f>
        <v>100</v>
      </c>
      <c r="T20" s="659" t="s">
        <v>14</v>
      </c>
      <c r="U20" s="660">
        <f>H20</f>
        <v>100</v>
      </c>
      <c r="V20" s="659" t="s">
        <v>14</v>
      </c>
      <c r="W20" s="660">
        <f>J20</f>
        <v>100</v>
      </c>
      <c r="X20" s="1257"/>
      <c r="Y20" s="3384"/>
      <c r="Z20" s="1256" t="str">
        <f>Q20</f>
        <v>自然及人文环境</v>
      </c>
      <c r="AA20" s="1256">
        <f t="shared" si="3"/>
        <v>1</v>
      </c>
      <c r="AB20" s="1256">
        <f t="shared" si="4"/>
        <v>1</v>
      </c>
      <c r="AC20" s="1256">
        <f t="shared" si="5"/>
        <v>1</v>
      </c>
    </row>
    <row r="21" spans="1:29" ht="15.5">
      <c r="A21" s="342"/>
      <c r="B21" s="395"/>
      <c r="C21" s="380"/>
      <c r="D21" s="381"/>
      <c r="E21" s="380"/>
      <c r="F21" s="382"/>
      <c r="G21" s="380"/>
      <c r="H21" s="381"/>
      <c r="I21" s="380"/>
      <c r="J21" s="381"/>
      <c r="K21" s="535"/>
      <c r="L21" s="2482"/>
      <c r="M21" s="2477"/>
      <c r="N21" s="2477"/>
      <c r="O21" s="2477"/>
      <c r="P21" s="3384"/>
      <c r="Q21" s="1255"/>
      <c r="R21" s="659"/>
      <c r="S21" s="660"/>
      <c r="T21" s="659"/>
      <c r="U21" s="660"/>
      <c r="V21" s="659"/>
      <c r="W21" s="660"/>
      <c r="X21" s="1257"/>
      <c r="Y21" s="3384"/>
      <c r="Z21" s="1256"/>
      <c r="AA21" s="1256">
        <v>1</v>
      </c>
      <c r="AB21" s="1256">
        <v>1</v>
      </c>
      <c r="AC21" s="1256">
        <v>1</v>
      </c>
    </row>
    <row r="22" spans="1:29" ht="15.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84"/>
      <c r="Q22" s="1255" t="str">
        <f>B22</f>
        <v>楼层</v>
      </c>
      <c r="R22" s="659" t="s">
        <v>14</v>
      </c>
      <c r="S22" s="660">
        <f>F22</f>
        <v>100</v>
      </c>
      <c r="T22" s="659" t="s">
        <v>14</v>
      </c>
      <c r="U22" s="660">
        <f>H22</f>
        <v>100</v>
      </c>
      <c r="V22" s="659" t="s">
        <v>14</v>
      </c>
      <c r="W22" s="660">
        <f>J22</f>
        <v>100</v>
      </c>
      <c r="X22" s="1257"/>
      <c r="Y22" s="3384"/>
      <c r="Z22" s="1256" t="str">
        <f>Q22</f>
        <v>楼层</v>
      </c>
      <c r="AA22" s="1256">
        <f t="shared" si="3"/>
        <v>1</v>
      </c>
      <c r="AB22" s="1256">
        <f t="shared" si="4"/>
        <v>1</v>
      </c>
      <c r="AC22" s="1256">
        <f t="shared" si="5"/>
        <v>1</v>
      </c>
    </row>
    <row r="23" spans="1:29" ht="15.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84"/>
      <c r="Q23" s="1255">
        <f>B23</f>
        <v>111</v>
      </c>
      <c r="R23" s="659" t="s">
        <v>14</v>
      </c>
      <c r="S23" s="660">
        <f>F23</f>
        <v>100</v>
      </c>
      <c r="T23" s="659" t="s">
        <v>14</v>
      </c>
      <c r="U23" s="660">
        <f>H23</f>
        <v>100</v>
      </c>
      <c r="V23" s="659" t="s">
        <v>14</v>
      </c>
      <c r="W23" s="660">
        <f>J23</f>
        <v>100</v>
      </c>
      <c r="X23" s="1257"/>
      <c r="Y23" s="3384"/>
      <c r="Z23" s="1256">
        <f>Q23</f>
        <v>111</v>
      </c>
      <c r="AA23" s="1256">
        <f t="shared" si="3"/>
        <v>1</v>
      </c>
      <c r="AB23" s="1256">
        <f t="shared" si="4"/>
        <v>1</v>
      </c>
      <c r="AC23" s="1256">
        <f t="shared" si="5"/>
        <v>1</v>
      </c>
    </row>
    <row r="24" spans="1:29" ht="15.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84"/>
      <c r="Q24" s="1255">
        <f t="shared" ref="Q24:Q36" si="11">B24</f>
        <v>111</v>
      </c>
      <c r="R24" s="659" t="s">
        <v>14</v>
      </c>
      <c r="S24" s="660">
        <f>F24</f>
        <v>100</v>
      </c>
      <c r="T24" s="659" t="s">
        <v>14</v>
      </c>
      <c r="U24" s="660">
        <f>H24</f>
        <v>100</v>
      </c>
      <c r="V24" s="659" t="s">
        <v>14</v>
      </c>
      <c r="W24" s="660">
        <f>J24</f>
        <v>100</v>
      </c>
      <c r="X24" s="1257"/>
      <c r="Y24" s="3384"/>
      <c r="Z24" s="1256">
        <f>Q24</f>
        <v>111</v>
      </c>
      <c r="AA24" s="1256">
        <f t="shared" si="3"/>
        <v>1</v>
      </c>
      <c r="AB24" s="1256">
        <f t="shared" si="4"/>
        <v>1</v>
      </c>
      <c r="AC24" s="1256">
        <f t="shared" si="5"/>
        <v>1</v>
      </c>
    </row>
    <row r="25" spans="1:29" s="102" customFormat="1" ht="16"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84"/>
      <c r="Q25" s="524">
        <f t="shared" si="11"/>
        <v>111</v>
      </c>
      <c r="R25" s="656" t="s">
        <v>14</v>
      </c>
      <c r="S25" s="657">
        <f>F25</f>
        <v>100</v>
      </c>
      <c r="T25" s="656" t="s">
        <v>14</v>
      </c>
      <c r="U25" s="657">
        <f>H25</f>
        <v>100</v>
      </c>
      <c r="V25" s="656" t="s">
        <v>14</v>
      </c>
      <c r="W25" s="657">
        <f>J25</f>
        <v>100</v>
      </c>
      <c r="X25" s="658"/>
      <c r="Y25" s="3384"/>
      <c r="Z25" s="50">
        <f>Q25</f>
        <v>111</v>
      </c>
      <c r="AA25" s="1256">
        <f>D25/F25</f>
        <v>1</v>
      </c>
      <c r="AB25" s="1256">
        <f>D25/H25</f>
        <v>1</v>
      </c>
      <c r="AC25" s="1256">
        <f>D25/J25</f>
        <v>1</v>
      </c>
    </row>
    <row r="26" spans="1:29" ht="29">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85"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86" t="s">
        <v>1696</v>
      </c>
      <c r="Z26" s="1256" t="str">
        <f t="shared" ref="Z26:Z36" si="15">Q26</f>
        <v>配套类型</v>
      </c>
      <c r="AA26" s="1256" t="e">
        <f t="shared" si="3"/>
        <v>#DIV/0!</v>
      </c>
      <c r="AB26" s="1256" t="e">
        <f t="shared" si="4"/>
        <v>#DIV/0!</v>
      </c>
      <c r="AC26" s="1256" t="e">
        <f t="shared" si="5"/>
        <v>#DIV/0!</v>
      </c>
    </row>
    <row r="27" spans="1:29" s="402" customFormat="1" ht="15.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86"/>
      <c r="Q27" s="525" t="str">
        <f t="shared" si="11"/>
        <v>项目停车位配比</v>
      </c>
      <c r="R27" s="661" t="s">
        <v>14</v>
      </c>
      <c r="S27" s="662">
        <f t="shared" si="12"/>
        <v>100</v>
      </c>
      <c r="T27" s="661" t="s">
        <v>14</v>
      </c>
      <c r="U27" s="662">
        <f t="shared" si="13"/>
        <v>100</v>
      </c>
      <c r="V27" s="661" t="s">
        <v>14</v>
      </c>
      <c r="W27" s="662">
        <f t="shared" si="14"/>
        <v>100</v>
      </c>
      <c r="X27" s="663"/>
      <c r="Y27" s="3386"/>
      <c r="Z27" s="664" t="str">
        <f t="shared" si="15"/>
        <v>项目停车位配比</v>
      </c>
      <c r="AA27" s="1256">
        <f t="shared" si="3"/>
        <v>1</v>
      </c>
      <c r="AB27" s="1256">
        <f t="shared" si="4"/>
        <v>1</v>
      </c>
      <c r="AC27" s="1256">
        <f t="shared" si="5"/>
        <v>1</v>
      </c>
    </row>
    <row r="28" spans="1:29" ht="15.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86"/>
      <c r="Q28" s="1255" t="str">
        <f t="shared" si="11"/>
        <v>公共部分装修</v>
      </c>
      <c r="R28" s="659" t="s">
        <v>14</v>
      </c>
      <c r="S28" s="660">
        <f t="shared" si="12"/>
        <v>100</v>
      </c>
      <c r="T28" s="659" t="s">
        <v>14</v>
      </c>
      <c r="U28" s="660">
        <f t="shared" si="13"/>
        <v>100</v>
      </c>
      <c r="V28" s="659" t="s">
        <v>14</v>
      </c>
      <c r="W28" s="660">
        <f t="shared" si="14"/>
        <v>100</v>
      </c>
      <c r="X28" s="1257"/>
      <c r="Y28" s="3386"/>
      <c r="Z28" s="1256" t="str">
        <f t="shared" si="15"/>
        <v>公共部分装修</v>
      </c>
      <c r="AA28" s="1256">
        <f t="shared" si="3"/>
        <v>1</v>
      </c>
      <c r="AB28" s="1256">
        <f t="shared" si="4"/>
        <v>1</v>
      </c>
      <c r="AC28" s="1256">
        <f t="shared" si="5"/>
        <v>1</v>
      </c>
    </row>
    <row r="29" spans="1:29" ht="15.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86"/>
      <c r="Q29" s="1255" t="str">
        <f t="shared" si="11"/>
        <v>成新率</v>
      </c>
      <c r="R29" s="659" t="s">
        <v>14</v>
      </c>
      <c r="S29" s="660" t="e">
        <f t="shared" si="12"/>
        <v>#N/A</v>
      </c>
      <c r="T29" s="659" t="s">
        <v>14</v>
      </c>
      <c r="U29" s="660" t="e">
        <f t="shared" si="13"/>
        <v>#N/A</v>
      </c>
      <c r="V29" s="659" t="s">
        <v>14</v>
      </c>
      <c r="W29" s="660" t="e">
        <f t="shared" si="14"/>
        <v>#N/A</v>
      </c>
      <c r="X29" s="1257"/>
      <c r="Y29" s="3386"/>
      <c r="Z29" s="1256" t="str">
        <f t="shared" si="15"/>
        <v>成新率</v>
      </c>
      <c r="AA29" s="1256" t="e">
        <f t="shared" si="3"/>
        <v>#N/A</v>
      </c>
      <c r="AB29" s="1256" t="e">
        <f t="shared" si="4"/>
        <v>#N/A</v>
      </c>
      <c r="AC29" s="1256" t="e">
        <f t="shared" si="5"/>
        <v>#N/A</v>
      </c>
    </row>
    <row r="30" spans="1:29" ht="15.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86"/>
      <c r="Q30" s="1255" t="str">
        <f t="shared" si="11"/>
        <v>物业等级</v>
      </c>
      <c r="R30" s="659" t="s">
        <v>14</v>
      </c>
      <c r="S30" s="660">
        <f t="shared" si="12"/>
        <v>100</v>
      </c>
      <c r="T30" s="659" t="s">
        <v>14</v>
      </c>
      <c r="U30" s="660">
        <f t="shared" si="13"/>
        <v>100</v>
      </c>
      <c r="V30" s="659" t="s">
        <v>14</v>
      </c>
      <c r="W30" s="660">
        <f t="shared" si="14"/>
        <v>100</v>
      </c>
      <c r="X30" s="1257"/>
      <c r="Y30" s="3386"/>
      <c r="Z30" s="1256" t="str">
        <f t="shared" si="15"/>
        <v>物业等级</v>
      </c>
      <c r="AA30" s="1256">
        <f t="shared" si="3"/>
        <v>1</v>
      </c>
      <c r="AB30" s="1256">
        <f t="shared" si="4"/>
        <v>1</v>
      </c>
      <c r="AC30" s="1256">
        <f t="shared" si="5"/>
        <v>1</v>
      </c>
    </row>
    <row r="31" spans="1:29" s="102" customFormat="1" ht="15.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86"/>
      <c r="Q31" s="524" t="str">
        <f t="shared" si="11"/>
        <v>停车位面积</v>
      </c>
      <c r="R31" s="656" t="s">
        <v>14</v>
      </c>
      <c r="S31" s="657" t="e">
        <f t="shared" si="12"/>
        <v>#N/A</v>
      </c>
      <c r="T31" s="656" t="s">
        <v>14</v>
      </c>
      <c r="U31" s="657" t="e">
        <f t="shared" si="13"/>
        <v>#N/A</v>
      </c>
      <c r="V31" s="656" t="s">
        <v>14</v>
      </c>
      <c r="W31" s="657" t="e">
        <f t="shared" si="14"/>
        <v>#N/A</v>
      </c>
      <c r="X31" s="658"/>
      <c r="Y31" s="3386"/>
      <c r="Z31" s="50" t="str">
        <f t="shared" si="15"/>
        <v>停车位面积</v>
      </c>
      <c r="AA31" s="50" t="e">
        <f t="shared" si="3"/>
        <v>#N/A</v>
      </c>
      <c r="AB31" s="50" t="e">
        <f t="shared" si="4"/>
        <v>#N/A</v>
      </c>
      <c r="AC31" s="50" t="e">
        <f t="shared" si="5"/>
        <v>#N/A</v>
      </c>
    </row>
    <row r="32" spans="1:29" ht="15.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86" t="s">
        <v>1696</v>
      </c>
      <c r="Q32" s="1255" t="str">
        <f t="shared" si="11"/>
        <v>车位类型</v>
      </c>
      <c r="R32" s="659" t="s">
        <v>14</v>
      </c>
      <c r="S32" s="660">
        <f t="shared" si="12"/>
        <v>100</v>
      </c>
      <c r="T32" s="659" t="s">
        <v>14</v>
      </c>
      <c r="U32" s="660">
        <f t="shared" si="13"/>
        <v>100</v>
      </c>
      <c r="V32" s="659" t="s">
        <v>14</v>
      </c>
      <c r="W32" s="660">
        <f t="shared" si="14"/>
        <v>100</v>
      </c>
      <c r="X32" s="1257"/>
      <c r="Y32" s="3386" t="s">
        <v>1696</v>
      </c>
      <c r="Z32" s="1256" t="str">
        <f t="shared" si="15"/>
        <v>车位类型</v>
      </c>
      <c r="AA32" s="1256">
        <f t="shared" si="3"/>
        <v>1</v>
      </c>
      <c r="AB32" s="1256">
        <f t="shared" si="4"/>
        <v>1</v>
      </c>
      <c r="AC32" s="1256">
        <f t="shared" si="5"/>
        <v>1</v>
      </c>
    </row>
    <row r="33" spans="1:29" ht="15.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86"/>
      <c r="Q33" s="1255" t="str">
        <f t="shared" si="11"/>
        <v>是否直接入户</v>
      </c>
      <c r="R33" s="659" t="s">
        <v>14</v>
      </c>
      <c r="S33" s="660">
        <f t="shared" si="12"/>
        <v>100</v>
      </c>
      <c r="T33" s="659" t="s">
        <v>14</v>
      </c>
      <c r="U33" s="660">
        <f t="shared" si="13"/>
        <v>100</v>
      </c>
      <c r="V33" s="659" t="s">
        <v>14</v>
      </c>
      <c r="W33" s="660">
        <f t="shared" si="14"/>
        <v>100</v>
      </c>
      <c r="X33" s="1257"/>
      <c r="Y33" s="3386"/>
      <c r="Z33" s="1256" t="str">
        <f t="shared" si="15"/>
        <v>是否直接入户</v>
      </c>
      <c r="AA33" s="1256">
        <f t="shared" si="3"/>
        <v>1</v>
      </c>
      <c r="AB33" s="1256">
        <f t="shared" si="4"/>
        <v>1</v>
      </c>
      <c r="AC33" s="1256">
        <f t="shared" si="5"/>
        <v>1</v>
      </c>
    </row>
    <row r="34" spans="1:29" ht="15.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86"/>
      <c r="Q34" s="1255">
        <f t="shared" si="11"/>
        <v>111</v>
      </c>
      <c r="R34" s="659" t="s">
        <v>14</v>
      </c>
      <c r="S34" s="660">
        <f t="shared" si="12"/>
        <v>100</v>
      </c>
      <c r="T34" s="659" t="s">
        <v>14</v>
      </c>
      <c r="U34" s="660">
        <f t="shared" si="13"/>
        <v>100</v>
      </c>
      <c r="V34" s="659" t="s">
        <v>14</v>
      </c>
      <c r="W34" s="660">
        <f t="shared" si="14"/>
        <v>100</v>
      </c>
      <c r="X34" s="1257"/>
      <c r="Y34" s="3386"/>
      <c r="Z34" s="1256">
        <f t="shared" si="15"/>
        <v>111</v>
      </c>
      <c r="AA34" s="1256">
        <f t="shared" si="3"/>
        <v>1</v>
      </c>
      <c r="AB34" s="1256">
        <f t="shared" si="4"/>
        <v>1</v>
      </c>
      <c r="AC34" s="1256">
        <f t="shared" si="5"/>
        <v>1</v>
      </c>
    </row>
    <row r="35" spans="1:29" s="402" customFormat="1" ht="15.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86"/>
      <c r="Q35" s="525">
        <f t="shared" si="11"/>
        <v>111</v>
      </c>
      <c r="R35" s="661" t="s">
        <v>14</v>
      </c>
      <c r="S35" s="662">
        <f t="shared" si="12"/>
        <v>100</v>
      </c>
      <c r="T35" s="661" t="s">
        <v>14</v>
      </c>
      <c r="U35" s="662">
        <f t="shared" si="13"/>
        <v>100</v>
      </c>
      <c r="V35" s="661" t="s">
        <v>14</v>
      </c>
      <c r="W35" s="662">
        <f t="shared" si="14"/>
        <v>100</v>
      </c>
      <c r="X35" s="663"/>
      <c r="Y35" s="3386"/>
      <c r="Z35" s="664">
        <f t="shared" si="15"/>
        <v>111</v>
      </c>
      <c r="AA35" s="1256">
        <f t="shared" si="3"/>
        <v>1</v>
      </c>
      <c r="AB35" s="1256">
        <f t="shared" si="4"/>
        <v>1</v>
      </c>
      <c r="AC35" s="1256">
        <f t="shared" si="5"/>
        <v>1</v>
      </c>
    </row>
    <row r="36" spans="1:29" ht="16"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86"/>
      <c r="Q36" s="1255">
        <f t="shared" si="11"/>
        <v>111</v>
      </c>
      <c r="R36" s="659" t="s">
        <v>14</v>
      </c>
      <c r="S36" s="660">
        <f t="shared" si="12"/>
        <v>100</v>
      </c>
      <c r="T36" s="659" t="s">
        <v>14</v>
      </c>
      <c r="U36" s="660">
        <f t="shared" si="13"/>
        <v>100</v>
      </c>
      <c r="V36" s="659" t="s">
        <v>14</v>
      </c>
      <c r="W36" s="660">
        <f t="shared" si="14"/>
        <v>100</v>
      </c>
      <c r="X36" s="1257"/>
      <c r="Y36" s="3386"/>
      <c r="Z36" s="1256">
        <f t="shared" si="15"/>
        <v>111</v>
      </c>
      <c r="AA36" s="1256">
        <f t="shared" si="3"/>
        <v>1</v>
      </c>
      <c r="AB36" s="1256">
        <f t="shared" si="4"/>
        <v>1</v>
      </c>
      <c r="AC36" s="1256">
        <f t="shared" si="5"/>
        <v>1</v>
      </c>
    </row>
    <row r="37" spans="1:29">
      <c r="A37" s="410" t="s">
        <v>1844</v>
      </c>
      <c r="B37" s="1812" t="s">
        <v>3349</v>
      </c>
      <c r="C37" s="1074" t="s">
        <v>0</v>
      </c>
      <c r="D37" s="412"/>
      <c r="E37" s="413"/>
      <c r="F37" s="414"/>
      <c r="G37" s="415"/>
      <c r="H37" s="416"/>
      <c r="I37" s="413"/>
      <c r="J37" s="416"/>
      <c r="K37" s="539"/>
      <c r="L37" s="2484"/>
      <c r="M37" s="2477"/>
      <c r="N37" s="2477"/>
      <c r="O37" s="2477"/>
      <c r="P37" s="3368" t="str">
        <f>A37</f>
        <v>成交单价</v>
      </c>
      <c r="Q37" s="3368"/>
      <c r="R37" s="3381">
        <f>E37</f>
        <v>0</v>
      </c>
      <c r="S37" s="3381"/>
      <c r="T37" s="3381">
        <f>G37</f>
        <v>0</v>
      </c>
      <c r="U37" s="3381"/>
      <c r="V37" s="3381">
        <f>I37</f>
        <v>0</v>
      </c>
      <c r="W37" s="3381"/>
      <c r="X37" s="379"/>
      <c r="Y37" s="665"/>
      <c r="Z37" s="379"/>
      <c r="AA37" s="379"/>
      <c r="AB37" s="379"/>
      <c r="AC37" s="379"/>
    </row>
    <row r="38" spans="1:29" ht="14.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68" t="str">
        <f>A38</f>
        <v>比较价值（元/平方米）</v>
      </c>
      <c r="Q38" s="3368"/>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79"/>
      <c r="Y38" s="379"/>
      <c r="Z38" s="379"/>
      <c r="AA38" s="379"/>
      <c r="AB38" s="379"/>
      <c r="AC38" s="379"/>
    </row>
    <row r="39" spans="1:29" ht="14.5" thickBot="1">
      <c r="A39" s="421" t="s">
        <v>1846</v>
      </c>
      <c r="B39" s="422"/>
      <c r="C39" s="345" t="e">
        <f>R39</f>
        <v>#DIV/0!</v>
      </c>
      <c r="D39" s="345"/>
      <c r="E39" s="345"/>
      <c r="F39" s="345"/>
      <c r="G39" s="345"/>
      <c r="H39" s="345"/>
      <c r="I39" s="345"/>
      <c r="J39" s="345"/>
      <c r="K39" s="540"/>
      <c r="L39" s="2484"/>
      <c r="M39" s="2477"/>
      <c r="N39" s="2477"/>
      <c r="O39" s="2477"/>
      <c r="P39" s="3388" t="str">
        <f>A39</f>
        <v>估价对象XX用房的比较价值（楼面单价，元/平方米）</v>
      </c>
      <c r="Q39" s="3389"/>
      <c r="R39" s="3444" t="e">
        <f>IF(F1="售价",ROUND(IF(D38="简单平均",AVERAGE(R38:W38),R38*F38+T38*H38+V38*J38),0),ROUND(IF(D38="简单平均",AVERAGE(R38:V38),R38*F38+T38*H38+V38*J38),1))</f>
        <v>#DIV/0!</v>
      </c>
      <c r="S39" s="3444"/>
      <c r="T39" s="3444"/>
      <c r="U39" s="3444"/>
      <c r="V39" s="3444"/>
      <c r="W39" s="3444"/>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c r="A48" s="434" t="s">
        <v>1851</v>
      </c>
      <c r="B48" s="435"/>
      <c r="C48" s="1095" t="str">
        <f>YEAR(C7)&amp;"-"&amp;MONTH(C7)</f>
        <v>2023-11</v>
      </c>
      <c r="D48" s="1096">
        <f>EDATE(C48,-1)</f>
        <v>45200</v>
      </c>
      <c r="E48" s="1096">
        <f t="shared" ref="E48:O48" si="16">EDATE(D48,-1)</f>
        <v>45170</v>
      </c>
      <c r="F48" s="1096">
        <f t="shared" si="16"/>
        <v>45139</v>
      </c>
      <c r="G48" s="1096">
        <f t="shared" si="16"/>
        <v>45108</v>
      </c>
      <c r="H48" s="1096">
        <f t="shared" si="16"/>
        <v>45078</v>
      </c>
      <c r="I48" s="1096">
        <f t="shared" si="16"/>
        <v>45047</v>
      </c>
      <c r="J48" s="1096">
        <f t="shared" si="16"/>
        <v>45017</v>
      </c>
      <c r="K48" s="1096">
        <f t="shared" si="16"/>
        <v>44986</v>
      </c>
      <c r="L48" s="1096">
        <f t="shared" si="16"/>
        <v>44958</v>
      </c>
      <c r="M48" s="1096">
        <f t="shared" si="16"/>
        <v>44927</v>
      </c>
      <c r="N48" s="1096">
        <f t="shared" si="16"/>
        <v>44896</v>
      </c>
      <c r="O48" s="1096">
        <f t="shared" si="16"/>
        <v>44866</v>
      </c>
      <c r="P48" s="2517"/>
      <c r="Q48" s="2500"/>
      <c r="R48" s="2500"/>
      <c r="S48" s="2500"/>
      <c r="T48" s="2500"/>
      <c r="U48" s="2500"/>
      <c r="V48" s="2500"/>
      <c r="W48" s="2500"/>
      <c r="X48" s="2500"/>
      <c r="Y48" s="2500"/>
      <c r="Z48" s="2500"/>
      <c r="AA48" s="2500"/>
      <c r="AB48" s="2500"/>
      <c r="AC48" s="2500"/>
    </row>
    <row r="49" spans="1:29" s="102" customFormat="1">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4.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4.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4.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8.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4.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4.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4.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4.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4.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4.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4.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4.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4.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4.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4.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4.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4.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4.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4.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4.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4.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4.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4.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4.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4.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4.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4.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8.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4.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4.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4.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4.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4.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4.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4.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4.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4.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4.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4.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4.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4.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4.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4.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4.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4.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4.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4.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4.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4.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4.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1" customWidth="1"/>
    <col min="2" max="2" width="15.7265625" style="341" customWidth="1"/>
    <col min="3" max="3" width="14.3632812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341"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1142" customFormat="1" ht="28.5" customHeight="1" thickBot="1">
      <c r="A1" s="1131" t="s">
        <v>1831</v>
      </c>
      <c r="B1" s="1132" t="s">
        <v>3329</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 thickBot="1">
      <c r="A6" s="344"/>
      <c r="B6" s="345"/>
      <c r="C6" s="3364" t="s">
        <v>1677</v>
      </c>
      <c r="D6" s="3365"/>
      <c r="E6" s="3366" t="s">
        <v>1677</v>
      </c>
      <c r="F6" s="3367"/>
      <c r="G6" s="3364" t="s">
        <v>1677</v>
      </c>
      <c r="H6" s="3365"/>
      <c r="I6" s="3364" t="s">
        <v>1677</v>
      </c>
      <c r="J6" s="3365"/>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54" t="s">
        <v>1680</v>
      </c>
      <c r="Q7" s="3382"/>
      <c r="R7" s="656" t="s">
        <v>14</v>
      </c>
      <c r="S7" s="657">
        <f t="shared" ref="S7:S14" si="0">F7</f>
        <v>0</v>
      </c>
      <c r="T7" s="656" t="s">
        <v>14</v>
      </c>
      <c r="U7" s="657">
        <f t="shared" ref="U7:U14" si="1">H7</f>
        <v>0</v>
      </c>
      <c r="V7" s="656" t="s">
        <v>14</v>
      </c>
      <c r="W7" s="657">
        <f t="shared" ref="W7:W14" si="2">J7</f>
        <v>0</v>
      </c>
      <c r="X7" s="658"/>
      <c r="Y7" s="3354" t="s">
        <v>1680</v>
      </c>
      <c r="Z7" s="3355"/>
      <c r="AA7" s="50" t="e">
        <f>D7/F7</f>
        <v>#DIV/0!</v>
      </c>
      <c r="AB7" s="50" t="e">
        <f>D7/H7</f>
        <v>#DIV/0!</v>
      </c>
      <c r="AC7" s="50" t="e">
        <f>D7/J7</f>
        <v>#DIV/0!</v>
      </c>
    </row>
    <row r="8" spans="1:29" s="102" customFormat="1" ht="14.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54" t="s">
        <v>1683</v>
      </c>
      <c r="Q8" s="3355"/>
      <c r="R8" s="656" t="s">
        <v>14</v>
      </c>
      <c r="S8" s="657">
        <f t="shared" si="0"/>
        <v>100</v>
      </c>
      <c r="T8" s="656" t="s">
        <v>14</v>
      </c>
      <c r="U8" s="657">
        <f t="shared" si="1"/>
        <v>100</v>
      </c>
      <c r="V8" s="656" t="s">
        <v>14</v>
      </c>
      <c r="W8" s="657">
        <f t="shared" si="2"/>
        <v>100</v>
      </c>
      <c r="X8" s="658"/>
      <c r="Y8" s="3354" t="s">
        <v>1683</v>
      </c>
      <c r="Z8" s="3355"/>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68" t="s">
        <v>1686</v>
      </c>
      <c r="Q9" s="524" t="str">
        <f t="shared" ref="Q9:Q14" si="6">B9</f>
        <v>用途</v>
      </c>
      <c r="R9" s="656" t="s">
        <v>14</v>
      </c>
      <c r="S9" s="657">
        <f t="shared" si="0"/>
        <v>100</v>
      </c>
      <c r="T9" s="656" t="s">
        <v>14</v>
      </c>
      <c r="U9" s="657">
        <f t="shared" si="1"/>
        <v>100</v>
      </c>
      <c r="V9" s="656" t="s">
        <v>14</v>
      </c>
      <c r="W9" s="657">
        <f t="shared" si="2"/>
        <v>100</v>
      </c>
      <c r="X9" s="658"/>
      <c r="Y9" s="3327" t="s">
        <v>1687</v>
      </c>
      <c r="Z9" s="50" t="str">
        <f t="shared" ref="Z9:Z14" si="7">Q9</f>
        <v>用途</v>
      </c>
      <c r="AA9" s="50">
        <f t="shared" si="3"/>
        <v>1</v>
      </c>
      <c r="AB9" s="50">
        <f t="shared" si="4"/>
        <v>1</v>
      </c>
      <c r="AC9" s="50">
        <f t="shared" si="5"/>
        <v>1</v>
      </c>
    </row>
    <row r="10" spans="1:29" s="360" customFormat="1" ht="28">
      <c r="A10" s="357"/>
      <c r="B10" s="358" t="s">
        <v>1688</v>
      </c>
      <c r="C10" s="3121"/>
      <c r="D10" s="113">
        <v>100</v>
      </c>
      <c r="E10" s="3121"/>
      <c r="F10" s="358">
        <f>SUMIF(53:53,E10,54:54)-SUMIF(53:53,C10,54:54)+100</f>
        <v>100</v>
      </c>
      <c r="G10" s="3121"/>
      <c r="H10" s="113">
        <f>SUMIF(53:53,G10,54:54)-SUMIF(53:53,C10,54:54)+100</f>
        <v>100</v>
      </c>
      <c r="I10" s="3121"/>
      <c r="J10" s="113">
        <f>SUMIF(53:53,I10,54:54)-SUMIF(53:53,C10,54:54)+100</f>
        <v>100</v>
      </c>
      <c r="K10" s="38"/>
      <c r="L10" s="2479"/>
      <c r="M10" s="2480"/>
      <c r="N10" s="2480"/>
      <c r="O10" s="2531"/>
      <c r="P10" s="3368"/>
      <c r="Q10" s="524" t="str">
        <f t="shared" si="6"/>
        <v>土地使用年限（年）</v>
      </c>
      <c r="R10" s="656" t="s">
        <v>14</v>
      </c>
      <c r="S10" s="657">
        <f t="shared" si="0"/>
        <v>100</v>
      </c>
      <c r="T10" s="656" t="s">
        <v>14</v>
      </c>
      <c r="U10" s="657">
        <f t="shared" si="1"/>
        <v>100</v>
      </c>
      <c r="V10" s="656" t="s">
        <v>14</v>
      </c>
      <c r="W10" s="657">
        <f t="shared" si="2"/>
        <v>100</v>
      </c>
      <c r="X10" s="658"/>
      <c r="Y10" s="3327"/>
      <c r="Z10" s="50" t="str">
        <f t="shared" si="7"/>
        <v>土地使用年限（年）</v>
      </c>
      <c r="AA10" s="50">
        <f t="shared" si="3"/>
        <v>1</v>
      </c>
      <c r="AB10" s="50">
        <f t="shared" si="4"/>
        <v>1</v>
      </c>
      <c r="AC10" s="50">
        <f t="shared" si="5"/>
        <v>1</v>
      </c>
    </row>
    <row r="11" spans="1:29" ht="15.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68"/>
      <c r="Q11" s="524">
        <f t="shared" si="6"/>
        <v>111</v>
      </c>
      <c r="R11" s="656" t="s">
        <v>14</v>
      </c>
      <c r="S11" s="657">
        <f t="shared" si="0"/>
        <v>100</v>
      </c>
      <c r="T11" s="656" t="s">
        <v>14</v>
      </c>
      <c r="U11" s="657">
        <f t="shared" si="1"/>
        <v>100</v>
      </c>
      <c r="V11" s="656" t="s">
        <v>14</v>
      </c>
      <c r="W11" s="657">
        <f t="shared" si="2"/>
        <v>100</v>
      </c>
      <c r="X11" s="658"/>
      <c r="Y11" s="3327"/>
      <c r="Z11" s="50">
        <f t="shared" si="7"/>
        <v>111</v>
      </c>
      <c r="AA11" s="50">
        <f t="shared" si="3"/>
        <v>1</v>
      </c>
      <c r="AB11" s="50">
        <f t="shared" si="4"/>
        <v>1</v>
      </c>
      <c r="AC11" s="50">
        <f t="shared" si="5"/>
        <v>1</v>
      </c>
    </row>
    <row r="12" spans="1:29" s="102" customFormat="1" ht="15.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6"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54">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83" t="s">
        <v>1691</v>
      </c>
      <c r="Q14" s="1255" t="str">
        <f t="shared" si="6"/>
        <v>交通便捷度</v>
      </c>
      <c r="R14" s="659" t="s">
        <v>14</v>
      </c>
      <c r="S14" s="660">
        <f t="shared" si="0"/>
        <v>100</v>
      </c>
      <c r="T14" s="659" t="s">
        <v>14</v>
      </c>
      <c r="U14" s="660">
        <f t="shared" si="1"/>
        <v>100</v>
      </c>
      <c r="V14" s="659" t="s">
        <v>14</v>
      </c>
      <c r="W14" s="660">
        <f t="shared" si="2"/>
        <v>100</v>
      </c>
      <c r="X14" s="1257"/>
      <c r="Y14" s="3383" t="s">
        <v>1691</v>
      </c>
      <c r="Z14" s="1256" t="str">
        <f t="shared" si="7"/>
        <v>交通便捷度</v>
      </c>
      <c r="AA14" s="1256">
        <f t="shared" si="3"/>
        <v>1</v>
      </c>
      <c r="AB14" s="1256">
        <f t="shared" si="4"/>
        <v>1</v>
      </c>
      <c r="AC14" s="1256">
        <f t="shared" si="5"/>
        <v>1</v>
      </c>
    </row>
    <row r="15" spans="1:29" ht="15.5">
      <c r="A15" s="361"/>
      <c r="B15" s="379"/>
      <c r="C15" s="380"/>
      <c r="D15" s="381"/>
      <c r="E15" s="380"/>
      <c r="F15" s="382"/>
      <c r="G15" s="380"/>
      <c r="H15" s="383"/>
      <c r="I15" s="380"/>
      <c r="J15" s="381"/>
      <c r="K15" s="535"/>
      <c r="L15" s="2482"/>
      <c r="M15" s="2477"/>
      <c r="N15" s="2477"/>
      <c r="O15" s="2532"/>
      <c r="P15" s="3384"/>
      <c r="Q15" s="1255"/>
      <c r="R15" s="659"/>
      <c r="S15" s="660"/>
      <c r="T15" s="659"/>
      <c r="U15" s="660"/>
      <c r="V15" s="659"/>
      <c r="W15" s="660"/>
      <c r="X15" s="1257"/>
      <c r="Y15" s="3384"/>
      <c r="Z15" s="1256"/>
      <c r="AA15" s="1256">
        <v>1</v>
      </c>
      <c r="AB15" s="1256">
        <v>1</v>
      </c>
      <c r="AC15" s="1256">
        <v>1</v>
      </c>
    </row>
    <row r="16" spans="1:29" ht="56">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84"/>
      <c r="Q16" s="1255" t="str">
        <f>B16</f>
        <v>公共配套设施</v>
      </c>
      <c r="R16" s="659" t="s">
        <v>14</v>
      </c>
      <c r="S16" s="660">
        <f>F16</f>
        <v>100</v>
      </c>
      <c r="T16" s="659" t="s">
        <v>14</v>
      </c>
      <c r="U16" s="660">
        <f>H16</f>
        <v>100</v>
      </c>
      <c r="V16" s="659" t="s">
        <v>14</v>
      </c>
      <c r="W16" s="660">
        <f>J16</f>
        <v>100</v>
      </c>
      <c r="X16" s="1257"/>
      <c r="Y16" s="3384"/>
      <c r="Z16" s="1256" t="str">
        <f>Q16</f>
        <v>公共配套设施</v>
      </c>
      <c r="AA16" s="1256">
        <f t="shared" si="3"/>
        <v>1</v>
      </c>
      <c r="AB16" s="1256">
        <f t="shared" si="4"/>
        <v>1</v>
      </c>
      <c r="AC16" s="1256">
        <f t="shared" si="5"/>
        <v>1</v>
      </c>
    </row>
    <row r="17" spans="1:29" ht="15.5">
      <c r="A17" s="361"/>
      <c r="B17" s="389"/>
      <c r="C17" s="1746"/>
      <c r="D17" s="381"/>
      <c r="E17" s="380"/>
      <c r="F17" s="382"/>
      <c r="G17" s="380"/>
      <c r="H17" s="381"/>
      <c r="I17" s="380"/>
      <c r="J17" s="381"/>
      <c r="K17" s="535"/>
      <c r="L17" s="2482"/>
      <c r="M17" s="2477"/>
      <c r="N17" s="2477"/>
      <c r="O17" s="2532"/>
      <c r="P17" s="3384"/>
      <c r="Q17" s="1255"/>
      <c r="R17" s="659"/>
      <c r="S17" s="660"/>
      <c r="T17" s="659"/>
      <c r="U17" s="660"/>
      <c r="V17" s="659"/>
      <c r="W17" s="660"/>
      <c r="X17" s="1257"/>
      <c r="Y17" s="3384"/>
      <c r="Z17" s="1256"/>
      <c r="AA17" s="1256">
        <v>1</v>
      </c>
      <c r="AB17" s="1256">
        <v>1</v>
      </c>
      <c r="AC17" s="1256">
        <v>1</v>
      </c>
    </row>
    <row r="18" spans="1:29" ht="15.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84"/>
      <c r="Q18" s="1255" t="str">
        <f>B18</f>
        <v>基础设施水平</v>
      </c>
      <c r="R18" s="659" t="s">
        <v>14</v>
      </c>
      <c r="S18" s="660">
        <f>F18</f>
        <v>100</v>
      </c>
      <c r="T18" s="659" t="s">
        <v>14</v>
      </c>
      <c r="U18" s="660">
        <f>H18</f>
        <v>100</v>
      </c>
      <c r="V18" s="659" t="s">
        <v>14</v>
      </c>
      <c r="W18" s="660">
        <f>J18</f>
        <v>100</v>
      </c>
      <c r="X18" s="1257"/>
      <c r="Y18" s="3384"/>
      <c r="Z18" s="1256" t="str">
        <f>Q18</f>
        <v>基础设施水平</v>
      </c>
      <c r="AA18" s="1256">
        <f t="shared" ref="AA18" si="8">D18/F18</f>
        <v>1</v>
      </c>
      <c r="AB18" s="1256">
        <f t="shared" ref="AB18" si="9">D18/H18</f>
        <v>1</v>
      </c>
      <c r="AC18" s="1256">
        <f t="shared" ref="AC18" si="10">D18/J18</f>
        <v>1</v>
      </c>
    </row>
    <row r="19" spans="1:29" ht="15.5">
      <c r="A19" s="361"/>
      <c r="B19" s="580"/>
      <c r="C19" s="1746"/>
      <c r="D19" s="383"/>
      <c r="E19" s="1746"/>
      <c r="F19" s="386"/>
      <c r="G19" s="1746"/>
      <c r="H19" s="381"/>
      <c r="I19" s="380"/>
      <c r="J19" s="381"/>
      <c r="K19" s="1057"/>
      <c r="L19" s="2482"/>
      <c r="M19" s="2477"/>
      <c r="N19" s="2477"/>
      <c r="O19" s="2532"/>
      <c r="P19" s="3384"/>
      <c r="Q19" s="1255"/>
      <c r="R19" s="659"/>
      <c r="S19" s="660"/>
      <c r="T19" s="659"/>
      <c r="U19" s="660"/>
      <c r="V19" s="659"/>
      <c r="W19" s="660"/>
      <c r="X19" s="1257"/>
      <c r="Y19" s="3384"/>
      <c r="Z19" s="1256"/>
      <c r="AA19" s="1256">
        <v>1</v>
      </c>
      <c r="AB19" s="1256">
        <v>1</v>
      </c>
      <c r="AC19" s="1256">
        <v>1</v>
      </c>
    </row>
    <row r="20" spans="1:29" ht="98">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84"/>
      <c r="Q20" s="1255" t="str">
        <f>B20</f>
        <v>自然及人文环境</v>
      </c>
      <c r="R20" s="659" t="s">
        <v>14</v>
      </c>
      <c r="S20" s="660">
        <f>F20</f>
        <v>100</v>
      </c>
      <c r="T20" s="659" t="s">
        <v>14</v>
      </c>
      <c r="U20" s="660">
        <f>H20</f>
        <v>100</v>
      </c>
      <c r="V20" s="659" t="s">
        <v>14</v>
      </c>
      <c r="W20" s="660">
        <f>J20</f>
        <v>100</v>
      </c>
      <c r="X20" s="1257"/>
      <c r="Y20" s="3384"/>
      <c r="Z20" s="1256" t="str">
        <f>Q20</f>
        <v>自然及人文环境</v>
      </c>
      <c r="AA20" s="1256">
        <f t="shared" si="3"/>
        <v>1</v>
      </c>
      <c r="AB20" s="1256">
        <f t="shared" si="4"/>
        <v>1</v>
      </c>
      <c r="AC20" s="1256">
        <f t="shared" si="5"/>
        <v>1</v>
      </c>
    </row>
    <row r="21" spans="1:29" ht="15.5">
      <c r="A21" s="361"/>
      <c r="B21" s="389"/>
      <c r="C21" s="380"/>
      <c r="D21" s="381"/>
      <c r="E21" s="380"/>
      <c r="F21" s="382"/>
      <c r="G21" s="380"/>
      <c r="H21" s="381"/>
      <c r="I21" s="380"/>
      <c r="J21" s="381"/>
      <c r="K21" s="535"/>
      <c r="L21" s="2482"/>
      <c r="M21" s="2477"/>
      <c r="N21" s="2477"/>
      <c r="O21" s="2532"/>
      <c r="P21" s="3384"/>
      <c r="Q21" s="1255"/>
      <c r="R21" s="659"/>
      <c r="S21" s="660"/>
      <c r="T21" s="659"/>
      <c r="U21" s="660"/>
      <c r="V21" s="659"/>
      <c r="W21" s="660"/>
      <c r="X21" s="1257"/>
      <c r="Y21" s="3384"/>
      <c r="Z21" s="1256"/>
      <c r="AA21" s="1256">
        <v>1</v>
      </c>
      <c r="AB21" s="1256">
        <v>1</v>
      </c>
      <c r="AC21" s="1256">
        <v>1</v>
      </c>
    </row>
    <row r="22" spans="1:29" ht="15.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84"/>
      <c r="Q22" s="1255" t="str">
        <f>B22</f>
        <v>楼层</v>
      </c>
      <c r="R22" s="659" t="s">
        <v>14</v>
      </c>
      <c r="S22" s="660">
        <f>F22</f>
        <v>100</v>
      </c>
      <c r="T22" s="659" t="s">
        <v>14</v>
      </c>
      <c r="U22" s="660">
        <f>H22</f>
        <v>100</v>
      </c>
      <c r="V22" s="659" t="s">
        <v>14</v>
      </c>
      <c r="W22" s="660">
        <f>J22</f>
        <v>100</v>
      </c>
      <c r="X22" s="1257"/>
      <c r="Y22" s="3384"/>
      <c r="Z22" s="1256" t="str">
        <f>Q22</f>
        <v>楼层</v>
      </c>
      <c r="AA22" s="1256">
        <f t="shared" si="3"/>
        <v>1</v>
      </c>
      <c r="AB22" s="1256">
        <f t="shared" si="4"/>
        <v>1</v>
      </c>
      <c r="AC22" s="1256">
        <f t="shared" si="5"/>
        <v>1</v>
      </c>
    </row>
    <row r="23" spans="1:29" ht="15.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84"/>
      <c r="Q23" s="1255">
        <f>B23</f>
        <v>111</v>
      </c>
      <c r="R23" s="659" t="s">
        <v>14</v>
      </c>
      <c r="S23" s="660">
        <f>F23</f>
        <v>100</v>
      </c>
      <c r="T23" s="659" t="s">
        <v>14</v>
      </c>
      <c r="U23" s="660">
        <f>H23</f>
        <v>100</v>
      </c>
      <c r="V23" s="659" t="s">
        <v>14</v>
      </c>
      <c r="W23" s="660">
        <f>J23</f>
        <v>100</v>
      </c>
      <c r="X23" s="1257"/>
      <c r="Y23" s="3384"/>
      <c r="Z23" s="1256">
        <f>Q23</f>
        <v>111</v>
      </c>
      <c r="AA23" s="1256">
        <f t="shared" si="3"/>
        <v>1</v>
      </c>
      <c r="AB23" s="1256">
        <f t="shared" si="4"/>
        <v>1</v>
      </c>
      <c r="AC23" s="1256">
        <f t="shared" si="5"/>
        <v>1</v>
      </c>
    </row>
    <row r="24" spans="1:29" ht="15.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84"/>
      <c r="Q24" s="1255">
        <f t="shared" ref="Q24:Q34" si="11">B24</f>
        <v>111</v>
      </c>
      <c r="R24" s="659" t="s">
        <v>14</v>
      </c>
      <c r="S24" s="660">
        <f>F24</f>
        <v>100</v>
      </c>
      <c r="T24" s="659" t="s">
        <v>14</v>
      </c>
      <c r="U24" s="660">
        <f>H24</f>
        <v>100</v>
      </c>
      <c r="V24" s="659" t="s">
        <v>14</v>
      </c>
      <c r="W24" s="660">
        <f>J24</f>
        <v>100</v>
      </c>
      <c r="X24" s="1257"/>
      <c r="Y24" s="3384"/>
      <c r="Z24" s="1256">
        <f>Q24</f>
        <v>111</v>
      </c>
      <c r="AA24" s="1256">
        <f t="shared" si="3"/>
        <v>1</v>
      </c>
      <c r="AB24" s="1256">
        <f t="shared" si="4"/>
        <v>1</v>
      </c>
      <c r="AC24" s="1256">
        <f t="shared" si="5"/>
        <v>1</v>
      </c>
    </row>
    <row r="25" spans="1:29" s="102" customFormat="1" ht="16"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84"/>
      <c r="Q25" s="524">
        <f t="shared" si="11"/>
        <v>111</v>
      </c>
      <c r="R25" s="656" t="s">
        <v>14</v>
      </c>
      <c r="S25" s="657">
        <f>F25</f>
        <v>100</v>
      </c>
      <c r="T25" s="656" t="s">
        <v>14</v>
      </c>
      <c r="U25" s="657">
        <f>H25</f>
        <v>100</v>
      </c>
      <c r="V25" s="656" t="s">
        <v>14</v>
      </c>
      <c r="W25" s="657">
        <f>J25</f>
        <v>100</v>
      </c>
      <c r="X25" s="658"/>
      <c r="Y25" s="3384"/>
      <c r="Z25" s="50">
        <f>Q25</f>
        <v>111</v>
      </c>
      <c r="AA25" s="1256">
        <f>D25/F25</f>
        <v>1</v>
      </c>
      <c r="AB25" s="1256">
        <f>D25/H25</f>
        <v>1</v>
      </c>
      <c r="AC25" s="1256">
        <f>D25/J25</f>
        <v>1</v>
      </c>
    </row>
    <row r="26" spans="1:29" ht="29">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85"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86" t="s">
        <v>1696</v>
      </c>
      <c r="Z26" s="1256" t="str">
        <f t="shared" ref="Z26:Z34" si="15">Q26</f>
        <v>公共部分装修</v>
      </c>
      <c r="AA26" s="1256">
        <f t="shared" si="3"/>
        <v>1</v>
      </c>
      <c r="AB26" s="1256">
        <f t="shared" si="4"/>
        <v>1</v>
      </c>
      <c r="AC26" s="1256">
        <f t="shared" si="5"/>
        <v>1</v>
      </c>
    </row>
    <row r="27" spans="1:29" s="402" customFormat="1" ht="15.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86"/>
      <c r="Q27" s="525" t="str">
        <f t="shared" si="11"/>
        <v>成新率</v>
      </c>
      <c r="R27" s="661" t="s">
        <v>14</v>
      </c>
      <c r="S27" s="662" t="e">
        <f t="shared" si="12"/>
        <v>#N/A</v>
      </c>
      <c r="T27" s="661" t="s">
        <v>14</v>
      </c>
      <c r="U27" s="662" t="e">
        <f t="shared" si="13"/>
        <v>#N/A</v>
      </c>
      <c r="V27" s="661" t="s">
        <v>14</v>
      </c>
      <c r="W27" s="662" t="e">
        <f t="shared" si="14"/>
        <v>#N/A</v>
      </c>
      <c r="X27" s="663"/>
      <c r="Y27" s="3386"/>
      <c r="Z27" s="664" t="str">
        <f t="shared" si="15"/>
        <v>成新率</v>
      </c>
      <c r="AA27" s="1256" t="e">
        <f t="shared" si="3"/>
        <v>#N/A</v>
      </c>
      <c r="AB27" s="1256" t="e">
        <f t="shared" si="4"/>
        <v>#N/A</v>
      </c>
      <c r="AC27" s="1256" t="e">
        <f t="shared" si="5"/>
        <v>#N/A</v>
      </c>
    </row>
    <row r="28" spans="1:29" ht="15.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86"/>
      <c r="Q28" s="1255" t="str">
        <f t="shared" si="11"/>
        <v>物业等级</v>
      </c>
      <c r="R28" s="659" t="s">
        <v>14</v>
      </c>
      <c r="S28" s="660">
        <f t="shared" si="12"/>
        <v>100</v>
      </c>
      <c r="T28" s="659" t="s">
        <v>14</v>
      </c>
      <c r="U28" s="660">
        <f t="shared" si="13"/>
        <v>100</v>
      </c>
      <c r="V28" s="659" t="s">
        <v>14</v>
      </c>
      <c r="W28" s="660">
        <f t="shared" si="14"/>
        <v>100</v>
      </c>
      <c r="X28" s="1257"/>
      <c r="Y28" s="3386"/>
      <c r="Z28" s="1256" t="str">
        <f t="shared" si="15"/>
        <v>物业等级</v>
      </c>
      <c r="AA28" s="1256">
        <f t="shared" si="3"/>
        <v>1</v>
      </c>
      <c r="AB28" s="1256">
        <f t="shared" si="4"/>
        <v>1</v>
      </c>
      <c r="AC28" s="1256">
        <f t="shared" si="5"/>
        <v>1</v>
      </c>
    </row>
    <row r="29" spans="1:29" ht="15.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86"/>
      <c r="Q29" s="1255" t="str">
        <f t="shared" si="11"/>
        <v>有无电梯</v>
      </c>
      <c r="R29" s="659" t="s">
        <v>14</v>
      </c>
      <c r="S29" s="660">
        <f t="shared" si="12"/>
        <v>100</v>
      </c>
      <c r="T29" s="659" t="s">
        <v>14</v>
      </c>
      <c r="U29" s="660">
        <f t="shared" si="13"/>
        <v>100</v>
      </c>
      <c r="V29" s="659" t="s">
        <v>14</v>
      </c>
      <c r="W29" s="660">
        <f t="shared" si="14"/>
        <v>100</v>
      </c>
      <c r="X29" s="1257"/>
      <c r="Y29" s="3386"/>
      <c r="Z29" s="1256" t="str">
        <f t="shared" si="15"/>
        <v>有无电梯</v>
      </c>
      <c r="AA29" s="1256">
        <f t="shared" si="3"/>
        <v>1</v>
      </c>
      <c r="AB29" s="1256">
        <f t="shared" si="4"/>
        <v>1</v>
      </c>
      <c r="AC29" s="1256">
        <f t="shared" si="5"/>
        <v>1</v>
      </c>
    </row>
    <row r="30" spans="1:29" ht="15.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86"/>
      <c r="Q30" s="1255" t="str">
        <f t="shared" si="11"/>
        <v>建筑面积</v>
      </c>
      <c r="R30" s="659" t="s">
        <v>14</v>
      </c>
      <c r="S30" s="660" t="e">
        <f t="shared" si="12"/>
        <v>#N/A</v>
      </c>
      <c r="T30" s="659" t="s">
        <v>14</v>
      </c>
      <c r="U30" s="660" t="e">
        <f t="shared" si="13"/>
        <v>#N/A</v>
      </c>
      <c r="V30" s="659" t="s">
        <v>14</v>
      </c>
      <c r="W30" s="660" t="e">
        <f t="shared" si="14"/>
        <v>#N/A</v>
      </c>
      <c r="X30" s="1257"/>
      <c r="Y30" s="3386"/>
      <c r="Z30" s="1256" t="str">
        <f t="shared" si="15"/>
        <v>建筑面积</v>
      </c>
      <c r="AA30" s="1256" t="e">
        <f t="shared" si="3"/>
        <v>#N/A</v>
      </c>
      <c r="AB30" s="1256" t="e">
        <f t="shared" si="4"/>
        <v>#N/A</v>
      </c>
      <c r="AC30" s="1256" t="e">
        <f t="shared" si="5"/>
        <v>#N/A</v>
      </c>
    </row>
    <row r="31" spans="1:29" s="102" customFormat="1" ht="15.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86"/>
      <c r="Q31" s="524" t="str">
        <f t="shared" si="11"/>
        <v>是否封闭</v>
      </c>
      <c r="R31" s="656" t="s">
        <v>14</v>
      </c>
      <c r="S31" s="657">
        <f t="shared" si="12"/>
        <v>100</v>
      </c>
      <c r="T31" s="656" t="s">
        <v>14</v>
      </c>
      <c r="U31" s="657">
        <f t="shared" si="13"/>
        <v>100</v>
      </c>
      <c r="V31" s="656" t="s">
        <v>14</v>
      </c>
      <c r="W31" s="657">
        <f t="shared" si="14"/>
        <v>100</v>
      </c>
      <c r="X31" s="658"/>
      <c r="Y31" s="3386"/>
      <c r="Z31" s="50" t="str">
        <f t="shared" si="15"/>
        <v>是否封闭</v>
      </c>
      <c r="AA31" s="50">
        <f t="shared" si="3"/>
        <v>1</v>
      </c>
      <c r="AB31" s="50">
        <f t="shared" si="4"/>
        <v>1</v>
      </c>
      <c r="AC31" s="50">
        <f t="shared" si="5"/>
        <v>1</v>
      </c>
    </row>
    <row r="32" spans="1:29" ht="15.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86" t="s">
        <v>1696</v>
      </c>
      <c r="Q32" s="1255">
        <f t="shared" si="11"/>
        <v>111</v>
      </c>
      <c r="R32" s="659" t="s">
        <v>14</v>
      </c>
      <c r="S32" s="660">
        <f t="shared" si="12"/>
        <v>100</v>
      </c>
      <c r="T32" s="659" t="s">
        <v>14</v>
      </c>
      <c r="U32" s="660">
        <f t="shared" si="13"/>
        <v>100</v>
      </c>
      <c r="V32" s="659" t="s">
        <v>14</v>
      </c>
      <c r="W32" s="660">
        <f t="shared" si="14"/>
        <v>100</v>
      </c>
      <c r="X32" s="1257"/>
      <c r="Y32" s="3386" t="s">
        <v>1696</v>
      </c>
      <c r="Z32" s="1256">
        <f t="shared" si="15"/>
        <v>111</v>
      </c>
      <c r="AA32" s="1256">
        <f t="shared" si="3"/>
        <v>1</v>
      </c>
      <c r="AB32" s="1256">
        <f t="shared" si="4"/>
        <v>1</v>
      </c>
      <c r="AC32" s="1256">
        <f t="shared" si="5"/>
        <v>1</v>
      </c>
    </row>
    <row r="33" spans="1:30" ht="15.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86"/>
      <c r="Q33" s="1255">
        <f t="shared" si="11"/>
        <v>111</v>
      </c>
      <c r="R33" s="659" t="s">
        <v>14</v>
      </c>
      <c r="S33" s="660">
        <f t="shared" si="12"/>
        <v>100</v>
      </c>
      <c r="T33" s="659" t="s">
        <v>14</v>
      </c>
      <c r="U33" s="660">
        <f t="shared" si="13"/>
        <v>100</v>
      </c>
      <c r="V33" s="659" t="s">
        <v>14</v>
      </c>
      <c r="W33" s="660">
        <f t="shared" si="14"/>
        <v>100</v>
      </c>
      <c r="X33" s="1257"/>
      <c r="Y33" s="3386"/>
      <c r="Z33" s="1256">
        <f t="shared" si="15"/>
        <v>111</v>
      </c>
      <c r="AA33" s="1256">
        <f t="shared" si="3"/>
        <v>1</v>
      </c>
      <c r="AB33" s="1256">
        <f t="shared" si="4"/>
        <v>1</v>
      </c>
      <c r="AC33" s="1256">
        <f t="shared" si="5"/>
        <v>1</v>
      </c>
    </row>
    <row r="34" spans="1:30" ht="16"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86"/>
      <c r="Q34" s="1255">
        <f t="shared" si="11"/>
        <v>111</v>
      </c>
      <c r="R34" s="659" t="s">
        <v>14</v>
      </c>
      <c r="S34" s="660">
        <f t="shared" si="12"/>
        <v>100</v>
      </c>
      <c r="T34" s="659" t="s">
        <v>14</v>
      </c>
      <c r="U34" s="660">
        <f t="shared" si="13"/>
        <v>100</v>
      </c>
      <c r="V34" s="659" t="s">
        <v>14</v>
      </c>
      <c r="W34" s="660">
        <f t="shared" si="14"/>
        <v>100</v>
      </c>
      <c r="X34" s="1257"/>
      <c r="Y34" s="3386"/>
      <c r="Z34" s="1256">
        <f t="shared" si="15"/>
        <v>111</v>
      </c>
      <c r="AA34" s="1256">
        <f t="shared" si="3"/>
        <v>1</v>
      </c>
      <c r="AB34" s="1256">
        <f t="shared" si="4"/>
        <v>1</v>
      </c>
      <c r="AC34" s="1256">
        <f t="shared" si="5"/>
        <v>1</v>
      </c>
    </row>
    <row r="35" spans="1:30">
      <c r="A35" s="410" t="s">
        <v>1708</v>
      </c>
      <c r="B35" s="411"/>
      <c r="C35" s="1074" t="s">
        <v>0</v>
      </c>
      <c r="D35" s="412"/>
      <c r="E35" s="413"/>
      <c r="F35" s="414"/>
      <c r="G35" s="415"/>
      <c r="H35" s="416"/>
      <c r="I35" s="413"/>
      <c r="J35" s="416"/>
      <c r="K35" s="666"/>
      <c r="L35" s="2484"/>
      <c r="M35" s="2477"/>
      <c r="N35" s="2477"/>
      <c r="O35" s="2477"/>
      <c r="P35" s="3368" t="str">
        <f>A35</f>
        <v>成交单价（元/平方米）</v>
      </c>
      <c r="Q35" s="3368"/>
      <c r="R35" s="3381">
        <f>E35</f>
        <v>0</v>
      </c>
      <c r="S35" s="3381"/>
      <c r="T35" s="3381">
        <f>G35</f>
        <v>0</v>
      </c>
      <c r="U35" s="3381"/>
      <c r="V35" s="3381">
        <f>I35</f>
        <v>0</v>
      </c>
      <c r="W35" s="3381"/>
      <c r="X35" s="379"/>
      <c r="Y35" s="665"/>
      <c r="Z35" s="379"/>
      <c r="AA35" s="379"/>
      <c r="AB35" s="379"/>
      <c r="AC35" s="379"/>
    </row>
    <row r="36" spans="1:30" ht="14.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68" t="str">
        <f>A36</f>
        <v>比较价值（元/平方米）</v>
      </c>
      <c r="Q36" s="3368"/>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79"/>
      <c r="Y36" s="379"/>
      <c r="Z36" s="379"/>
      <c r="AA36" s="379"/>
      <c r="AB36" s="379"/>
      <c r="AC36" s="379"/>
    </row>
    <row r="37" spans="1:30" ht="14.5" thickBot="1">
      <c r="A37" s="421" t="s">
        <v>1794</v>
      </c>
      <c r="B37" s="422"/>
      <c r="C37" s="345" t="e">
        <f>R37</f>
        <v>#DIV/0!</v>
      </c>
      <c r="D37" s="345"/>
      <c r="E37" s="345"/>
      <c r="F37" s="345"/>
      <c r="G37" s="345"/>
      <c r="H37" s="345"/>
      <c r="I37" s="345"/>
      <c r="J37" s="345"/>
      <c r="K37" s="667"/>
      <c r="L37" s="2484"/>
      <c r="M37" s="2477"/>
      <c r="N37" s="2477"/>
      <c r="O37" s="2477"/>
      <c r="P37" s="3388" t="str">
        <f>A37</f>
        <v>估价对象XX用房的比较价值（楼面单价，元/平方米）</v>
      </c>
      <c r="Q37" s="3389"/>
      <c r="R37" s="3444" t="e">
        <f>IF(F1="售价",ROUND(IF(D36="简单平均",AVERAGE(R36:W36),R36*F36+T36*H36+V36*J36),0),ROUND(IF(D36="简单平均",AVERAGE(R36:V36),R36*F36+T36*H36+V36*J36),1))</f>
        <v>#DIV/0!</v>
      </c>
      <c r="S37" s="3444"/>
      <c r="T37" s="3444"/>
      <c r="U37" s="3444"/>
      <c r="V37" s="3444"/>
      <c r="W37" s="3444"/>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c r="A46" s="434" t="s">
        <v>1679</v>
      </c>
      <c r="B46" s="435"/>
      <c r="C46" s="1095" t="str">
        <f>YEAR(C7)&amp;"-"&amp;MONTH(C7)</f>
        <v>2023-11</v>
      </c>
      <c r="D46" s="1096">
        <f>EDATE(C46,-1)</f>
        <v>45200</v>
      </c>
      <c r="E46" s="1096">
        <f t="shared" ref="E46:O46" si="16">EDATE(D46,-1)</f>
        <v>45170</v>
      </c>
      <c r="F46" s="1096">
        <f t="shared" si="16"/>
        <v>45139</v>
      </c>
      <c r="G46" s="1096">
        <f t="shared" si="16"/>
        <v>45108</v>
      </c>
      <c r="H46" s="1096">
        <f t="shared" si="16"/>
        <v>45078</v>
      </c>
      <c r="I46" s="1096">
        <f t="shared" si="16"/>
        <v>45047</v>
      </c>
      <c r="J46" s="1096">
        <f t="shared" si="16"/>
        <v>45017</v>
      </c>
      <c r="K46" s="1096">
        <f t="shared" si="16"/>
        <v>44986</v>
      </c>
      <c r="L46" s="1096">
        <f t="shared" si="16"/>
        <v>44958</v>
      </c>
      <c r="M46" s="1096">
        <f t="shared" si="16"/>
        <v>44927</v>
      </c>
      <c r="N46" s="1096">
        <f t="shared" si="16"/>
        <v>44896</v>
      </c>
      <c r="O46" s="1096">
        <f t="shared" si="16"/>
        <v>44866</v>
      </c>
      <c r="P46" s="2500"/>
      <c r="Q46" s="2500"/>
      <c r="R46" s="2500"/>
      <c r="S46" s="2500"/>
      <c r="T46" s="2500"/>
      <c r="U46" s="2500"/>
      <c r="V46" s="2500"/>
      <c r="W46" s="2500"/>
      <c r="X46" s="2500"/>
      <c r="Y46" s="2500"/>
      <c r="Z46" s="2500"/>
      <c r="AA46" s="2500"/>
      <c r="AB46" s="2500"/>
      <c r="AC46" s="2500"/>
      <c r="AD46" s="2500"/>
    </row>
    <row r="47" spans="1:30" s="102" customFormat="1">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4.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4.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4.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8.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4.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4.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4.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4.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4.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4.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4.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4.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4.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8.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4.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4.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4.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4.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4.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4.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4.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4.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4.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4.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4.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4.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4.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4.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4.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4.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4.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4.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4.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4.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4.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4.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4.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4.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4.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4.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4.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4.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4.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4.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4.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4.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
  <cols>
    <col min="1" max="1" width="14.36328125" style="341" customWidth="1"/>
    <col min="2" max="2" width="15.7265625" style="341" customWidth="1"/>
    <col min="3" max="3" width="14.36328125" style="341" customWidth="1"/>
    <col min="4" max="4" width="12.26953125" style="341" customWidth="1"/>
    <col min="5" max="5" width="14.36328125" style="341" customWidth="1"/>
    <col min="6" max="6" width="12.26953125" style="341" customWidth="1"/>
    <col min="7" max="7" width="14.453125" style="341" customWidth="1"/>
    <col min="8" max="8" width="12.26953125" style="341" customWidth="1"/>
    <col min="9" max="9" width="14.453125" style="341" customWidth="1"/>
    <col min="10" max="10" width="12.26953125" style="341" customWidth="1"/>
    <col min="11" max="11" width="12.26953125" style="424" customWidth="1"/>
    <col min="12" max="12" width="12.26953125" style="425" customWidth="1"/>
    <col min="13" max="15" width="12.26953125" style="341" customWidth="1"/>
    <col min="16" max="16" width="4.7265625" style="341" customWidth="1"/>
    <col min="17" max="17" width="19.453125" style="341" customWidth="1"/>
    <col min="18" max="22" width="6.08984375" style="341" customWidth="1"/>
    <col min="23" max="23" width="5.7265625" style="341" customWidth="1"/>
    <col min="24" max="24" width="4.26953125" style="341" customWidth="1"/>
    <col min="25" max="25" width="3.453125" style="341" customWidth="1"/>
    <col min="26" max="26" width="19.7265625" style="341" customWidth="1"/>
    <col min="27" max="28" width="9.3632812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c r="A4" s="339" t="s">
        <v>1769</v>
      </c>
      <c r="B4" s="340"/>
      <c r="C4" s="3369" t="s">
        <v>1770</v>
      </c>
      <c r="D4" s="3370"/>
      <c r="E4" s="3371" t="s">
        <v>1771</v>
      </c>
      <c r="F4" s="3372"/>
      <c r="G4" s="3369" t="s">
        <v>1772</v>
      </c>
      <c r="H4" s="3370"/>
      <c r="I4" s="3369" t="s">
        <v>1773</v>
      </c>
      <c r="J4" s="3370"/>
      <c r="K4" s="531" t="s">
        <v>1774</v>
      </c>
      <c r="L4" s="2476"/>
      <c r="M4" s="2477"/>
      <c r="N4" s="2477"/>
      <c r="O4" s="2477"/>
      <c r="P4" s="3373" t="s">
        <v>1775</v>
      </c>
      <c r="Q4" s="3374"/>
      <c r="R4" s="3356" t="s">
        <v>1771</v>
      </c>
      <c r="S4" s="3357"/>
      <c r="T4" s="3356" t="s">
        <v>1772</v>
      </c>
      <c r="U4" s="3357"/>
      <c r="V4" s="3381" t="s">
        <v>1773</v>
      </c>
      <c r="W4" s="3381"/>
      <c r="X4" s="1257"/>
      <c r="Y4" s="3356" t="s">
        <v>1775</v>
      </c>
      <c r="Z4" s="3357"/>
      <c r="AA4" s="3351" t="s">
        <v>1771</v>
      </c>
      <c r="AB4" s="3352" t="s">
        <v>1772</v>
      </c>
      <c r="AC4" s="3351" t="s">
        <v>1773</v>
      </c>
    </row>
    <row r="5" spans="1:29">
      <c r="A5" s="342"/>
      <c r="B5" s="343"/>
      <c r="C5" s="3362" t="s">
        <v>1673</v>
      </c>
      <c r="D5" s="3363"/>
      <c r="E5" s="3360" t="s">
        <v>1674</v>
      </c>
      <c r="F5" s="3361"/>
      <c r="G5" s="3362" t="s">
        <v>1675</v>
      </c>
      <c r="H5" s="3363"/>
      <c r="I5" s="3362" t="s">
        <v>1676</v>
      </c>
      <c r="J5" s="3363"/>
      <c r="K5" s="531"/>
      <c r="L5" s="2476"/>
      <c r="M5" s="2477"/>
      <c r="N5" s="2477"/>
      <c r="O5" s="2477"/>
      <c r="P5" s="3375"/>
      <c r="Q5" s="3376"/>
      <c r="R5" s="3358"/>
      <c r="S5" s="3359"/>
      <c r="T5" s="3358"/>
      <c r="U5" s="3359"/>
      <c r="V5" s="3381"/>
      <c r="W5" s="3381"/>
      <c r="X5" s="1257"/>
      <c r="Y5" s="3358"/>
      <c r="Z5" s="3359"/>
      <c r="AA5" s="3352"/>
      <c r="AB5" s="3352"/>
      <c r="AC5" s="3352"/>
    </row>
    <row r="6" spans="1:29" ht="15" thickBot="1">
      <c r="A6" s="344"/>
      <c r="B6" s="345"/>
      <c r="C6" s="3445" t="s">
        <v>1919</v>
      </c>
      <c r="D6" s="3446"/>
      <c r="E6" s="3447" t="s">
        <v>1919</v>
      </c>
      <c r="F6" s="3448"/>
      <c r="G6" s="3445" t="s">
        <v>1919</v>
      </c>
      <c r="H6" s="3446"/>
      <c r="I6" s="3445" t="s">
        <v>1919</v>
      </c>
      <c r="J6" s="3446"/>
      <c r="K6" s="531" t="s">
        <v>1678</v>
      </c>
      <c r="L6" s="2476"/>
      <c r="M6" s="2477"/>
      <c r="N6" s="2477"/>
      <c r="O6" s="2477"/>
      <c r="P6" s="3377"/>
      <c r="Q6" s="3378"/>
      <c r="R6" s="3358"/>
      <c r="S6" s="3359"/>
      <c r="T6" s="3379"/>
      <c r="U6" s="3380"/>
      <c r="V6" s="3381"/>
      <c r="W6" s="3381"/>
      <c r="X6" s="1257"/>
      <c r="Y6" s="3379"/>
      <c r="Z6" s="3380"/>
      <c r="AA6" s="3353"/>
      <c r="AB6" s="3353"/>
      <c r="AC6" s="3353"/>
    </row>
    <row r="7" spans="1:29" s="102" customFormat="1" ht="14.5" thickBot="1">
      <c r="A7" s="346" t="s">
        <v>1679</v>
      </c>
      <c r="B7" s="347"/>
      <c r="C7" s="348">
        <f>'数据-取费表'!B2</f>
        <v>45238</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54" t="s">
        <v>1680</v>
      </c>
      <c r="Q7" s="3382"/>
      <c r="R7" s="656" t="s">
        <v>14</v>
      </c>
      <c r="S7" s="657">
        <f t="shared" ref="S7:S15" si="0">F7</f>
        <v>0</v>
      </c>
      <c r="T7" s="656" t="s">
        <v>14</v>
      </c>
      <c r="U7" s="657">
        <f t="shared" ref="U7:U15" si="1">H7</f>
        <v>0</v>
      </c>
      <c r="V7" s="656" t="s">
        <v>14</v>
      </c>
      <c r="W7" s="657">
        <f t="shared" ref="W7:W15" si="2">J7</f>
        <v>0</v>
      </c>
      <c r="X7" s="658"/>
      <c r="Y7" s="3354" t="s">
        <v>1680</v>
      </c>
      <c r="Z7" s="3355"/>
      <c r="AA7" s="50" t="e">
        <f>D7/F7</f>
        <v>#DIV/0!</v>
      </c>
      <c r="AB7" s="50" t="e">
        <f>D7/H7</f>
        <v>#DIV/0!</v>
      </c>
      <c r="AC7" s="50" t="e">
        <f>D7/J7</f>
        <v>#DIV/0!</v>
      </c>
    </row>
    <row r="8" spans="1:29" s="102" customFormat="1" ht="14.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54" t="s">
        <v>1683</v>
      </c>
      <c r="Q8" s="3355"/>
      <c r="R8" s="656" t="s">
        <v>14</v>
      </c>
      <c r="S8" s="657">
        <f t="shared" si="0"/>
        <v>0</v>
      </c>
      <c r="T8" s="656" t="s">
        <v>14</v>
      </c>
      <c r="U8" s="657">
        <f t="shared" si="1"/>
        <v>0</v>
      </c>
      <c r="V8" s="656" t="s">
        <v>14</v>
      </c>
      <c r="W8" s="657">
        <f t="shared" si="2"/>
        <v>0</v>
      </c>
      <c r="X8" s="658"/>
      <c r="Y8" s="3354" t="s">
        <v>1683</v>
      </c>
      <c r="Z8" s="3355"/>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68" t="s">
        <v>1686</v>
      </c>
      <c r="Q9" s="524" t="str">
        <f t="shared" ref="Q9:Q15" si="6">B9</f>
        <v>用途</v>
      </c>
      <c r="R9" s="656" t="s">
        <v>14</v>
      </c>
      <c r="S9" s="657">
        <f t="shared" si="0"/>
        <v>100</v>
      </c>
      <c r="T9" s="656" t="s">
        <v>14</v>
      </c>
      <c r="U9" s="657">
        <f t="shared" si="1"/>
        <v>100</v>
      </c>
      <c r="V9" s="656" t="s">
        <v>14</v>
      </c>
      <c r="W9" s="657">
        <f t="shared" si="2"/>
        <v>100</v>
      </c>
      <c r="X9" s="658"/>
      <c r="Y9" s="3327" t="s">
        <v>1687</v>
      </c>
      <c r="Z9" s="50" t="str">
        <f t="shared" ref="Z9:Z15" si="7">Q9</f>
        <v>用途</v>
      </c>
      <c r="AA9" s="50">
        <f t="shared" si="3"/>
        <v>1</v>
      </c>
      <c r="AB9" s="50">
        <f t="shared" si="4"/>
        <v>1</v>
      </c>
      <c r="AC9" s="50">
        <f t="shared" si="5"/>
        <v>1</v>
      </c>
    </row>
    <row r="10" spans="1:29" s="360" customFormat="1" ht="28">
      <c r="A10" s="357"/>
      <c r="B10" s="358" t="s">
        <v>1688</v>
      </c>
      <c r="C10" s="365"/>
      <c r="D10" s="113">
        <v>100</v>
      </c>
      <c r="E10" s="365"/>
      <c r="F10" s="113">
        <f>ROUND(100/'数据-取费表'!G16,0)</f>
        <v>121</v>
      </c>
      <c r="G10" s="365"/>
      <c r="H10" s="113">
        <f>ROUND(100/'数据-取费表'!G16,0)</f>
        <v>121</v>
      </c>
      <c r="I10" s="365"/>
      <c r="J10" s="113">
        <f>ROUND(100/'数据-取费表'!G16,0)</f>
        <v>121</v>
      </c>
      <c r="K10" s="586"/>
      <c r="L10" s="2479"/>
      <c r="M10" s="2480"/>
      <c r="N10" s="2480"/>
      <c r="O10" s="2531"/>
      <c r="P10" s="3368"/>
      <c r="Q10" s="524" t="str">
        <f t="shared" si="6"/>
        <v>土地使用年限（年）</v>
      </c>
      <c r="R10" s="656" t="s">
        <v>14</v>
      </c>
      <c r="S10" s="657">
        <f t="shared" si="0"/>
        <v>121</v>
      </c>
      <c r="T10" s="656" t="s">
        <v>14</v>
      </c>
      <c r="U10" s="657">
        <f t="shared" si="1"/>
        <v>121</v>
      </c>
      <c r="V10" s="656" t="s">
        <v>14</v>
      </c>
      <c r="W10" s="657">
        <f t="shared" si="2"/>
        <v>121</v>
      </c>
      <c r="X10" s="658"/>
      <c r="Y10" s="3327"/>
      <c r="Z10" s="50" t="str">
        <f t="shared" si="7"/>
        <v>土地使用年限（年）</v>
      </c>
      <c r="AA10" s="50">
        <f t="shared" si="3"/>
        <v>0.82644628099173556</v>
      </c>
      <c r="AB10" s="50">
        <f t="shared" si="4"/>
        <v>0.82644628099173556</v>
      </c>
      <c r="AC10" s="50">
        <f t="shared" si="5"/>
        <v>0.82644628099173556</v>
      </c>
    </row>
    <row r="11" spans="1:29" ht="15.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68"/>
      <c r="Q11" s="524" t="str">
        <f t="shared" si="6"/>
        <v>容积率</v>
      </c>
      <c r="R11" s="656" t="s">
        <v>14</v>
      </c>
      <c r="S11" s="657" t="e">
        <f t="shared" si="0"/>
        <v>#N/A</v>
      </c>
      <c r="T11" s="656" t="s">
        <v>14</v>
      </c>
      <c r="U11" s="657" t="e">
        <f t="shared" si="1"/>
        <v>#N/A</v>
      </c>
      <c r="V11" s="656" t="s">
        <v>14</v>
      </c>
      <c r="W11" s="657" t="e">
        <f t="shared" si="2"/>
        <v>#N/A</v>
      </c>
      <c r="X11" s="658"/>
      <c r="Y11" s="3327"/>
      <c r="Z11" s="50" t="str">
        <f t="shared" si="7"/>
        <v>容积率</v>
      </c>
      <c r="AA11" s="50" t="e">
        <f t="shared" si="3"/>
        <v>#N/A</v>
      </c>
      <c r="AB11" s="50" t="e">
        <f t="shared" si="4"/>
        <v>#N/A</v>
      </c>
      <c r="AC11" s="50" t="e">
        <f t="shared" si="5"/>
        <v>#N/A</v>
      </c>
    </row>
    <row r="12" spans="1:29" s="102" customFormat="1" ht="15.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68"/>
      <c r="Q12" s="524">
        <f t="shared" si="6"/>
        <v>111</v>
      </c>
      <c r="R12" s="656" t="s">
        <v>14</v>
      </c>
      <c r="S12" s="657">
        <f t="shared" si="0"/>
        <v>100</v>
      </c>
      <c r="T12" s="656" t="s">
        <v>14</v>
      </c>
      <c r="U12" s="657">
        <f t="shared" si="1"/>
        <v>100</v>
      </c>
      <c r="V12" s="656" t="s">
        <v>14</v>
      </c>
      <c r="W12" s="657">
        <f t="shared" si="2"/>
        <v>100</v>
      </c>
      <c r="X12" s="658"/>
      <c r="Y12" s="3327"/>
      <c r="Z12" s="50">
        <f t="shared" si="7"/>
        <v>111</v>
      </c>
      <c r="AA12" s="50">
        <f>D12/F12</f>
        <v>1</v>
      </c>
      <c r="AB12" s="50">
        <f>D12/H12</f>
        <v>1</v>
      </c>
      <c r="AC12" s="50">
        <f>D12/J12</f>
        <v>1</v>
      </c>
    </row>
    <row r="13" spans="1:29" ht="15.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68"/>
      <c r="Q13" s="524">
        <f t="shared" si="6"/>
        <v>111</v>
      </c>
      <c r="R13" s="656" t="s">
        <v>14</v>
      </c>
      <c r="S13" s="657">
        <f t="shared" si="0"/>
        <v>100</v>
      </c>
      <c r="T13" s="656" t="s">
        <v>14</v>
      </c>
      <c r="U13" s="657">
        <f t="shared" si="1"/>
        <v>100</v>
      </c>
      <c r="V13" s="656" t="s">
        <v>14</v>
      </c>
      <c r="W13" s="657">
        <f t="shared" si="2"/>
        <v>100</v>
      </c>
      <c r="X13" s="658"/>
      <c r="Y13" s="3327"/>
      <c r="Z13" s="50">
        <f t="shared" si="7"/>
        <v>111</v>
      </c>
      <c r="AA13" s="50">
        <f t="shared" si="3"/>
        <v>1</v>
      </c>
      <c r="AB13" s="50">
        <f t="shared" si="4"/>
        <v>1</v>
      </c>
      <c r="AC13" s="50">
        <f t="shared" si="5"/>
        <v>1</v>
      </c>
    </row>
    <row r="14" spans="1:29" ht="16"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68"/>
      <c r="Q14" s="524">
        <f t="shared" si="6"/>
        <v>111</v>
      </c>
      <c r="R14" s="656" t="s">
        <v>14</v>
      </c>
      <c r="S14" s="657">
        <f t="shared" si="0"/>
        <v>100</v>
      </c>
      <c r="T14" s="656" t="s">
        <v>14</v>
      </c>
      <c r="U14" s="657">
        <f t="shared" si="1"/>
        <v>100</v>
      </c>
      <c r="V14" s="656" t="s">
        <v>14</v>
      </c>
      <c r="W14" s="657">
        <f t="shared" si="2"/>
        <v>100</v>
      </c>
      <c r="X14" s="658"/>
      <c r="Y14" s="3327"/>
      <c r="Z14" s="50">
        <f t="shared" si="7"/>
        <v>111</v>
      </c>
      <c r="AA14" s="50">
        <f t="shared" si="3"/>
        <v>1</v>
      </c>
      <c r="AB14" s="50">
        <f t="shared" si="4"/>
        <v>1</v>
      </c>
      <c r="AC14" s="50">
        <f t="shared" si="5"/>
        <v>1</v>
      </c>
    </row>
    <row r="15" spans="1:29" ht="15.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83" t="s">
        <v>1691</v>
      </c>
      <c r="Q15" s="1255" t="str">
        <f t="shared" si="6"/>
        <v>产业集聚程度</v>
      </c>
      <c r="R15" s="659" t="s">
        <v>14</v>
      </c>
      <c r="S15" s="660">
        <f t="shared" si="0"/>
        <v>100</v>
      </c>
      <c r="T15" s="659" t="s">
        <v>14</v>
      </c>
      <c r="U15" s="660">
        <f t="shared" si="1"/>
        <v>100</v>
      </c>
      <c r="V15" s="659" t="s">
        <v>14</v>
      </c>
      <c r="W15" s="660">
        <f t="shared" si="2"/>
        <v>100</v>
      </c>
      <c r="X15" s="1257"/>
      <c r="Y15" s="3383" t="s">
        <v>1691</v>
      </c>
      <c r="Z15" s="1256" t="str">
        <f t="shared" si="7"/>
        <v>产业集聚程度</v>
      </c>
      <c r="AA15" s="1256">
        <f t="shared" si="3"/>
        <v>1</v>
      </c>
      <c r="AB15" s="1256">
        <f t="shared" si="4"/>
        <v>1</v>
      </c>
      <c r="AC15" s="1256">
        <f t="shared" si="5"/>
        <v>1</v>
      </c>
    </row>
    <row r="16" spans="1:29" ht="15.5">
      <c r="A16" s="361"/>
      <c r="B16" s="549"/>
      <c r="C16" s="380"/>
      <c r="D16" s="381"/>
      <c r="E16" s="1749"/>
      <c r="F16" s="381"/>
      <c r="G16" s="1749"/>
      <c r="H16" s="383"/>
      <c r="I16" s="1749"/>
      <c r="J16" s="381"/>
      <c r="K16" s="586"/>
      <c r="L16" s="2482"/>
      <c r="M16" s="2477"/>
      <c r="N16" s="2477"/>
      <c r="O16" s="2532"/>
      <c r="P16" s="3384"/>
      <c r="Q16" s="1255"/>
      <c r="R16" s="659"/>
      <c r="S16" s="660"/>
      <c r="T16" s="659"/>
      <c r="U16" s="660"/>
      <c r="V16" s="659"/>
      <c r="W16" s="660"/>
      <c r="X16" s="1257"/>
      <c r="Y16" s="3384"/>
      <c r="Z16" s="1256"/>
      <c r="AA16" s="1256">
        <v>1</v>
      </c>
      <c r="AB16" s="1256">
        <v>1</v>
      </c>
      <c r="AC16" s="1256">
        <v>1</v>
      </c>
    </row>
    <row r="17" spans="1:29" ht="15.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84"/>
      <c r="Q17" s="1255" t="str">
        <f>B17</f>
        <v>交通便捷度</v>
      </c>
      <c r="R17" s="659" t="s">
        <v>14</v>
      </c>
      <c r="S17" s="660">
        <f>F17</f>
        <v>100</v>
      </c>
      <c r="T17" s="659" t="s">
        <v>14</v>
      </c>
      <c r="U17" s="660">
        <f>H17</f>
        <v>100</v>
      </c>
      <c r="V17" s="659" t="s">
        <v>14</v>
      </c>
      <c r="W17" s="660">
        <f>J17</f>
        <v>100</v>
      </c>
      <c r="X17" s="1257"/>
      <c r="Y17" s="3384"/>
      <c r="Z17" s="1256" t="str">
        <f>Q17</f>
        <v>交通便捷度</v>
      </c>
      <c r="AA17" s="1256">
        <f t="shared" si="3"/>
        <v>1</v>
      </c>
      <c r="AB17" s="1256">
        <f t="shared" si="4"/>
        <v>1</v>
      </c>
      <c r="AC17" s="1256">
        <f t="shared" si="5"/>
        <v>1</v>
      </c>
    </row>
    <row r="18" spans="1:29" ht="15.5">
      <c r="A18" s="361"/>
      <c r="B18" s="395"/>
      <c r="C18" s="380"/>
      <c r="D18" s="381"/>
      <c r="E18" s="1743"/>
      <c r="F18" s="381"/>
      <c r="G18" s="1743"/>
      <c r="H18" s="381"/>
      <c r="I18" s="1742"/>
      <c r="J18" s="381"/>
      <c r="K18" s="586"/>
      <c r="L18" s="2482"/>
      <c r="M18" s="2477"/>
      <c r="N18" s="2477"/>
      <c r="O18" s="2532"/>
      <c r="P18" s="3384"/>
      <c r="Q18" s="1255"/>
      <c r="R18" s="659"/>
      <c r="S18" s="660"/>
      <c r="T18" s="659"/>
      <c r="U18" s="660"/>
      <c r="V18" s="659"/>
      <c r="W18" s="660"/>
      <c r="X18" s="1257"/>
      <c r="Y18" s="3384"/>
      <c r="Z18" s="1256"/>
      <c r="AA18" s="1256">
        <v>1</v>
      </c>
      <c r="AB18" s="1256">
        <v>1</v>
      </c>
      <c r="AC18" s="1256">
        <v>1</v>
      </c>
    </row>
    <row r="19" spans="1:29" ht="28">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84"/>
      <c r="Q19" s="1255" t="str">
        <f t="shared" ref="Q19:Q33" si="8">B19</f>
        <v>区域土地利用方向</v>
      </c>
      <c r="R19" s="659" t="s">
        <v>14</v>
      </c>
      <c r="S19" s="660">
        <f>F19</f>
        <v>100</v>
      </c>
      <c r="T19" s="659" t="s">
        <v>14</v>
      </c>
      <c r="U19" s="660">
        <f>H19</f>
        <v>100</v>
      </c>
      <c r="V19" s="659" t="s">
        <v>14</v>
      </c>
      <c r="W19" s="660">
        <f>J19</f>
        <v>100</v>
      </c>
      <c r="X19" s="1257"/>
      <c r="Y19" s="3384"/>
      <c r="Z19" s="1256" t="str">
        <f>Q19</f>
        <v>区域土地利用方向</v>
      </c>
      <c r="AA19" s="1256">
        <f t="shared" si="3"/>
        <v>1</v>
      </c>
      <c r="AB19" s="1256">
        <f t="shared" si="4"/>
        <v>1</v>
      </c>
      <c r="AC19" s="1256">
        <f t="shared" si="5"/>
        <v>1</v>
      </c>
    </row>
    <row r="20" spans="1:29" ht="15.5">
      <c r="A20" s="342"/>
      <c r="B20" s="395"/>
      <c r="C20" s="380"/>
      <c r="D20" s="381"/>
      <c r="E20" s="1743"/>
      <c r="F20" s="381"/>
      <c r="G20" s="1743"/>
      <c r="H20" s="381"/>
      <c r="I20" s="1743"/>
      <c r="J20" s="381"/>
      <c r="K20" s="691"/>
      <c r="L20" s="2482"/>
      <c r="M20" s="2477"/>
      <c r="N20" s="2477"/>
      <c r="O20" s="2532"/>
      <c r="P20" s="3384"/>
      <c r="Q20" s="1255"/>
      <c r="R20" s="659"/>
      <c r="S20" s="660"/>
      <c r="T20" s="659"/>
      <c r="U20" s="660"/>
      <c r="V20" s="659"/>
      <c r="W20" s="660"/>
      <c r="X20" s="1257"/>
      <c r="Y20" s="3384"/>
      <c r="Z20" s="1256"/>
      <c r="AA20" s="1256"/>
      <c r="AB20" s="1256"/>
      <c r="AC20" s="1256"/>
    </row>
    <row r="21" spans="1:29" ht="15.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84"/>
      <c r="Q21" s="1255" t="str">
        <f t="shared" si="8"/>
        <v>环境状况</v>
      </c>
      <c r="R21" s="659" t="s">
        <v>14</v>
      </c>
      <c r="S21" s="660">
        <f>F21</f>
        <v>100</v>
      </c>
      <c r="T21" s="659" t="s">
        <v>14</v>
      </c>
      <c r="U21" s="660">
        <f>H21</f>
        <v>100</v>
      </c>
      <c r="V21" s="659" t="s">
        <v>14</v>
      </c>
      <c r="W21" s="660">
        <f>J21</f>
        <v>100</v>
      </c>
      <c r="X21" s="1257"/>
      <c r="Y21" s="3384"/>
      <c r="Z21" s="1256" t="str">
        <f>Q21</f>
        <v>环境状况</v>
      </c>
      <c r="AA21" s="1256">
        <f t="shared" si="3"/>
        <v>1</v>
      </c>
      <c r="AB21" s="1256">
        <f t="shared" si="4"/>
        <v>1</v>
      </c>
      <c r="AC21" s="1256">
        <f t="shared" si="5"/>
        <v>1</v>
      </c>
    </row>
    <row r="22" spans="1:29" ht="15.5">
      <c r="A22" s="342"/>
      <c r="B22" s="395"/>
      <c r="C22" s="380"/>
      <c r="D22" s="381"/>
      <c r="E22" s="1749"/>
      <c r="F22" s="381"/>
      <c r="G22" s="1749"/>
      <c r="H22" s="381"/>
      <c r="I22" s="380"/>
      <c r="J22" s="381"/>
      <c r="K22" s="586"/>
      <c r="L22" s="2482"/>
      <c r="M22" s="2477"/>
      <c r="N22" s="2477"/>
      <c r="O22" s="2532"/>
      <c r="P22" s="3384"/>
      <c r="Q22" s="1255"/>
      <c r="R22" s="659"/>
      <c r="S22" s="660"/>
      <c r="T22" s="659"/>
      <c r="U22" s="660"/>
      <c r="V22" s="659"/>
      <c r="W22" s="660"/>
      <c r="X22" s="1257"/>
      <c r="Y22" s="3384"/>
      <c r="Z22" s="1256"/>
      <c r="AA22" s="1256">
        <v>1</v>
      </c>
      <c r="AB22" s="1256">
        <v>1</v>
      </c>
      <c r="AC22" s="1256">
        <v>1</v>
      </c>
    </row>
    <row r="23" spans="1:29" s="102" customFormat="1" ht="15.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84"/>
      <c r="Q23" s="524" t="str">
        <f t="shared" si="8"/>
        <v>公共配套设施</v>
      </c>
      <c r="R23" s="656" t="s">
        <v>14</v>
      </c>
      <c r="S23" s="657">
        <f>F23</f>
        <v>100</v>
      </c>
      <c r="T23" s="656" t="s">
        <v>14</v>
      </c>
      <c r="U23" s="657">
        <f>H23</f>
        <v>100</v>
      </c>
      <c r="V23" s="656" t="s">
        <v>14</v>
      </c>
      <c r="W23" s="657">
        <f>J23</f>
        <v>100</v>
      </c>
      <c r="X23" s="658"/>
      <c r="Y23" s="3384"/>
      <c r="Z23" s="50" t="str">
        <f>Q23</f>
        <v>公共配套设施</v>
      </c>
      <c r="AA23" s="1256">
        <f>D23/F23</f>
        <v>1</v>
      </c>
      <c r="AB23" s="1256">
        <f>D23/H23</f>
        <v>1</v>
      </c>
      <c r="AC23" s="1256">
        <f>D23/J23</f>
        <v>1</v>
      </c>
    </row>
    <row r="24" spans="1:29" s="102" customFormat="1" ht="15.5">
      <c r="A24" s="437"/>
      <c r="B24" s="395"/>
      <c r="C24" s="1817"/>
      <c r="D24" s="381"/>
      <c r="E24" s="1749"/>
      <c r="F24" s="381"/>
      <c r="G24" s="1749"/>
      <c r="H24" s="381"/>
      <c r="I24" s="380"/>
      <c r="J24" s="381"/>
      <c r="K24" s="586"/>
      <c r="L24" s="2478"/>
      <c r="M24" s="2429"/>
      <c r="N24" s="2429"/>
      <c r="O24" s="2530"/>
      <c r="P24" s="3384"/>
      <c r="Q24" s="524"/>
      <c r="R24" s="656"/>
      <c r="S24" s="657"/>
      <c r="T24" s="656"/>
      <c r="U24" s="657"/>
      <c r="V24" s="656"/>
      <c r="W24" s="657"/>
      <c r="X24" s="658"/>
      <c r="Y24" s="3384"/>
      <c r="Z24" s="50"/>
      <c r="AA24" s="50">
        <v>1</v>
      </c>
      <c r="AB24" s="50">
        <v>1</v>
      </c>
      <c r="AC24" s="50">
        <v>1</v>
      </c>
    </row>
    <row r="25" spans="1:29" s="102" customFormat="1" ht="15.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84"/>
      <c r="Q25" s="524" t="str">
        <f t="shared" ref="Q25" si="9">B25</f>
        <v>基础设施水平</v>
      </c>
      <c r="R25" s="656" t="s">
        <v>14</v>
      </c>
      <c r="S25" s="657">
        <f>F25</f>
        <v>100</v>
      </c>
      <c r="T25" s="656" t="s">
        <v>14</v>
      </c>
      <c r="U25" s="657">
        <f>H25</f>
        <v>100</v>
      </c>
      <c r="V25" s="656" t="s">
        <v>14</v>
      </c>
      <c r="W25" s="657">
        <f>J25</f>
        <v>100</v>
      </c>
      <c r="X25" s="658"/>
      <c r="Y25" s="3384"/>
      <c r="Z25" s="50" t="str">
        <f>Q25</f>
        <v>基础设施水平</v>
      </c>
      <c r="AA25" s="1256">
        <f>D25/F25</f>
        <v>1</v>
      </c>
      <c r="AB25" s="1256">
        <f>D25/H25</f>
        <v>1</v>
      </c>
      <c r="AC25" s="1256">
        <f>D25/J25</f>
        <v>1</v>
      </c>
    </row>
    <row r="26" spans="1:29" s="102" customFormat="1" ht="15.5">
      <c r="A26" s="437"/>
      <c r="B26" s="395"/>
      <c r="C26" s="1817"/>
      <c r="D26" s="381"/>
      <c r="E26" s="1818"/>
      <c r="F26" s="381"/>
      <c r="G26" s="1818"/>
      <c r="H26" s="381"/>
      <c r="I26" s="1818"/>
      <c r="J26" s="381"/>
      <c r="K26" s="586"/>
      <c r="L26" s="2478"/>
      <c r="M26" s="2429"/>
      <c r="N26" s="2429"/>
      <c r="O26" s="2530"/>
      <c r="P26" s="3384"/>
      <c r="Q26" s="524"/>
      <c r="R26" s="656"/>
      <c r="S26" s="657"/>
      <c r="T26" s="656"/>
      <c r="U26" s="657"/>
      <c r="V26" s="656"/>
      <c r="W26" s="657"/>
      <c r="X26" s="658"/>
      <c r="Y26" s="3384"/>
      <c r="Z26" s="50"/>
      <c r="AA26" s="50">
        <v>1</v>
      </c>
      <c r="AB26" s="50">
        <v>1</v>
      </c>
      <c r="AC26" s="50">
        <v>1</v>
      </c>
    </row>
    <row r="27" spans="1:29" ht="15.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84"/>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84"/>
      <c r="Z27" s="1256" t="str">
        <f t="shared" ref="Z27:Z40" si="13">Q27</f>
        <v>临街状况</v>
      </c>
      <c r="AA27" s="1256">
        <f t="shared" si="3"/>
        <v>1</v>
      </c>
      <c r="AB27" s="1256">
        <f t="shared" si="4"/>
        <v>1</v>
      </c>
      <c r="AC27" s="1256">
        <f t="shared" si="5"/>
        <v>1</v>
      </c>
    </row>
    <row r="28" spans="1:29" ht="28">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84"/>
      <c r="Q28" s="1255" t="str">
        <f t="shared" si="8"/>
        <v>毗邻道路的类型与等级</v>
      </c>
      <c r="R28" s="659" t="s">
        <v>14</v>
      </c>
      <c r="S28" s="660">
        <f t="shared" si="10"/>
        <v>100</v>
      </c>
      <c r="T28" s="659" t="s">
        <v>14</v>
      </c>
      <c r="U28" s="660">
        <f t="shared" si="11"/>
        <v>100</v>
      </c>
      <c r="V28" s="659" t="s">
        <v>14</v>
      </c>
      <c r="W28" s="660">
        <f t="shared" si="12"/>
        <v>100</v>
      </c>
      <c r="X28" s="1257"/>
      <c r="Y28" s="3384"/>
      <c r="Z28" s="1256" t="str">
        <f t="shared" si="13"/>
        <v>毗邻道路的类型与等级</v>
      </c>
      <c r="AA28" s="1256">
        <f t="shared" si="3"/>
        <v>1</v>
      </c>
      <c r="AB28" s="1256">
        <f t="shared" si="4"/>
        <v>1</v>
      </c>
      <c r="AC28" s="1256">
        <f t="shared" si="5"/>
        <v>1</v>
      </c>
    </row>
    <row r="29" spans="1:29" ht="15.5">
      <c r="A29" s="361"/>
      <c r="B29" s="395"/>
      <c r="C29" s="380"/>
      <c r="D29" s="381"/>
      <c r="E29" s="1749"/>
      <c r="F29" s="381"/>
      <c r="G29" s="1749"/>
      <c r="H29" s="381"/>
      <c r="I29" s="1749"/>
      <c r="J29" s="381"/>
      <c r="K29" s="533"/>
      <c r="L29" s="2482"/>
      <c r="M29" s="2477"/>
      <c r="N29" s="2477"/>
      <c r="O29" s="2532"/>
      <c r="P29" s="3384"/>
      <c r="Q29" s="1255"/>
      <c r="R29" s="659"/>
      <c r="S29" s="660"/>
      <c r="T29" s="659"/>
      <c r="U29" s="660"/>
      <c r="V29" s="659"/>
      <c r="W29" s="660"/>
      <c r="X29" s="1257"/>
      <c r="Y29" s="3384"/>
      <c r="Z29" s="1256"/>
      <c r="AA29" s="1256">
        <v>1</v>
      </c>
      <c r="AB29" s="1256">
        <v>1</v>
      </c>
      <c r="AC29" s="1256">
        <v>1</v>
      </c>
    </row>
    <row r="30" spans="1:29" ht="15.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84"/>
      <c r="Q30" s="1255" t="str">
        <f t="shared" si="8"/>
        <v>土地级别</v>
      </c>
      <c r="R30" s="659" t="s">
        <v>14</v>
      </c>
      <c r="S30" s="660">
        <f t="shared" si="10"/>
        <v>100</v>
      </c>
      <c r="T30" s="659" t="s">
        <v>14</v>
      </c>
      <c r="U30" s="660">
        <f t="shared" si="11"/>
        <v>100</v>
      </c>
      <c r="V30" s="659" t="s">
        <v>14</v>
      </c>
      <c r="W30" s="660">
        <f t="shared" si="12"/>
        <v>100</v>
      </c>
      <c r="X30" s="1257"/>
      <c r="Y30" s="3384"/>
      <c r="Z30" s="1256" t="str">
        <f t="shared" si="13"/>
        <v>土地级别</v>
      </c>
      <c r="AA30" s="1256">
        <f t="shared" si="3"/>
        <v>1</v>
      </c>
      <c r="AB30" s="1256">
        <f t="shared" si="4"/>
        <v>1</v>
      </c>
      <c r="AC30" s="1256">
        <f t="shared" si="5"/>
        <v>1</v>
      </c>
    </row>
    <row r="31" spans="1:29" ht="15.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84"/>
      <c r="Q31" s="1255">
        <f t="shared" si="8"/>
        <v>111</v>
      </c>
      <c r="R31" s="659" t="s">
        <v>14</v>
      </c>
      <c r="S31" s="660">
        <f t="shared" si="10"/>
        <v>100</v>
      </c>
      <c r="T31" s="659" t="s">
        <v>14</v>
      </c>
      <c r="U31" s="660">
        <f t="shared" si="11"/>
        <v>100</v>
      </c>
      <c r="V31" s="659" t="s">
        <v>14</v>
      </c>
      <c r="W31" s="660">
        <f t="shared" si="12"/>
        <v>100</v>
      </c>
      <c r="X31" s="1257"/>
      <c r="Y31" s="3384"/>
      <c r="Z31" s="1256">
        <f t="shared" si="13"/>
        <v>111</v>
      </c>
      <c r="AA31" s="1256">
        <f t="shared" si="3"/>
        <v>1</v>
      </c>
      <c r="AB31" s="1256">
        <f t="shared" si="4"/>
        <v>1</v>
      </c>
      <c r="AC31" s="1256">
        <f t="shared" si="5"/>
        <v>1</v>
      </c>
    </row>
    <row r="32" spans="1:29" ht="15.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85" t="s">
        <v>1696</v>
      </c>
      <c r="Q32" s="1255">
        <f t="shared" si="8"/>
        <v>111</v>
      </c>
      <c r="R32" s="659" t="s">
        <v>14</v>
      </c>
      <c r="S32" s="660">
        <f t="shared" si="10"/>
        <v>100</v>
      </c>
      <c r="T32" s="659" t="s">
        <v>14</v>
      </c>
      <c r="U32" s="660">
        <f t="shared" si="11"/>
        <v>100</v>
      </c>
      <c r="V32" s="659" t="s">
        <v>14</v>
      </c>
      <c r="W32" s="660">
        <f t="shared" si="12"/>
        <v>100</v>
      </c>
      <c r="X32" s="1257"/>
      <c r="Y32" s="3386" t="s">
        <v>1696</v>
      </c>
      <c r="Z32" s="1256">
        <f t="shared" si="13"/>
        <v>111</v>
      </c>
      <c r="AA32" s="1256">
        <f t="shared" si="3"/>
        <v>1</v>
      </c>
      <c r="AB32" s="1256">
        <f t="shared" si="4"/>
        <v>1</v>
      </c>
      <c r="AC32" s="1256">
        <f t="shared" si="5"/>
        <v>1</v>
      </c>
    </row>
    <row r="33" spans="1:31" s="402" customFormat="1" ht="16"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86"/>
      <c r="Q33" s="1255">
        <f t="shared" si="8"/>
        <v>111</v>
      </c>
      <c r="R33" s="661" t="s">
        <v>14</v>
      </c>
      <c r="S33" s="662">
        <f t="shared" si="10"/>
        <v>100</v>
      </c>
      <c r="T33" s="661" t="s">
        <v>14</v>
      </c>
      <c r="U33" s="662">
        <f t="shared" si="11"/>
        <v>100</v>
      </c>
      <c r="V33" s="661" t="s">
        <v>14</v>
      </c>
      <c r="W33" s="662">
        <f t="shared" si="12"/>
        <v>100</v>
      </c>
      <c r="X33" s="663"/>
      <c r="Y33" s="3386"/>
      <c r="Z33" s="664">
        <f t="shared" si="13"/>
        <v>111</v>
      </c>
      <c r="AA33" s="1256">
        <f t="shared" si="3"/>
        <v>1</v>
      </c>
      <c r="AB33" s="1256">
        <f t="shared" si="4"/>
        <v>1</v>
      </c>
      <c r="AC33" s="1256">
        <f t="shared" si="5"/>
        <v>1</v>
      </c>
    </row>
    <row r="34" spans="1:31" ht="15.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86"/>
      <c r="Q34" s="1255" t="str">
        <f>B34</f>
        <v>宗地面积</v>
      </c>
      <c r="R34" s="659" t="s">
        <v>14</v>
      </c>
      <c r="S34" s="660" t="e">
        <f t="shared" si="10"/>
        <v>#N/A</v>
      </c>
      <c r="T34" s="659" t="s">
        <v>14</v>
      </c>
      <c r="U34" s="660" t="e">
        <f t="shared" si="11"/>
        <v>#N/A</v>
      </c>
      <c r="V34" s="659" t="s">
        <v>14</v>
      </c>
      <c r="W34" s="660" t="e">
        <f t="shared" si="12"/>
        <v>#N/A</v>
      </c>
      <c r="X34" s="1257"/>
      <c r="Y34" s="3386"/>
      <c r="Z34" s="1256" t="str">
        <f t="shared" si="13"/>
        <v>宗地面积</v>
      </c>
      <c r="AA34" s="1256" t="e">
        <f t="shared" si="3"/>
        <v>#N/A</v>
      </c>
      <c r="AB34" s="1256" t="e">
        <f t="shared" si="4"/>
        <v>#N/A</v>
      </c>
      <c r="AC34" s="1256" t="e">
        <f t="shared" si="5"/>
        <v>#N/A</v>
      </c>
    </row>
    <row r="35" spans="1:31" ht="15.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86"/>
      <c r="Q35" s="1255" t="str">
        <f t="shared" ref="Q35:Q40" si="14">B35</f>
        <v>宗地形状</v>
      </c>
      <c r="R35" s="659" t="s">
        <v>14</v>
      </c>
      <c r="S35" s="660">
        <f t="shared" si="10"/>
        <v>100</v>
      </c>
      <c r="T35" s="659" t="s">
        <v>14</v>
      </c>
      <c r="U35" s="660">
        <f t="shared" si="11"/>
        <v>100</v>
      </c>
      <c r="V35" s="659" t="s">
        <v>14</v>
      </c>
      <c r="W35" s="660">
        <f t="shared" si="12"/>
        <v>100</v>
      </c>
      <c r="X35" s="1257"/>
      <c r="Y35" s="3386"/>
      <c r="Z35" s="1256" t="str">
        <f t="shared" si="13"/>
        <v>宗地形状</v>
      </c>
      <c r="AA35" s="1256">
        <f t="shared" si="3"/>
        <v>1</v>
      </c>
      <c r="AB35" s="1256">
        <f t="shared" si="4"/>
        <v>1</v>
      </c>
      <c r="AC35" s="1256">
        <f t="shared" si="5"/>
        <v>1</v>
      </c>
    </row>
    <row r="36" spans="1:31" s="102" customFormat="1" ht="15.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86"/>
      <c r="Q36" s="1255" t="str">
        <f t="shared" si="14"/>
        <v>宗地开发程度</v>
      </c>
      <c r="R36" s="656" t="s">
        <v>14</v>
      </c>
      <c r="S36" s="657">
        <f t="shared" si="10"/>
        <v>100</v>
      </c>
      <c r="T36" s="656" t="s">
        <v>14</v>
      </c>
      <c r="U36" s="657">
        <f t="shared" si="11"/>
        <v>100</v>
      </c>
      <c r="V36" s="656" t="s">
        <v>14</v>
      </c>
      <c r="W36" s="657">
        <f t="shared" si="12"/>
        <v>100</v>
      </c>
      <c r="X36" s="658"/>
      <c r="Y36" s="3386"/>
      <c r="Z36" s="50" t="str">
        <f t="shared" si="13"/>
        <v>宗地开发程度</v>
      </c>
      <c r="AA36" s="50">
        <f t="shared" si="3"/>
        <v>1</v>
      </c>
      <c r="AB36" s="50">
        <f t="shared" si="4"/>
        <v>1</v>
      </c>
      <c r="AC36" s="50">
        <f t="shared" si="5"/>
        <v>1</v>
      </c>
    </row>
    <row r="37" spans="1:31" ht="15.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86" t="s">
        <v>1696</v>
      </c>
      <c r="Q37" s="1255" t="str">
        <f t="shared" si="14"/>
        <v>工程地质条件</v>
      </c>
      <c r="R37" s="659" t="s">
        <v>14</v>
      </c>
      <c r="S37" s="660">
        <f t="shared" si="10"/>
        <v>100</v>
      </c>
      <c r="T37" s="659" t="s">
        <v>14</v>
      </c>
      <c r="U37" s="660">
        <f t="shared" si="11"/>
        <v>100</v>
      </c>
      <c r="V37" s="659" t="s">
        <v>14</v>
      </c>
      <c r="W37" s="660">
        <f t="shared" si="12"/>
        <v>100</v>
      </c>
      <c r="X37" s="1257"/>
      <c r="Y37" s="3386" t="s">
        <v>1696</v>
      </c>
      <c r="Z37" s="1256" t="str">
        <f t="shared" si="13"/>
        <v>工程地质条件</v>
      </c>
      <c r="AA37" s="1256">
        <f t="shared" si="3"/>
        <v>1</v>
      </c>
      <c r="AB37" s="1256">
        <f t="shared" si="4"/>
        <v>1</v>
      </c>
      <c r="AC37" s="1256">
        <f t="shared" si="5"/>
        <v>1</v>
      </c>
    </row>
    <row r="38" spans="1:31" ht="15.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86"/>
      <c r="Q38" s="1255">
        <f t="shared" si="14"/>
        <v>111</v>
      </c>
      <c r="R38" s="659" t="s">
        <v>14</v>
      </c>
      <c r="S38" s="660">
        <f t="shared" si="10"/>
        <v>100</v>
      </c>
      <c r="T38" s="659" t="s">
        <v>14</v>
      </c>
      <c r="U38" s="660">
        <f t="shared" si="11"/>
        <v>100</v>
      </c>
      <c r="V38" s="659" t="s">
        <v>14</v>
      </c>
      <c r="W38" s="660">
        <f t="shared" si="12"/>
        <v>100</v>
      </c>
      <c r="X38" s="1257"/>
      <c r="Y38" s="3386"/>
      <c r="Z38" s="1256">
        <f t="shared" si="13"/>
        <v>111</v>
      </c>
      <c r="AA38" s="1256">
        <f t="shared" si="3"/>
        <v>1</v>
      </c>
      <c r="AB38" s="1256">
        <f t="shared" si="4"/>
        <v>1</v>
      </c>
      <c r="AC38" s="1256">
        <f t="shared" si="5"/>
        <v>1</v>
      </c>
    </row>
    <row r="39" spans="1:31" ht="15.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86"/>
      <c r="Q39" s="1255">
        <f t="shared" si="14"/>
        <v>111</v>
      </c>
      <c r="R39" s="659" t="s">
        <v>14</v>
      </c>
      <c r="S39" s="660">
        <f t="shared" si="10"/>
        <v>100</v>
      </c>
      <c r="T39" s="659" t="s">
        <v>14</v>
      </c>
      <c r="U39" s="660">
        <f t="shared" si="11"/>
        <v>100</v>
      </c>
      <c r="V39" s="659" t="s">
        <v>14</v>
      </c>
      <c r="W39" s="660">
        <f t="shared" si="12"/>
        <v>100</v>
      </c>
      <c r="X39" s="1257"/>
      <c r="Y39" s="3386"/>
      <c r="Z39" s="1256">
        <f t="shared" si="13"/>
        <v>111</v>
      </c>
      <c r="AA39" s="1256">
        <f t="shared" si="3"/>
        <v>1</v>
      </c>
      <c r="AB39" s="1256">
        <f t="shared" si="4"/>
        <v>1</v>
      </c>
      <c r="AC39" s="1256">
        <f t="shared" si="5"/>
        <v>1</v>
      </c>
    </row>
    <row r="40" spans="1:31" s="402" customFormat="1" ht="16"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86"/>
      <c r="Q40" s="1255">
        <f t="shared" si="14"/>
        <v>111</v>
      </c>
      <c r="R40" s="661" t="s">
        <v>14</v>
      </c>
      <c r="S40" s="662">
        <f t="shared" si="10"/>
        <v>100</v>
      </c>
      <c r="T40" s="661" t="s">
        <v>14</v>
      </c>
      <c r="U40" s="662">
        <f t="shared" si="11"/>
        <v>100</v>
      </c>
      <c r="V40" s="661" t="s">
        <v>14</v>
      </c>
      <c r="W40" s="662">
        <f t="shared" si="12"/>
        <v>100</v>
      </c>
      <c r="X40" s="663"/>
      <c r="Y40" s="3386"/>
      <c r="Z40" s="664">
        <f t="shared" si="13"/>
        <v>111</v>
      </c>
      <c r="AA40" s="1256">
        <f t="shared" si="3"/>
        <v>1</v>
      </c>
      <c r="AB40" s="1256">
        <f t="shared" si="4"/>
        <v>1</v>
      </c>
      <c r="AC40" s="1256">
        <f t="shared" si="5"/>
        <v>1</v>
      </c>
    </row>
    <row r="41" spans="1:31">
      <c r="A41" s="410" t="s">
        <v>1844</v>
      </c>
      <c r="B41" s="1821" t="s">
        <v>1922</v>
      </c>
      <c r="C41" s="596" t="s">
        <v>0</v>
      </c>
      <c r="D41" s="412"/>
      <c r="E41" s="413"/>
      <c r="F41" s="414"/>
      <c r="G41" s="415"/>
      <c r="H41" s="416"/>
      <c r="I41" s="413"/>
      <c r="J41" s="416"/>
      <c r="K41" s="666"/>
      <c r="L41" s="2484"/>
      <c r="M41" s="2477"/>
      <c r="N41" s="2477"/>
      <c r="O41" s="2477"/>
      <c r="P41" s="3368" t="str">
        <f>A41</f>
        <v>成交单价</v>
      </c>
      <c r="Q41" s="3368"/>
      <c r="R41" s="3381">
        <f>E41</f>
        <v>0</v>
      </c>
      <c r="S41" s="3381"/>
      <c r="T41" s="3381">
        <f>G41</f>
        <v>0</v>
      </c>
      <c r="U41" s="3381"/>
      <c r="V41" s="3381">
        <f>I41</f>
        <v>0</v>
      </c>
      <c r="W41" s="3381"/>
      <c r="X41" s="379"/>
      <c r="Y41" s="665"/>
      <c r="Z41" s="379"/>
      <c r="AA41" s="379"/>
      <c r="AB41" s="379"/>
      <c r="AC41" s="379"/>
    </row>
    <row r="42" spans="1:31" ht="14.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68" t="str">
        <f>A42</f>
        <v>比较价值（元/平方米）</v>
      </c>
      <c r="Q42" s="3368"/>
      <c r="R42" s="3387" t="e">
        <f>ROUND(PRODUCT(R41,AA7:AA40),0)</f>
        <v>#DIV/0!</v>
      </c>
      <c r="S42" s="3387"/>
      <c r="T42" s="3387" t="e">
        <f>ROUND(PRODUCT(T41,AB7:AB40),0)</f>
        <v>#DIV/0!</v>
      </c>
      <c r="U42" s="3387"/>
      <c r="V42" s="3387" t="e">
        <f>ROUND(PRODUCT(V41,AC7:AC40),0)</f>
        <v>#DIV/0!</v>
      </c>
      <c r="W42" s="3387"/>
      <c r="X42" s="379"/>
      <c r="Y42" s="379"/>
      <c r="Z42" s="379"/>
      <c r="AA42" s="379"/>
      <c r="AB42" s="379"/>
      <c r="AC42" s="379"/>
    </row>
    <row r="43" spans="1:31" ht="14.5" thickBot="1">
      <c r="A43" s="421" t="s">
        <v>1794</v>
      </c>
      <c r="B43" s="422"/>
      <c r="C43" s="423" t="e">
        <f>R43</f>
        <v>#DIV/0!</v>
      </c>
      <c r="D43" s="423"/>
      <c r="E43" s="423"/>
      <c r="F43" s="423"/>
      <c r="G43" s="423"/>
      <c r="H43" s="423"/>
      <c r="I43" s="423"/>
      <c r="J43" s="423"/>
      <c r="K43" s="667"/>
      <c r="L43" s="2484"/>
      <c r="M43" s="2477"/>
      <c r="N43" s="2477"/>
      <c r="O43" s="2477"/>
      <c r="P43" s="3388" t="str">
        <f>A43</f>
        <v>估价对象XX用房的比较价值（楼面单价，元/平方米）</v>
      </c>
      <c r="Q43" s="3389"/>
      <c r="R43" s="3390" t="e">
        <f>ROUND(IF(D42="简单平均",AVERAGE(R42:W42),R42*F42+T42*H42+V42*J42),0)</f>
        <v>#DIV/0!</v>
      </c>
      <c r="S43" s="3390"/>
      <c r="T43" s="3390"/>
      <c r="U43" s="3390"/>
      <c r="V43" s="3390"/>
      <c r="W43" s="3390"/>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4.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
      <c r="A50" s="598" t="s">
        <v>1881</v>
      </c>
      <c r="B50" s="599" t="s">
        <v>1882</v>
      </c>
      <c r="C50" s="1822" t="s">
        <v>1883</v>
      </c>
      <c r="D50" s="1823" t="s">
        <v>1884</v>
      </c>
      <c r="E50" s="600" t="s">
        <v>1885</v>
      </c>
      <c r="F50" s="601" t="s">
        <v>1886</v>
      </c>
      <c r="G50" s="3369" t="s">
        <v>1887</v>
      </c>
      <c r="H50" s="3391"/>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41819.959999999992</v>
      </c>
      <c r="F51" s="605" t="e">
        <f t="shared" ref="F51:F60" si="15">ROUND(B51*E51/10000,0)</f>
        <v>#DIV/0!</v>
      </c>
      <c r="G51" s="3392"/>
      <c r="H51" s="3368"/>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39"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0"/>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0"/>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1"/>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4.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4.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2023-11-1</v>
      </c>
      <c r="D63" s="648">
        <f>EDATE(C63,-3)</f>
        <v>45139</v>
      </c>
      <c r="E63" s="648">
        <f>EDATE(D63,-3)</f>
        <v>45047</v>
      </c>
      <c r="F63" s="648">
        <f t="shared" ref="F63:O63" si="18">EDATE(E63,-3)</f>
        <v>44958</v>
      </c>
      <c r="G63" s="648">
        <f t="shared" si="18"/>
        <v>44866</v>
      </c>
      <c r="H63" s="648">
        <f t="shared" si="18"/>
        <v>44774</v>
      </c>
      <c r="I63" s="648">
        <f t="shared" si="18"/>
        <v>44682</v>
      </c>
      <c r="J63" s="648">
        <f t="shared" si="18"/>
        <v>44593</v>
      </c>
      <c r="K63" s="648">
        <f t="shared" si="18"/>
        <v>44501</v>
      </c>
      <c r="L63" s="648">
        <f t="shared" si="18"/>
        <v>44409</v>
      </c>
      <c r="M63" s="648">
        <f t="shared" si="18"/>
        <v>44317</v>
      </c>
      <c r="N63" s="648">
        <f t="shared" si="18"/>
        <v>44228</v>
      </c>
      <c r="O63" s="648">
        <f t="shared" si="18"/>
        <v>44136</v>
      </c>
      <c r="P63" s="2477"/>
      <c r="Q63" s="2477"/>
      <c r="R63" s="2477"/>
      <c r="S63" s="2477"/>
      <c r="T63" s="2477"/>
      <c r="U63" s="2477"/>
      <c r="V63" s="2477"/>
      <c r="W63" s="2477"/>
      <c r="X63" s="2477"/>
      <c r="Y63" s="2477"/>
      <c r="Z63" s="2477"/>
      <c r="AA63" s="2477"/>
      <c r="AB63" s="2477"/>
      <c r="AC63" s="2477"/>
      <c r="AD63" s="2477"/>
      <c r="AE63" s="2477"/>
    </row>
    <row r="64" spans="1:31" ht="21.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c r="A65" s="1621" t="s">
        <v>1904</v>
      </c>
      <c r="B65" s="1039"/>
      <c r="C65" s="1093" t="str">
        <f>YEAR(C63)&amp;"-"&amp;ROUNDUP(MONTH(C63)/3,0)</f>
        <v>2023-4</v>
      </c>
      <c r="D65" s="1093" t="str">
        <f t="shared" ref="D65:O65" si="19">YEAR(D63)&amp;"-"&amp;ROUNDUP(MONTH(D63)/3,0)</f>
        <v>2023-3</v>
      </c>
      <c r="E65" s="1093" t="str">
        <f t="shared" si="19"/>
        <v>2023-2</v>
      </c>
      <c r="F65" s="1093" t="str">
        <f t="shared" si="19"/>
        <v>2023-1</v>
      </c>
      <c r="G65" s="1093" t="str">
        <f t="shared" si="19"/>
        <v>2022-4</v>
      </c>
      <c r="H65" s="1093" t="str">
        <f t="shared" si="19"/>
        <v>2022-3</v>
      </c>
      <c r="I65" s="1093" t="str">
        <f t="shared" si="19"/>
        <v>2022-2</v>
      </c>
      <c r="J65" s="1093" t="str">
        <f t="shared" si="19"/>
        <v>2022-1</v>
      </c>
      <c r="K65" s="1093" t="str">
        <f t="shared" si="19"/>
        <v>2021-4</v>
      </c>
      <c r="L65" s="1093" t="str">
        <f t="shared" si="19"/>
        <v>2021-3</v>
      </c>
      <c r="M65" s="1093" t="str">
        <f t="shared" si="19"/>
        <v>2021-2</v>
      </c>
      <c r="N65" s="1093" t="str">
        <f t="shared" si="19"/>
        <v>2021-1</v>
      </c>
      <c r="O65" s="1093" t="str">
        <f t="shared" si="19"/>
        <v>2020-4</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4.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4.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4.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8.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4.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4.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4.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4.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4.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4.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4.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4.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4.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4.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4.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4.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8.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4.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8.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4.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4.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4.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4.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4.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4.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4.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8.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4.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4.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4.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4.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4.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4.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4.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4.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4.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4.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4.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5"/>
  <cols>
    <col min="1" max="1" width="11.453125" style="116"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2" t="s">
        <v>2084</v>
      </c>
      <c r="D1" s="3453"/>
      <c r="E1" s="3453"/>
      <c r="F1" s="3453"/>
      <c r="G1" s="3453"/>
      <c r="H1" s="3453"/>
      <c r="I1" s="3453"/>
      <c r="J1" s="3453"/>
      <c r="K1" s="3453"/>
      <c r="L1" s="3453"/>
      <c r="M1" s="3453"/>
      <c r="N1" s="3453"/>
      <c r="O1" s="3453"/>
      <c r="P1" s="3453"/>
      <c r="Q1" s="3453"/>
      <c r="R1" s="3453"/>
      <c r="S1" s="3454"/>
      <c r="T1" s="922" t="s">
        <v>2085</v>
      </c>
    </row>
    <row r="2" spans="1:45" s="619" customFormat="1" ht="13">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ht="13">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ht="13">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ht="13">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ht="13">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ht="13">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ht="13">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ht="13">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ht="13">
      <c r="A19" s="115"/>
      <c r="B19" s="145"/>
      <c r="C19" s="145"/>
      <c r="D19" s="1979" t="s">
        <v>2095</v>
      </c>
      <c r="E19" s="1245"/>
      <c r="F19" s="1245"/>
      <c r="G19" s="1245"/>
      <c r="H19" s="989"/>
      <c r="I19" s="145"/>
      <c r="J19" s="145"/>
      <c r="K19" s="145"/>
      <c r="L19" s="145"/>
      <c r="M19" s="145"/>
      <c r="N19" s="145"/>
      <c r="O19" s="145"/>
      <c r="P19" s="145"/>
      <c r="Q19" s="145"/>
      <c r="R19" s="145"/>
      <c r="S19" s="115"/>
    </row>
    <row r="20" spans="1:45" ht="16"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ht="13">
      <c r="A22" s="302"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ht="13">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ht="13">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ht="13">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ht="13">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ht="13">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ht="13">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ht="13">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ht="13">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ht="13">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ht="13">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ht="13">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ht="13">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ht="13">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ht="13">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ht="13">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ht="13">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ht="13">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ht="13">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ht="13">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ht="13">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ht="13">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ht="13">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ht="13">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ht="13">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ht="13">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ht="13">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ht="13">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ht="13">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ht="13">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ht="13">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ht="13">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ht="13">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ht="13">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ht="13">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ht="13">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ht="13">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ht="13">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ht="13">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ht="13">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ht="13">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ht="13">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ht="13">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ht="13">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ht="13">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ht="13">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ht="13">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ht="13">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ht="13">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ht="13">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ht="13">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ht="13">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ht="13">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ht="13">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ht="13">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ht="13">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ht="13">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ht="13">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ht="13">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ht="13">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ht="13">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ht="13">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ht="13">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ht="13">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ht="13">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ht="13">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ht="13">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ht="13">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ht="13">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ht="13">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ht="13">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ht="13">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ht="13">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ht="13">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ht="13">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ht="13">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ht="13">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ht="13">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ht="13">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ht="13">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ht="13">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ht="13">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ht="13">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ht="13">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ht="13">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ht="13">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ht="13">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ht="13">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ht="13">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ht="13">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ht="13">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ht="13">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ht="13">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ht="13">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ht="13">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ht="13">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ht="13">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ht="13">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ht="13">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ht="13">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ht="13">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ht="13">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ht="13">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ht="13">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ht="13">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ht="13">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ht="13">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ht="13">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ht="13">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ht="13">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ht="13">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ht="13">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ht="13">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ht="13">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ht="13">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ht="13">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ht="13">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ht="13">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ht="13">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ht="13">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ht="13">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ht="13">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ht="13">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ht="13">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ht="13">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ht="13">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ht="13">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ht="13">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ht="13">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ht="13">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ht="13">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ht="13">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ht="13">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ht="13">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ht="13">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ht="13">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ht="13">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ht="13">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ht="13">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ht="13">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ht="13">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ht="13">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ht="13">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ht="13">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ht="13">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ht="13">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ht="13">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ht="13">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ht="13">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ht="13">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ht="13">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ht="13">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ht="13">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ht="13">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ht="13">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ht="13">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ht="13">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ht="13">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ht="13">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ht="13">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ht="13">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ht="13">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ht="13">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ht="13">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ht="13">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ht="13">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ht="13">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ht="13">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ht="13">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ht="13">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ht="13">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ht="13">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ht="13">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ht="13">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ht="13">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ht="13">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ht="13">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ht="13">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ht="13">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ht="13">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ht="13">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ht="13">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ht="13">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ht="13">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ht="13">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ht="13">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ht="13">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ht="13">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ht="13">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ht="13">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ht="13">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ht="13">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ht="13">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ht="13">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ht="13">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ht="13">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ht="13">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ht="13">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ht="13">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ht="13">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ht="13">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ht="13">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ht="13">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ht="13">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ht="13">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ht="13">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ht="13">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ht="13">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ht="13">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ht="13">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ht="13">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ht="13">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ht="13">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ht="13">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ht="13">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ht="13">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ht="13">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ht="13">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ht="13">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ht="13">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ht="13">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ht="13">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ht="13">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ht="13">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ht="13">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ht="13">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ht="13">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ht="13">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ht="13">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ht="13">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ht="13">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ht="13">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ht="13">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ht="13">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ht="13">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ht="13">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ht="13">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ht="13">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ht="13">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ht="13">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ht="13">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ht="13">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ht="13">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ht="13">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ht="13">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ht="13">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ht="13">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ht="13">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ht="13">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ht="13">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ht="13">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ht="13">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ht="13">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ht="13">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ht="13">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ht="13">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ht="13">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ht="13">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ht="13">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ht="13">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ht="13">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ht="13">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ht="13">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ht="13">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ht="13">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ht="13">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ht="13">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ht="13">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ht="13">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ht="13">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ht="13">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ht="13">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ht="13">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ht="13">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ht="13">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ht="13">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ht="13">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ht="13">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ht="13">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ht="13">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ht="13">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ht="13">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ht="13">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ht="13">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ht="13">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ht="13">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ht="13">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ht="13">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ht="13">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ht="13">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ht="13">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ht="13">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ht="13">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ht="13">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ht="13">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ht="13">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ht="13">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ht="13">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ht="13">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ht="13">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ht="13">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ht="13">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ht="13">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ht="13">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ht="13">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ht="13">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ht="13">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ht="13">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ht="13">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ht="13">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ht="13">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ht="13">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ht="13">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ht="13">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ht="13">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ht="13">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ht="13">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ht="13">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ht="13">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ht="13">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ht="13">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ht="13">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ht="13">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ht="13">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ht="13">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ht="13">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ht="13">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ht="13">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ht="13">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ht="13">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ht="13">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ht="13">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ht="13">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ht="13">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ht="13">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ht="13">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ht="13">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ht="13">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ht="13">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ht="13">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ht="13">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ht="13">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ht="13">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ht="13">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ht="13">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ht="13">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ht="13">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ht="13">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ht="13">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ht="13">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ht="13">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ht="13">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ht="13">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ht="13">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ht="13">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ht="13">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ht="13">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ht="13">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ht="13">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ht="13">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ht="13">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ht="13">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ht="13">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ht="13">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ht="13">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ht="13">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ht="13">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ht="13">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ht="13">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ht="13">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ht="13">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ht="13">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ht="13">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ht="13">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ht="13">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ht="13">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ht="13">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ht="13">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ht="13">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ht="13">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ht="13">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ht="13">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ht="13">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ht="13">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ht="13">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ht="13">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ht="13">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ht="13">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ht="13">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ht="13">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ht="13">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ht="13">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ht="13">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ht="13">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ht="13">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ht="13">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ht="13">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ht="13">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ht="13">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ht="13">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ht="13">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ht="13">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ht="13">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ht="13">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ht="13">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ht="13">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ht="13">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ht="13">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ht="13">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ht="13">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ht="13">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ht="13">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ht="13">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ht="13">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ht="13">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ht="13">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ht="13">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ht="13">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ht="13">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ht="13">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ht="13">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ht="13">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ht="13">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ht="13">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ht="13">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ht="13">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ht="13">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ht="13">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ht="13">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ht="13">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ht="13">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ht="13">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ht="13">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ht="13">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ht="13">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ht="13">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ht="13">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ht="13">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ht="13">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ht="13">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ht="13">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ht="13">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ht="13">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ht="13">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ht="13">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ht="13">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ht="13">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ht="13">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ht="13">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ht="13">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ht="13">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ht="13">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ht="13">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ht="13">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ht="13">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ht="13">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ht="13">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ht="13">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ht="13">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ht="13">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ht="13">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ht="13">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ht="13">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ht="13">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ht="13">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ht="13">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ht="13">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ht="13">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ht="13">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ht="13">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ht="13">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ht="13">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ht="13">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ht="13">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ht="13">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ht="13">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ht="13">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ht="13">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ht="13">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ht="13">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ht="13">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ht="13">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ht="13">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ht="13">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ht="13">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ht="13">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ht="13">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ht="13">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ht="13">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ht="13">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ht="13">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ht="13">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ht="13">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ht="13">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ht="13">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ht="13">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ht="13">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ht="13">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ht="13">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ht="13">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ht="13">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ht="13">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L14" sqref="L14"/>
    </sheetView>
  </sheetViews>
  <sheetFormatPr defaultColWidth="9" defaultRowHeight="14"/>
  <cols>
    <col min="1" max="1" width="23.36328125" style="634" customWidth="1"/>
    <col min="2" max="2" width="12.453125" style="634" customWidth="1"/>
    <col min="3" max="3" width="12.08984375" style="634" customWidth="1"/>
    <col min="4" max="4" width="14.08984375" style="634" customWidth="1"/>
    <col min="5" max="5" width="12.453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5">
      <c r="A3" s="1975" t="s">
        <v>2076</v>
      </c>
      <c r="B3" s="2378" t="e">
        <f ca="1">ROUND(B2*10000/E2,0)</f>
        <v>#DIV/0!</v>
      </c>
      <c r="C3" s="1975" t="s">
        <v>2082</v>
      </c>
      <c r="D3" s="2534"/>
      <c r="E3" s="2534"/>
      <c r="F3" s="2534"/>
      <c r="G3" s="2534"/>
      <c r="H3" s="2534"/>
      <c r="I3" s="2534"/>
      <c r="J3" s="2534"/>
      <c r="K3" s="2534"/>
      <c r="L3" s="2534"/>
      <c r="M3" s="2534"/>
      <c r="N3" s="2534"/>
      <c r="O3" s="2534"/>
      <c r="P3" s="2534"/>
    </row>
    <row r="4" spans="1:16" ht="15.5">
      <c r="A4" s="2546"/>
      <c r="B4" s="2534"/>
      <c r="C4" s="2534"/>
      <c r="D4" s="2534"/>
      <c r="E4" s="2534"/>
      <c r="F4" s="2534"/>
      <c r="G4" s="2534"/>
      <c r="H4" s="2534"/>
      <c r="I4" s="2534"/>
      <c r="J4" s="2534"/>
      <c r="K4" s="2534"/>
      <c r="L4" s="2534"/>
      <c r="M4" s="2534"/>
      <c r="N4" s="2534"/>
      <c r="O4" s="2534"/>
      <c r="P4" s="2534"/>
    </row>
    <row r="5" spans="1:16" ht="30">
      <c r="A5" s="2384" t="s">
        <v>2077</v>
      </c>
      <c r="B5" s="2386" t="s">
        <v>2078</v>
      </c>
      <c r="C5" s="1976"/>
      <c r="D5" s="2534"/>
      <c r="E5" s="2387" t="s">
        <v>2079</v>
      </c>
      <c r="F5" s="2534"/>
      <c r="G5" s="2534"/>
      <c r="H5" s="2534"/>
      <c r="I5" s="2534"/>
      <c r="J5" s="2534"/>
      <c r="K5" s="2534"/>
      <c r="L5" s="2534"/>
      <c r="M5" s="2534"/>
      <c r="N5" s="2534"/>
      <c r="O5" s="2534"/>
      <c r="P5" s="2534"/>
    </row>
    <row r="6" spans="1:16" ht="15.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L14" sqref="L14"/>
    </sheetView>
  </sheetViews>
  <sheetFormatPr defaultColWidth="12" defaultRowHeight="12.5"/>
  <cols>
    <col min="1" max="1" width="9.7265625" style="1886" customWidth="1"/>
    <col min="2" max="2" width="22.453125" style="1974" customWidth="1"/>
    <col min="3" max="3" width="12" style="1836"/>
    <col min="4" max="4" width="14.90625" style="1836" customWidth="1"/>
    <col min="5" max="5" width="14.6328125" style="1836" customWidth="1"/>
    <col min="6" max="8" width="12" style="1836"/>
    <col min="9" max="9" width="12.26953125" style="1836" bestFit="1" customWidth="1"/>
    <col min="10" max="10" width="12" style="1836"/>
    <col min="11" max="11" width="8.08984375" style="1882" customWidth="1"/>
    <col min="12" max="12" width="19.453125" style="1836" customWidth="1"/>
    <col min="13" max="13" width="8.453125" style="1836" customWidth="1"/>
    <col min="14" max="14" width="9.7265625" style="1836" customWidth="1"/>
    <col min="15" max="25" width="12" style="1836"/>
    <col min="26" max="26" width="9.36328125" style="1886" customWidth="1"/>
    <col min="27" max="32" width="9.36328125" style="1051" customWidth="1"/>
    <col min="33" max="36" width="9.36328125" style="1886" customWidth="1"/>
    <col min="37" max="38" width="9.36328125" style="1836" customWidth="1"/>
    <col min="39" max="16384" width="12" style="1836"/>
  </cols>
  <sheetData>
    <row r="1" spans="1:36" ht="30">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5">
      <c r="A2" s="187" t="s">
        <v>1934</v>
      </c>
      <c r="B2" s="190" t="e">
        <f>C30</f>
        <v>#DIV/0!</v>
      </c>
      <c r="C2" s="1837" t="s">
        <v>1935</v>
      </c>
      <c r="D2" s="156" t="s">
        <v>1936</v>
      </c>
      <c r="E2" s="3109"/>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2">
        <f>ROUND(SUMPRODUCT((B106:B110=R2)*(C105:N105=G2)*(C106:N110)),4)</f>
        <v>0</v>
      </c>
      <c r="T2" s="3052" t="e">
        <f t="shared" ref="T2:T16" si="0">ROUND($C$5*$C$22*$C$23*$C$24*S2*$C$28,0)</f>
        <v>#DIV/0!</v>
      </c>
      <c r="U2" s="1122"/>
      <c r="V2" s="3052" t="e">
        <f>ROUND(T2*U2/10000,0)</f>
        <v>#DIV/0!</v>
      </c>
      <c r="W2" s="1125"/>
      <c r="X2" s="1125"/>
      <c r="Y2" s="1125"/>
      <c r="Z2" s="1125"/>
      <c r="AA2" s="1125"/>
      <c r="AB2" s="1125"/>
      <c r="AC2" s="1126"/>
      <c r="AD2" s="1127"/>
      <c r="AE2" s="1127"/>
      <c r="AF2" s="1127"/>
      <c r="AG2" s="1127"/>
      <c r="AH2" s="1127"/>
      <c r="AI2" s="1127"/>
      <c r="AJ2" s="1128"/>
    </row>
    <row r="3" spans="1:36" ht="15.5">
      <c r="A3" s="189" t="s">
        <v>1940</v>
      </c>
      <c r="B3" s="190" t="e">
        <f>ROUND(B2*10000/D1,0)</f>
        <v>#DIV/0!</v>
      </c>
      <c r="C3" s="1837" t="s">
        <v>1941</v>
      </c>
      <c r="D3" s="156" t="s">
        <v>1942</v>
      </c>
      <c r="E3" s="3107"/>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2">
        <f>ROUND(SUMPRODUCT((B106:B110=R3)*(C105:N105=G2)*(C106:N110)),4)</f>
        <v>0</v>
      </c>
      <c r="T3" s="3052" t="e">
        <f t="shared" si="0"/>
        <v>#DIV/0!</v>
      </c>
      <c r="U3" s="1122"/>
      <c r="V3" s="3052" t="e">
        <f t="shared" ref="V3:V16" si="1">ROUND(T3*U3/10000,0)</f>
        <v>#DIV/0!</v>
      </c>
      <c r="W3" s="1125"/>
      <c r="X3" s="1125"/>
      <c r="Y3" s="1125"/>
      <c r="Z3" s="1125"/>
      <c r="AA3" s="1125"/>
      <c r="AB3" s="1125"/>
      <c r="AC3" s="1126"/>
      <c r="AD3" s="1127"/>
      <c r="AE3" s="1127"/>
      <c r="AF3" s="1127"/>
      <c r="AG3" s="1127"/>
      <c r="AH3" s="1127"/>
      <c r="AI3" s="1127"/>
      <c r="AJ3" s="1128"/>
    </row>
    <row r="4" spans="1:36" ht="15.5">
      <c r="A4" s="3462"/>
      <c r="B4" s="3463"/>
      <c r="C4" s="3463"/>
      <c r="D4" s="3464"/>
      <c r="E4" s="3464"/>
      <c r="F4" s="3464"/>
      <c r="G4" s="3464"/>
      <c r="H4" s="3464"/>
      <c r="I4" s="3464"/>
      <c r="J4" s="3465"/>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2">
        <f>ROUND(SUMPRODUCT((B106:B110=R4)*(C105:N105=G2)*(C106:N110)),4)</f>
        <v>0</v>
      </c>
      <c r="T4" s="3052" t="e">
        <f t="shared" si="0"/>
        <v>#DIV/0!</v>
      </c>
      <c r="U4" s="1122"/>
      <c r="V4" s="3052" t="e">
        <f t="shared" si="1"/>
        <v>#DIV/0!</v>
      </c>
      <c r="W4" s="1125"/>
      <c r="X4" s="1125"/>
      <c r="Y4" s="1125"/>
      <c r="Z4" s="1125"/>
      <c r="AA4" s="1125"/>
      <c r="AB4" s="1125"/>
      <c r="AC4" s="1126"/>
      <c r="AD4" s="1127"/>
      <c r="AE4" s="1127"/>
      <c r="AF4" s="1127"/>
      <c r="AG4" s="1127"/>
      <c r="AH4" s="1127"/>
      <c r="AI4" s="1127"/>
      <c r="AJ4" s="1128"/>
    </row>
    <row r="5" spans="1:36" s="1849" customFormat="1" ht="16"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2">
        <f>ROUND(SUMPRODUCT((B106:B110=R5)*(C105:N105=G2)*(C106:N110)),4)</f>
        <v>0</v>
      </c>
      <c r="T5" s="3052" t="e">
        <f t="shared" si="0"/>
        <v>#DIV/0!</v>
      </c>
      <c r="U5" s="1122"/>
      <c r="V5" s="3052" t="e">
        <f t="shared" si="1"/>
        <v>#DIV/0!</v>
      </c>
      <c r="W5" s="1125"/>
      <c r="X5" s="1125"/>
      <c r="Y5" s="1125"/>
      <c r="Z5" s="1125"/>
      <c r="AA5" s="1125"/>
      <c r="AB5" s="1125"/>
      <c r="AC5" s="1846"/>
      <c r="AD5" s="1847"/>
      <c r="AE5" s="1847"/>
      <c r="AF5" s="1847"/>
      <c r="AG5" s="1847"/>
      <c r="AH5" s="1847"/>
      <c r="AI5" s="1847"/>
      <c r="AJ5" s="1848"/>
    </row>
    <row r="6" spans="1:36" ht="16"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2">
        <f>ROUND(SUMPRODUCT((B106:B110=R6)*(C105:N105=G2)*(C106:N110)),4)</f>
        <v>0</v>
      </c>
      <c r="T6" s="3052" t="e">
        <f t="shared" si="0"/>
        <v>#DIV/0!</v>
      </c>
      <c r="U6" s="1122"/>
      <c r="V6" s="3052" t="e">
        <f t="shared" si="1"/>
        <v>#DIV/0!</v>
      </c>
      <c r="W6" s="1125"/>
      <c r="X6" s="1125"/>
      <c r="Y6" s="1125"/>
      <c r="Z6" s="1125"/>
      <c r="AA6" s="1125"/>
      <c r="AB6" s="1125"/>
      <c r="AC6" s="1846"/>
      <c r="AD6" s="1847"/>
      <c r="AE6" s="1847"/>
      <c r="AF6" s="1847"/>
      <c r="AG6" s="1847"/>
      <c r="AH6" s="1847"/>
      <c r="AI6" s="1847"/>
      <c r="AJ6" s="1848"/>
    </row>
    <row r="7" spans="1:36" ht="26.5" thickBot="1">
      <c r="A7" s="3001"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6"/>
      <c r="T7" s="3052" t="e">
        <f t="shared" si="0"/>
        <v>#DIV/0!</v>
      </c>
      <c r="U7" s="1122"/>
      <c r="V7" s="3052" t="e">
        <f t="shared" si="1"/>
        <v>#DIV/0!</v>
      </c>
      <c r="W7" s="1259" t="s">
        <v>1955</v>
      </c>
      <c r="X7" s="1123">
        <f>G2</f>
        <v>0</v>
      </c>
      <c r="Y7" s="1123" t="s">
        <v>1956</v>
      </c>
      <c r="Z7" s="1124">
        <f>G3</f>
        <v>5.5</v>
      </c>
      <c r="AA7" s="1125"/>
      <c r="AB7" s="1125"/>
      <c r="AC7" s="1126"/>
      <c r="AD7" s="1127"/>
      <c r="AE7" s="1127"/>
      <c r="AF7" s="1127"/>
      <c r="AG7" s="1127"/>
      <c r="AH7" s="1127"/>
      <c r="AI7" s="1127"/>
      <c r="AJ7" s="1128"/>
    </row>
    <row r="8" spans="1:36" ht="15.5">
      <c r="A8" s="2998"/>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2" t="e">
        <f t="shared" si="0"/>
        <v>#DIV/0!</v>
      </c>
      <c r="U8" s="1122"/>
      <c r="V8" s="3052" t="e">
        <f t="shared" si="1"/>
        <v>#DIV/0!</v>
      </c>
      <c r="W8" s="3459" t="s">
        <v>1960</v>
      </c>
      <c r="X8" s="3460"/>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5">
      <c r="A9" s="2998"/>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2" t="e">
        <f t="shared" si="0"/>
        <v>#DIV/0!</v>
      </c>
      <c r="U9" s="1122"/>
      <c r="V9" s="3052" t="e">
        <f t="shared" si="1"/>
        <v>#DIV/0!</v>
      </c>
      <c r="W9" s="3461"/>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5">
      <c r="A10" s="2998"/>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2" t="e">
        <f t="shared" si="0"/>
        <v>#DIV/0!</v>
      </c>
      <c r="U10" s="1122"/>
      <c r="V10" s="3052" t="e">
        <f t="shared" si="1"/>
        <v>#DIV/0!</v>
      </c>
      <c r="W10" s="346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6" thickBot="1">
      <c r="A11" s="3000"/>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2" t="e">
        <f t="shared" si="0"/>
        <v>#DIV/0!</v>
      </c>
      <c r="U11" s="1122"/>
      <c r="V11" s="3052" t="e">
        <f t="shared" si="1"/>
        <v>#DIV/0!</v>
      </c>
      <c r="W11" s="1125"/>
      <c r="X11" s="1125"/>
      <c r="Y11" s="1125"/>
      <c r="Z11" s="1125"/>
      <c r="AA11" s="1125"/>
      <c r="AB11" s="1125"/>
      <c r="AC11" s="1126"/>
      <c r="AD11" s="2543"/>
      <c r="AE11" s="2543"/>
      <c r="AF11" s="2543"/>
      <c r="AG11" s="2543"/>
      <c r="AH11" s="2543"/>
      <c r="AI11" s="2543"/>
      <c r="AJ11" s="2544"/>
    </row>
    <row r="12" spans="1:36" ht="27" thickBot="1">
      <c r="A12" s="3001" t="s">
        <v>3233</v>
      </c>
      <c r="B12" s="3002" t="s">
        <v>3234</v>
      </c>
      <c r="C12" s="3003"/>
      <c r="D12" s="3004" t="s">
        <v>3235</v>
      </c>
      <c r="E12" s="3005" t="s">
        <v>3236</v>
      </c>
      <c r="F12" s="3006"/>
      <c r="G12" s="3007"/>
      <c r="H12" s="3007"/>
      <c r="I12" s="3007"/>
      <c r="J12" s="3008"/>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2" t="e">
        <f t="shared" si="0"/>
        <v>#DIV/0!</v>
      </c>
      <c r="U12" s="1122"/>
      <c r="V12" s="3052" t="e">
        <f t="shared" si="1"/>
        <v>#DIV/0!</v>
      </c>
      <c r="W12" s="1125"/>
      <c r="X12" s="1125"/>
      <c r="Y12" s="1125"/>
      <c r="Z12" s="1125"/>
      <c r="AA12" s="1125"/>
      <c r="AB12" s="1125"/>
      <c r="AC12" s="1126"/>
      <c r="AD12" s="2543"/>
      <c r="AE12" s="2543"/>
      <c r="AF12" s="2543"/>
      <c r="AG12" s="2543"/>
      <c r="AH12" s="2543"/>
      <c r="AI12" s="2543"/>
      <c r="AJ12" s="2544"/>
    </row>
    <row r="13" spans="1:36" ht="26.5" thickBot="1">
      <c r="A13" s="3001" t="s">
        <v>3237</v>
      </c>
      <c r="B13" s="1869" t="s">
        <v>1982</v>
      </c>
      <c r="C13" s="704">
        <f>ROUND(C16*D16*E16*F16*G16*H16*I16*J16,4)</f>
        <v>0</v>
      </c>
      <c r="D13" s="1870" t="s">
        <v>1983</v>
      </c>
      <c r="E13" s="1871"/>
      <c r="F13" s="1871"/>
      <c r="G13" s="1872"/>
      <c r="H13" s="1872"/>
      <c r="I13" s="1872"/>
      <c r="J13" s="1873"/>
      <c r="K13" s="1049"/>
      <c r="L13" s="3"/>
      <c r="M13" s="4"/>
      <c r="N13" s="2999"/>
      <c r="O13" s="1049"/>
      <c r="P13" s="1049"/>
      <c r="Q13" s="1049"/>
      <c r="R13" s="1121">
        <v>12</v>
      </c>
      <c r="S13" s="1122"/>
      <c r="T13" s="3052" t="e">
        <f t="shared" si="0"/>
        <v>#DIV/0!</v>
      </c>
      <c r="U13" s="1122"/>
      <c r="V13" s="3052" t="e">
        <f t="shared" si="1"/>
        <v>#DIV/0!</v>
      </c>
      <c r="W13" s="1125"/>
      <c r="X13" s="1125"/>
      <c r="Y13" s="1125"/>
      <c r="Z13" s="1125"/>
      <c r="AA13" s="1125"/>
      <c r="AB13" s="1125"/>
      <c r="AC13" s="1126"/>
      <c r="AD13" s="2543"/>
      <c r="AE13" s="2543"/>
      <c r="AF13" s="2543"/>
      <c r="AG13" s="2543"/>
      <c r="AH13" s="2543"/>
      <c r="AI13" s="2543"/>
      <c r="AJ13" s="2544"/>
    </row>
    <row r="14" spans="1:36" ht="26">
      <c r="A14" s="2997"/>
      <c r="B14" s="1874" t="s">
        <v>1985</v>
      </c>
      <c r="C14" s="1875" t="s">
        <v>1986</v>
      </c>
      <c r="D14" s="1253" t="s">
        <v>1987</v>
      </c>
      <c r="E14" s="27" t="s">
        <v>1988</v>
      </c>
      <c r="F14" s="3009" t="s">
        <v>3238</v>
      </c>
      <c r="G14" s="3009" t="s">
        <v>3238</v>
      </c>
      <c r="H14" s="3009" t="s">
        <v>3238</v>
      </c>
      <c r="I14" s="3009" t="s">
        <v>3238</v>
      </c>
      <c r="J14" s="3009" t="s">
        <v>3238</v>
      </c>
      <c r="K14" s="1049"/>
      <c r="L14" s="1049"/>
      <c r="M14" s="1049"/>
      <c r="N14" s="1049"/>
      <c r="O14" s="1049"/>
      <c r="P14" s="1049"/>
      <c r="Q14" s="1049"/>
      <c r="R14" s="1121">
        <v>13</v>
      </c>
      <c r="S14" s="1122"/>
      <c r="T14" s="3052" t="e">
        <f t="shared" si="0"/>
        <v>#DIV/0!</v>
      </c>
      <c r="U14" s="1122"/>
      <c r="V14" s="3052" t="e">
        <f t="shared" si="1"/>
        <v>#DIV/0!</v>
      </c>
      <c r="W14" s="1125"/>
      <c r="X14" s="1125"/>
      <c r="Y14" s="1125"/>
      <c r="Z14" s="1125"/>
      <c r="AA14" s="1125"/>
      <c r="AB14" s="1125"/>
      <c r="AC14" s="1126"/>
      <c r="AD14" s="2543"/>
      <c r="AE14" s="2543"/>
      <c r="AF14" s="2543"/>
      <c r="AG14" s="2543"/>
      <c r="AH14" s="2543"/>
      <c r="AI14" s="2543"/>
      <c r="AJ14" s="2544"/>
    </row>
    <row r="15" spans="1:36" ht="15.5">
      <c r="A15" s="2997"/>
      <c r="B15" s="1876"/>
      <c r="C15" s="1877"/>
      <c r="D15" s="1878"/>
      <c r="E15" s="1879"/>
      <c r="F15" s="1462" t="s">
        <v>3239</v>
      </c>
      <c r="G15" s="1919"/>
      <c r="H15" s="3010"/>
      <c r="I15" s="3011"/>
      <c r="J15" s="3012"/>
      <c r="K15" s="1049"/>
      <c r="L15" s="1049"/>
      <c r="M15" s="1049"/>
      <c r="N15" s="1049"/>
      <c r="O15" s="1049"/>
      <c r="P15" s="1049"/>
      <c r="Q15" s="1049"/>
      <c r="R15" s="1121">
        <v>14</v>
      </c>
      <c r="S15" s="1122"/>
      <c r="T15" s="3052" t="e">
        <f t="shared" si="0"/>
        <v>#DIV/0!</v>
      </c>
      <c r="U15" s="1122"/>
      <c r="V15" s="3052" t="e">
        <f t="shared" si="1"/>
        <v>#DIV/0!</v>
      </c>
      <c r="W15" s="1125"/>
      <c r="X15" s="1125"/>
      <c r="Y15" s="1125"/>
      <c r="Z15" s="1125"/>
      <c r="AA15" s="1125"/>
      <c r="AB15" s="1125"/>
      <c r="AC15" s="1126"/>
      <c r="AD15" s="2543"/>
      <c r="AE15" s="2543"/>
      <c r="AF15" s="2543"/>
      <c r="AG15" s="2543"/>
      <c r="AH15" s="2543"/>
      <c r="AI15" s="2543"/>
      <c r="AJ15" s="2544"/>
    </row>
    <row r="16" spans="1:36" ht="16" thickBot="1">
      <c r="A16" s="2997"/>
      <c r="B16" s="3015" t="s">
        <v>1989</v>
      </c>
      <c r="C16" s="3013"/>
      <c r="D16" s="3013"/>
      <c r="E16" s="3013"/>
      <c r="F16" s="3013">
        <v>1</v>
      </c>
      <c r="G16" s="3013">
        <v>1</v>
      </c>
      <c r="H16" s="3013">
        <v>1</v>
      </c>
      <c r="I16" s="3013">
        <v>1</v>
      </c>
      <c r="J16" s="3014">
        <v>1</v>
      </c>
      <c r="K16" s="1049"/>
      <c r="L16" s="1835"/>
      <c r="M16" s="1835"/>
      <c r="N16" s="1835"/>
      <c r="O16" s="1835"/>
      <c r="P16" s="1835"/>
      <c r="Q16" s="1049"/>
      <c r="R16" s="1121">
        <v>15</v>
      </c>
      <c r="S16" s="1122"/>
      <c r="T16" s="3052" t="e">
        <f t="shared" si="0"/>
        <v>#DIV/0!</v>
      </c>
      <c r="U16" s="1122"/>
      <c r="V16" s="3052" t="e">
        <f t="shared" si="1"/>
        <v>#DIV/0!</v>
      </c>
      <c r="W16" s="1125"/>
      <c r="X16" s="1125"/>
      <c r="Y16" s="1125"/>
      <c r="Z16" s="1125"/>
      <c r="AA16" s="1125"/>
      <c r="AB16" s="1125"/>
      <c r="AC16" s="1126"/>
      <c r="AD16" s="2543"/>
      <c r="AE16" s="2543"/>
      <c r="AF16" s="2543"/>
      <c r="AG16" s="2543"/>
      <c r="AH16" s="2543"/>
      <c r="AI16" s="2543"/>
      <c r="AJ16" s="2544"/>
    </row>
    <row r="17" spans="1:37" ht="26">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
      <c r="A18" s="3027"/>
      <c r="B18" s="2300"/>
      <c r="C18" s="3023"/>
      <c r="D18" s="3018" t="s">
        <v>3243</v>
      </c>
      <c r="E18" s="2347"/>
      <c r="F18" s="3019" t="s">
        <v>3246</v>
      </c>
      <c r="G18" s="3023">
        <f>ROUND(1-(1/(POWER(1+G24,E18))),4)</f>
        <v>0</v>
      </c>
      <c r="H18" s="3019" t="s">
        <v>3248</v>
      </c>
      <c r="I18" s="3023">
        <f>ROUND(1-(1/(POWER(1+G24,J24))),4)</f>
        <v>0</v>
      </c>
      <c r="J18" s="3028"/>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4.5" thickBot="1">
      <c r="A19" s="3029"/>
      <c r="B19" s="3030"/>
      <c r="C19" s="3031"/>
      <c r="D19" s="3031" t="s">
        <v>3244</v>
      </c>
      <c r="E19" s="3032"/>
      <c r="F19" s="3033" t="s">
        <v>3247</v>
      </c>
      <c r="G19" s="3032"/>
      <c r="H19" s="3031"/>
      <c r="I19" s="3031"/>
      <c r="J19" s="3034"/>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
      <c r="A20" s="3466" t="s">
        <v>3249</v>
      </c>
      <c r="B20" s="153" t="s">
        <v>1994</v>
      </c>
      <c r="C20" s="3020" t="e">
        <f>ROUND(IF(F21="与级别开发程度一致",0,(G21-E21)/C21),0)</f>
        <v>#DIV/0!</v>
      </c>
      <c r="D20" s="3035" t="s">
        <v>1998</v>
      </c>
      <c r="E20" s="3036"/>
      <c r="F20" s="3472" t="s">
        <v>1995</v>
      </c>
      <c r="G20" s="3473"/>
      <c r="H20" s="3021"/>
      <c r="I20" s="3021"/>
      <c r="J20" s="3022"/>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4.5" thickBot="1">
      <c r="A21" s="3467"/>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4.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5.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45238</v>
      </c>
      <c r="H23" s="3037" t="s">
        <v>3251</v>
      </c>
      <c r="I23" s="3038" t="str">
        <f>IF(H23="季度增幅（自定义）",SUMIF(N25:N28,E2,O25:O28),"")</f>
        <v/>
      </c>
      <c r="J23" s="3130" t="s">
        <v>3250</v>
      </c>
      <c r="K23" s="1054"/>
      <c r="L23" s="1888" t="s">
        <v>2004</v>
      </c>
      <c r="M23" s="1233">
        <f>ROUND(SUMIF(地价!B2:G2,E2,地价!B16:G16),0)</f>
        <v>0</v>
      </c>
      <c r="N23" s="1889" t="s">
        <v>2005</v>
      </c>
      <c r="O23" s="712">
        <f>ROUNDDOWN(DATEDIF(E23,G23,"M")/3,0)</f>
        <v>11</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6.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4">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4.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4.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4">
      <c r="A30" s="1915"/>
      <c r="B30" s="1903" t="s">
        <v>2024</v>
      </c>
      <c r="C30" s="2136" t="e">
        <f>IF(B25="容积率修正",E33+SUM(E37:E42),SUM(V2:V16)+SUM(E37:E42))</f>
        <v>#DIV/0!</v>
      </c>
      <c r="D30" s="1916"/>
      <c r="E30" s="1833"/>
      <c r="F30" s="1917"/>
      <c r="G30" s="1833"/>
      <c r="H30" s="1833"/>
      <c r="I30" s="1833"/>
      <c r="J30" s="1918"/>
      <c r="K30" s="1049"/>
      <c r="L30" s="3044" t="s">
        <v>1936</v>
      </c>
      <c r="M30" s="3045" t="s">
        <v>1990</v>
      </c>
      <c r="N30" s="3045" t="s">
        <v>1991</v>
      </c>
      <c r="O30" s="3045" t="s">
        <v>1992</v>
      </c>
      <c r="P30" s="3045" t="s">
        <v>1993</v>
      </c>
      <c r="Q30" s="3048"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4.5" thickBot="1">
      <c r="A31" s="1915"/>
      <c r="B31" s="1919" t="s">
        <v>2025</v>
      </c>
      <c r="C31" s="715" t="e">
        <f>E34+SUM(I37:I42)</f>
        <v>#DIV/0!</v>
      </c>
      <c r="D31" s="1920"/>
      <c r="E31" s="1921"/>
      <c r="F31" s="1922"/>
      <c r="G31" s="1921"/>
      <c r="H31" s="1921"/>
      <c r="I31" s="1921"/>
      <c r="J31" s="1923"/>
      <c r="K31" s="1049"/>
      <c r="L31" s="3046" t="s">
        <v>1996</v>
      </c>
      <c r="M31" s="156">
        <v>0.25</v>
      </c>
      <c r="N31" s="156">
        <v>0.2</v>
      </c>
      <c r="O31" s="156">
        <v>0.15</v>
      </c>
      <c r="P31" s="156">
        <v>0.1</v>
      </c>
      <c r="Q31" s="3041">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4.5" thickBot="1">
      <c r="A32" s="1924"/>
      <c r="B32" s="1925" t="s">
        <v>2026</v>
      </c>
      <c r="C32" s="1926" t="s">
        <v>2027</v>
      </c>
      <c r="D32" s="1926" t="s">
        <v>2028</v>
      </c>
      <c r="E32" s="1927" t="s">
        <v>2029</v>
      </c>
      <c r="F32" s="1928"/>
      <c r="G32" s="1872"/>
      <c r="H32" s="1872"/>
      <c r="I32" s="1872"/>
      <c r="J32" s="1873"/>
      <c r="K32" s="1049"/>
      <c r="L32" s="3047" t="s">
        <v>1999</v>
      </c>
      <c r="M32" s="2346">
        <f>ROUND($E$24*(1+M31),3)</f>
        <v>5.3999999999999999E-2</v>
      </c>
      <c r="N32" s="2346">
        <f>ROUND($E$24*(1+N31),3)</f>
        <v>5.1999999999999998E-2</v>
      </c>
      <c r="O32" s="2346">
        <f>ROUND($E$24*(1+O31),3)</f>
        <v>0.05</v>
      </c>
      <c r="P32" s="2346">
        <f>ROUND($E$24*(1+P31),3)</f>
        <v>4.8000000000000001E-2</v>
      </c>
      <c r="Q32" s="3049">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
      <c r="A33" s="1929"/>
      <c r="B33" s="1930" t="s">
        <v>2030</v>
      </c>
      <c r="C33" s="161" t="e">
        <f>ROUND(C5*C22*C23*C24*C25*C28,0)</f>
        <v>#DIV/0!</v>
      </c>
      <c r="D33" s="1931"/>
      <c r="E33" s="720" t="e">
        <f>ROUND(C33*D33/10000,0)</f>
        <v>#DIV/0!</v>
      </c>
      <c r="F33" s="3039" t="s">
        <v>3255</v>
      </c>
      <c r="G33" s="1932"/>
      <c r="H33" s="1932"/>
      <c r="I33" s="1932"/>
      <c r="J33" s="1933"/>
      <c r="K33" s="1049"/>
      <c r="L33" s="3042" t="s">
        <v>3258</v>
      </c>
      <c r="M33" s="3043">
        <v>5.5E-2</v>
      </c>
      <c r="N33" s="3043">
        <v>5.5E-2</v>
      </c>
      <c r="O33" s="3043">
        <v>0.05</v>
      </c>
      <c r="P33" s="3043">
        <v>0.05</v>
      </c>
      <c r="Q33" s="3043">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6.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2" t="s">
        <v>3259</v>
      </c>
      <c r="M34" s="3043">
        <v>6.5000000000000002E-2</v>
      </c>
      <c r="N34" s="3043">
        <v>6.5000000000000002E-2</v>
      </c>
      <c r="O34" s="3043">
        <v>0.06</v>
      </c>
      <c r="P34" s="3043">
        <v>0.06</v>
      </c>
      <c r="Q34" s="3043">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ht="13">
      <c r="A35" s="1940"/>
      <c r="B35" s="1941" t="s">
        <v>2033</v>
      </c>
      <c r="C35" s="3040"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6.5" thickBot="1">
      <c r="A36" s="1929"/>
      <c r="B36" s="1944"/>
      <c r="C36" s="430" t="s">
        <v>2027</v>
      </c>
      <c r="D36" s="427" t="s">
        <v>2028</v>
      </c>
      <c r="E36" s="427" t="s">
        <v>2029</v>
      </c>
      <c r="F36" s="327" t="s">
        <v>2035</v>
      </c>
      <c r="G36" s="1945" t="s">
        <v>2027</v>
      </c>
      <c r="H36" s="1945" t="s">
        <v>2028</v>
      </c>
      <c r="I36" s="1945" t="s">
        <v>2029</v>
      </c>
      <c r="J36" s="229"/>
      <c r="K36" s="1955" t="s">
        <v>3260</v>
      </c>
      <c r="L36" s="3131">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6.5" thickBot="1">
      <c r="A37" s="3470"/>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3"/>
      <c r="K37" s="3050"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ht="13">
      <c r="A38" s="3471"/>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2"/>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1"/>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2"/>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ht="13">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ht="13">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1"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ht="13">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4.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4">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6">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62.5">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7">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7">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9">
      <c r="A52" s="3059" t="s">
        <v>3264</v>
      </c>
      <c r="B52" s="1254">
        <f>估价对象房地状况!C19</f>
        <v>0</v>
      </c>
      <c r="C52" s="1878"/>
      <c r="D52" s="995">
        <f t="shared" si="7"/>
        <v>0</v>
      </c>
      <c r="E52" s="696"/>
      <c r="F52" s="1666"/>
      <c r="G52" s="993"/>
      <c r="H52" s="996" t="str">
        <f t="shared" si="8"/>
        <v>——</v>
      </c>
      <c r="I52" s="3057">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9">
      <c r="A53" s="1961" t="s">
        <v>2054</v>
      </c>
      <c r="B53" s="1965" t="s">
        <v>2055</v>
      </c>
      <c r="C53" s="1878"/>
      <c r="D53" s="995">
        <f t="shared" si="7"/>
        <v>0</v>
      </c>
      <c r="E53" s="696"/>
      <c r="F53" s="1666"/>
      <c r="G53" s="993"/>
      <c r="H53" s="996" t="str">
        <f t="shared" si="8"/>
        <v>——</v>
      </c>
      <c r="I53" s="3057">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6">
      <c r="A54" s="1961" t="s">
        <v>2056</v>
      </c>
      <c r="B54" s="1254" t="str">
        <f>估价对象房地状况!C24</f>
        <v>次干道-中天路</v>
      </c>
      <c r="C54" s="1878"/>
      <c r="D54" s="995">
        <f t="shared" si="7"/>
        <v>0</v>
      </c>
      <c r="E54" s="696"/>
      <c r="F54" s="1666"/>
      <c r="G54" s="993"/>
      <c r="H54" s="996" t="str">
        <f t="shared" si="8"/>
        <v>——</v>
      </c>
      <c r="I54" s="3057">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6">
      <c r="A55" s="1961" t="s">
        <v>2057</v>
      </c>
      <c r="B55" s="1966" t="s">
        <v>2058</v>
      </c>
      <c r="C55" s="1878"/>
      <c r="D55" s="995">
        <f t="shared" si="7"/>
        <v>0</v>
      </c>
      <c r="E55" s="696"/>
      <c r="F55" s="1666"/>
      <c r="G55" s="993"/>
      <c r="H55" s="996" t="str">
        <f t="shared" si="8"/>
        <v>——</v>
      </c>
      <c r="I55" s="3057">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6">
      <c r="A56" s="1967" t="s">
        <v>2059</v>
      </c>
      <c r="B56" s="1232" t="str">
        <f>估价对象房地状况!C21</f>
        <v>估价对象所在区域公共配套设施齐备情况较好</v>
      </c>
      <c r="C56" s="1878"/>
      <c r="D56" s="995">
        <f t="shared" si="7"/>
        <v>0</v>
      </c>
      <c r="E56" s="696"/>
      <c r="F56" s="1666"/>
      <c r="G56" s="993"/>
      <c r="H56" s="996" t="str">
        <f t="shared" si="8"/>
        <v>——</v>
      </c>
      <c r="I56" s="3057">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6">
      <c r="A57" s="1967" t="s">
        <v>2060</v>
      </c>
      <c r="B57" s="1254" t="str">
        <f>估价对象房地状况!C22</f>
        <v>六通</v>
      </c>
      <c r="C57" s="1878"/>
      <c r="D57" s="995">
        <f t="shared" si="7"/>
        <v>0</v>
      </c>
      <c r="E57" s="696"/>
      <c r="F57" s="1666"/>
      <c r="G57" s="993"/>
      <c r="H57" s="996" t="str">
        <f t="shared" si="8"/>
        <v>——</v>
      </c>
      <c r="I57" s="3057">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50.5"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8">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4">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6">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6">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7">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7">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9">
      <c r="A63" s="3059" t="s">
        <v>3264</v>
      </c>
      <c r="B63" s="1254">
        <f>估价对象房地状况!C19</f>
        <v>0</v>
      </c>
      <c r="C63" s="1878"/>
      <c r="D63" s="995">
        <f t="shared" si="12"/>
        <v>0</v>
      </c>
      <c r="E63" s="696"/>
      <c r="F63" s="1666"/>
      <c r="G63" s="993"/>
      <c r="H63" s="996" t="str">
        <f t="shared" si="13"/>
        <v>——</v>
      </c>
      <c r="I63" s="3057">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9">
      <c r="A64" s="1961" t="s">
        <v>2054</v>
      </c>
      <c r="B64" s="1965" t="s">
        <v>2055</v>
      </c>
      <c r="C64" s="1878"/>
      <c r="D64" s="995">
        <f t="shared" si="12"/>
        <v>0</v>
      </c>
      <c r="E64" s="696"/>
      <c r="F64" s="1666"/>
      <c r="G64" s="993"/>
      <c r="H64" s="996" t="str">
        <f t="shared" si="13"/>
        <v>——</v>
      </c>
      <c r="I64" s="3057">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6">
      <c r="A65" s="1961" t="s">
        <v>2056</v>
      </c>
      <c r="B65" s="1254" t="str">
        <f>估价对象房地状况!C24</f>
        <v>次干道-中天路</v>
      </c>
      <c r="C65" s="1878"/>
      <c r="D65" s="995">
        <f t="shared" si="12"/>
        <v>0</v>
      </c>
      <c r="E65" s="696"/>
      <c r="F65" s="1666"/>
      <c r="G65" s="993"/>
      <c r="H65" s="996" t="str">
        <f t="shared" si="13"/>
        <v>——</v>
      </c>
      <c r="I65" s="3057">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6">
      <c r="A66" s="1961" t="s">
        <v>2057</v>
      </c>
      <c r="B66" s="1966" t="s">
        <v>2058</v>
      </c>
      <c r="C66" s="1878"/>
      <c r="D66" s="995">
        <f t="shared" si="12"/>
        <v>0</v>
      </c>
      <c r="E66" s="696"/>
      <c r="F66" s="1666"/>
      <c r="G66" s="993"/>
      <c r="H66" s="996" t="str">
        <f t="shared" si="13"/>
        <v>——</v>
      </c>
      <c r="I66" s="3057">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6">
      <c r="A67" s="1961" t="s">
        <v>2059</v>
      </c>
      <c r="B67" s="1232" t="str">
        <f>估价对象房地状况!C21</f>
        <v>估价对象所在区域公共配套设施齐备情况较好</v>
      </c>
      <c r="C67" s="1878"/>
      <c r="D67" s="995">
        <f t="shared" si="12"/>
        <v>0</v>
      </c>
      <c r="E67" s="696"/>
      <c r="F67" s="1666"/>
      <c r="G67" s="993"/>
      <c r="H67" s="996" t="str">
        <f t="shared" si="13"/>
        <v>——</v>
      </c>
      <c r="I67" s="3057">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6">
      <c r="A68" s="1961" t="s">
        <v>2060</v>
      </c>
      <c r="B68" s="1232" t="str">
        <f>估价对象房地状况!C22</f>
        <v>六通</v>
      </c>
      <c r="C68" s="1878"/>
      <c r="D68" s="995">
        <f t="shared" si="12"/>
        <v>0</v>
      </c>
      <c r="E68" s="696"/>
      <c r="F68" s="1666"/>
      <c r="G68" s="993"/>
      <c r="H68" s="996" t="str">
        <f t="shared" si="13"/>
        <v>——</v>
      </c>
      <c r="I68" s="3057">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50.5"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8">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4">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6">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6">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7">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7">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9">
      <c r="A74" s="3059" t="s">
        <v>3264</v>
      </c>
      <c r="B74" s="1254">
        <f>估价对象房地状况!C19</f>
        <v>0</v>
      </c>
      <c r="C74" s="1878"/>
      <c r="D74" s="995">
        <f t="shared" si="17"/>
        <v>0</v>
      </c>
      <c r="E74" s="698"/>
      <c r="F74" s="1666"/>
      <c r="G74" s="993"/>
      <c r="H74" s="996" t="str">
        <f t="shared" si="18"/>
        <v>——</v>
      </c>
      <c r="I74" s="3057">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
      <c r="A75" s="1961" t="s">
        <v>2067</v>
      </c>
      <c r="B75" s="1254" t="str">
        <f>估价对象房地状况!C24</f>
        <v>次干道-中天路</v>
      </c>
      <c r="C75" s="1878"/>
      <c r="D75" s="995">
        <f t="shared" si="17"/>
        <v>0</v>
      </c>
      <c r="E75" s="698"/>
      <c r="F75" s="1666"/>
      <c r="G75" s="993"/>
      <c r="H75" s="996" t="str">
        <f t="shared" si="18"/>
        <v>——</v>
      </c>
      <c r="I75" s="3057">
        <v>0.05</v>
      </c>
      <c r="J75" s="994">
        <f t="shared" si="19"/>
        <v>0</v>
      </c>
      <c r="K75" s="994">
        <f t="shared" si="20"/>
        <v>0</v>
      </c>
      <c r="L75" s="994">
        <v>0</v>
      </c>
      <c r="M75" s="994">
        <f t="shared" si="21"/>
        <v>0</v>
      </c>
      <c r="N75" s="994">
        <f t="shared" si="21"/>
        <v>0</v>
      </c>
      <c r="O75" s="1049"/>
      <c r="P75" s="1049"/>
      <c r="Q75" s="1835"/>
      <c r="Z75" s="1836"/>
      <c r="AA75" s="1886"/>
      <c r="AG75" s="1051"/>
      <c r="AK75" s="1886"/>
    </row>
    <row r="76" spans="1:37" ht="26">
      <c r="A76" s="1961" t="s">
        <v>2059</v>
      </c>
      <c r="B76" s="1232" t="str">
        <f>估价对象房地状况!C21</f>
        <v>估价对象所在区域公共配套设施齐备情况较好</v>
      </c>
      <c r="C76" s="1878"/>
      <c r="D76" s="995">
        <f t="shared" si="17"/>
        <v>0</v>
      </c>
      <c r="E76" s="698"/>
      <c r="F76" s="1666"/>
      <c r="G76" s="993"/>
      <c r="H76" s="996" t="str">
        <f t="shared" si="18"/>
        <v>——</v>
      </c>
      <c r="I76" s="3057">
        <v>0.08</v>
      </c>
      <c r="J76" s="994">
        <f t="shared" si="19"/>
        <v>0</v>
      </c>
      <c r="K76" s="994">
        <f t="shared" si="20"/>
        <v>0</v>
      </c>
      <c r="L76" s="994">
        <v>0</v>
      </c>
      <c r="M76" s="994">
        <f t="shared" si="21"/>
        <v>0</v>
      </c>
      <c r="N76" s="994">
        <f t="shared" si="21"/>
        <v>0</v>
      </c>
      <c r="O76" s="1049"/>
      <c r="P76" s="1049"/>
      <c r="Z76" s="1836"/>
      <c r="AA76" s="1886"/>
      <c r="AG76" s="1051"/>
      <c r="AK76" s="1886"/>
    </row>
    <row r="77" spans="1:37" ht="26">
      <c r="A77" s="1961" t="s">
        <v>2060</v>
      </c>
      <c r="B77" s="1232" t="str">
        <f>估价对象房地状况!C22</f>
        <v>六通</v>
      </c>
      <c r="C77" s="1878"/>
      <c r="D77" s="995">
        <f t="shared" si="17"/>
        <v>0</v>
      </c>
      <c r="E77" s="698"/>
      <c r="F77" s="1666"/>
      <c r="G77" s="993"/>
      <c r="H77" s="996" t="str">
        <f t="shared" si="18"/>
        <v>——</v>
      </c>
      <c r="I77" s="3057">
        <v>0.09</v>
      </c>
      <c r="J77" s="994">
        <f t="shared" si="19"/>
        <v>0</v>
      </c>
      <c r="K77" s="994">
        <f t="shared" si="20"/>
        <v>0</v>
      </c>
      <c r="L77" s="994">
        <v>0</v>
      </c>
      <c r="M77" s="994">
        <f t="shared" si="21"/>
        <v>0</v>
      </c>
      <c r="N77" s="994">
        <f t="shared" si="21"/>
        <v>0</v>
      </c>
      <c r="O77" s="1049"/>
      <c r="P77" s="1049"/>
      <c r="Z77" s="1836"/>
      <c r="AA77" s="1886"/>
      <c r="AG77" s="1051"/>
      <c r="AK77" s="1886"/>
    </row>
    <row r="78" spans="1:37" ht="26">
      <c r="A78" s="1961" t="s">
        <v>2057</v>
      </c>
      <c r="B78" s="1966" t="s">
        <v>2058</v>
      </c>
      <c r="C78" s="1878"/>
      <c r="D78" s="995">
        <f t="shared" si="17"/>
        <v>0</v>
      </c>
      <c r="E78" s="698"/>
      <c r="F78" s="1666"/>
      <c r="G78" s="993"/>
      <c r="H78" s="996" t="str">
        <f t="shared" si="18"/>
        <v>——</v>
      </c>
      <c r="I78" s="3057">
        <v>0.05</v>
      </c>
      <c r="J78" s="994">
        <f t="shared" si="19"/>
        <v>0</v>
      </c>
      <c r="K78" s="994">
        <f t="shared" si="20"/>
        <v>0</v>
      </c>
      <c r="L78" s="994">
        <v>0</v>
      </c>
      <c r="M78" s="994">
        <f t="shared" si="21"/>
        <v>0</v>
      </c>
      <c r="N78" s="994">
        <f t="shared" si="21"/>
        <v>0</v>
      </c>
      <c r="O78" s="1835"/>
      <c r="P78" s="1835"/>
      <c r="Z78" s="1836"/>
      <c r="AA78" s="1886"/>
      <c r="AG78" s="1051"/>
      <c r="AK78" s="1886"/>
    </row>
    <row r="79" spans="1:37" ht="50">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7">
        <v>0.12</v>
      </c>
      <c r="J79" s="994">
        <f t="shared" si="19"/>
        <v>0</v>
      </c>
      <c r="K79" s="994">
        <f t="shared" si="20"/>
        <v>0</v>
      </c>
      <c r="L79" s="994">
        <v>0</v>
      </c>
      <c r="M79" s="994">
        <f t="shared" si="21"/>
        <v>0</v>
      </c>
      <c r="N79" s="994">
        <f t="shared" si="21"/>
        <v>0</v>
      </c>
      <c r="Z79" s="1836"/>
      <c r="AA79" s="1886"/>
      <c r="AG79" s="1051"/>
      <c r="AK79" s="1886"/>
    </row>
    <row r="80" spans="1:37" ht="26.5" thickBot="1">
      <c r="A80" s="1968" t="s">
        <v>2068</v>
      </c>
      <c r="B80" s="1972"/>
      <c r="C80" s="1878"/>
      <c r="D80" s="995">
        <f t="shared" si="17"/>
        <v>0</v>
      </c>
      <c r="E80" s="699"/>
      <c r="F80" s="1666"/>
      <c r="G80" s="993"/>
      <c r="H80" s="996" t="str">
        <f t="shared" si="18"/>
        <v>——</v>
      </c>
      <c r="I80" s="3058">
        <v>0.05</v>
      </c>
      <c r="J80" s="994">
        <f t="shared" si="19"/>
        <v>0</v>
      </c>
      <c r="K80" s="994">
        <f t="shared" si="20"/>
        <v>0</v>
      </c>
      <c r="L80" s="994">
        <v>0</v>
      </c>
      <c r="M80" s="994">
        <f t="shared" si="21"/>
        <v>0</v>
      </c>
      <c r="N80" s="994">
        <f t="shared" si="21"/>
        <v>0</v>
      </c>
      <c r="Z80" s="1836"/>
      <c r="AA80" s="1886"/>
      <c r="AG80" s="1051"/>
      <c r="AK80" s="1886"/>
    </row>
    <row r="81" spans="1:37" ht="14">
      <c r="A81" s="1958" t="s">
        <v>2069</v>
      </c>
      <c r="B81" s="1959">
        <f>1+E83</f>
        <v>1</v>
      </c>
      <c r="C81" s="692"/>
      <c r="D81" s="692"/>
      <c r="E81" s="693"/>
      <c r="F81" s="1960"/>
      <c r="G81" s="3"/>
      <c r="H81" s="3"/>
      <c r="I81" s="3"/>
      <c r="J81" s="4"/>
      <c r="K81" s="4"/>
      <c r="L81" s="4"/>
      <c r="M81" s="4"/>
      <c r="N81" s="4"/>
      <c r="Z81" s="1836"/>
      <c r="AA81" s="1886"/>
      <c r="AG81" s="1051"/>
      <c r="AK81" s="1886"/>
    </row>
    <row r="82" spans="1:37" ht="26">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6">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7">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
      <c r="A84" s="1961" t="s">
        <v>2053</v>
      </c>
      <c r="B84" s="1254">
        <f>估价对象房地状况!G16</f>
        <v>0</v>
      </c>
      <c r="C84" s="1878"/>
      <c r="D84" s="995">
        <f t="shared" si="22"/>
        <v>0</v>
      </c>
      <c r="E84" s="698"/>
      <c r="F84" s="1666"/>
      <c r="G84" s="993"/>
      <c r="H84" s="996" t="str">
        <f t="shared" si="23"/>
        <v>——</v>
      </c>
      <c r="I84" s="3057">
        <v>0.3</v>
      </c>
      <c r="J84" s="994">
        <f t="shared" si="24"/>
        <v>0</v>
      </c>
      <c r="K84" s="994">
        <f t="shared" si="25"/>
        <v>0</v>
      </c>
      <c r="L84" s="994">
        <v>0</v>
      </c>
      <c r="M84" s="994">
        <f t="shared" si="26"/>
        <v>0</v>
      </c>
      <c r="N84" s="994">
        <f t="shared" si="26"/>
        <v>0</v>
      </c>
      <c r="Z84" s="1836"/>
      <c r="AA84" s="1886"/>
      <c r="AG84" s="1051"/>
      <c r="AK84" s="1886"/>
    </row>
    <row r="85" spans="1:37" ht="39">
      <c r="A85" s="3059" t="s">
        <v>3265</v>
      </c>
      <c r="B85" s="1254">
        <f>估价对象房地状况!G17</f>
        <v>0</v>
      </c>
      <c r="C85" s="1878"/>
      <c r="D85" s="995">
        <f t="shared" si="22"/>
        <v>0</v>
      </c>
      <c r="E85" s="698"/>
      <c r="F85" s="1666"/>
      <c r="G85" s="993"/>
      <c r="H85" s="996" t="str">
        <f t="shared" si="23"/>
        <v>——</v>
      </c>
      <c r="I85" s="3057">
        <v>0.1</v>
      </c>
      <c r="J85" s="994">
        <f t="shared" si="24"/>
        <v>0</v>
      </c>
      <c r="K85" s="994">
        <f t="shared" si="25"/>
        <v>0</v>
      </c>
      <c r="L85" s="994">
        <v>0</v>
      </c>
      <c r="M85" s="994">
        <f t="shared" si="26"/>
        <v>0</v>
      </c>
      <c r="N85" s="994">
        <f t="shared" si="26"/>
        <v>0</v>
      </c>
      <c r="Z85" s="1836"/>
      <c r="AA85" s="1886"/>
      <c r="AG85" s="1051"/>
      <c r="AK85" s="1886"/>
    </row>
    <row r="86" spans="1:37" ht="14">
      <c r="A86" s="1961" t="s">
        <v>2067</v>
      </c>
      <c r="B86" s="1254">
        <f>估价对象房地状况!G22</f>
        <v>0</v>
      </c>
      <c r="C86" s="1878"/>
      <c r="D86" s="995">
        <f t="shared" si="22"/>
        <v>0</v>
      </c>
      <c r="E86" s="698"/>
      <c r="F86" s="1666"/>
      <c r="G86" s="993"/>
      <c r="H86" s="996" t="str">
        <f t="shared" si="23"/>
        <v>——</v>
      </c>
      <c r="I86" s="3057">
        <v>0.05</v>
      </c>
      <c r="J86" s="994">
        <f t="shared" si="24"/>
        <v>0</v>
      </c>
      <c r="K86" s="994">
        <f t="shared" si="25"/>
        <v>0</v>
      </c>
      <c r="L86" s="994">
        <v>0</v>
      </c>
      <c r="M86" s="994">
        <f t="shared" si="26"/>
        <v>0</v>
      </c>
      <c r="N86" s="994">
        <f t="shared" si="26"/>
        <v>0</v>
      </c>
      <c r="Z86" s="1836"/>
      <c r="AA86" s="1886"/>
      <c r="AG86" s="1051"/>
      <c r="AK86" s="1886"/>
    </row>
    <row r="87" spans="1:37" ht="26">
      <c r="A87" s="1961" t="s">
        <v>2059</v>
      </c>
      <c r="B87" s="1232">
        <f>估价对象房地状况!G19</f>
        <v>0</v>
      </c>
      <c r="C87" s="1878"/>
      <c r="D87" s="995">
        <f t="shared" si="22"/>
        <v>0</v>
      </c>
      <c r="E87" s="698"/>
      <c r="F87" s="1666"/>
      <c r="G87" s="993"/>
      <c r="H87" s="996" t="str">
        <f t="shared" si="23"/>
        <v>——</v>
      </c>
      <c r="I87" s="3057">
        <v>0.06</v>
      </c>
      <c r="J87" s="994">
        <f t="shared" si="24"/>
        <v>0</v>
      </c>
      <c r="K87" s="994">
        <f t="shared" si="25"/>
        <v>0</v>
      </c>
      <c r="L87" s="994">
        <v>0</v>
      </c>
      <c r="M87" s="994">
        <f t="shared" si="26"/>
        <v>0</v>
      </c>
      <c r="N87" s="994">
        <f t="shared" si="26"/>
        <v>0</v>
      </c>
    </row>
    <row r="88" spans="1:37" ht="26">
      <c r="A88" s="1961" t="s">
        <v>2060</v>
      </c>
      <c r="B88" s="1232">
        <f>估价对象房地状况!G20</f>
        <v>0</v>
      </c>
      <c r="C88" s="1878"/>
      <c r="D88" s="995">
        <f t="shared" si="22"/>
        <v>0</v>
      </c>
      <c r="E88" s="698"/>
      <c r="F88" s="1666"/>
      <c r="G88" s="993"/>
      <c r="H88" s="996" t="str">
        <f t="shared" si="23"/>
        <v>——</v>
      </c>
      <c r="I88" s="3057">
        <v>0.12</v>
      </c>
      <c r="J88" s="994">
        <f t="shared" si="24"/>
        <v>0</v>
      </c>
      <c r="K88" s="994">
        <f t="shared" si="25"/>
        <v>0</v>
      </c>
      <c r="L88" s="994">
        <v>0</v>
      </c>
      <c r="M88" s="994">
        <f t="shared" si="26"/>
        <v>0</v>
      </c>
      <c r="N88" s="994">
        <f t="shared" si="26"/>
        <v>0</v>
      </c>
    </row>
    <row r="89" spans="1:37" ht="26">
      <c r="A89" s="1961" t="s">
        <v>2057</v>
      </c>
      <c r="B89" s="1966" t="s">
        <v>2071</v>
      </c>
      <c r="C89" s="1878"/>
      <c r="D89" s="995">
        <f t="shared" si="22"/>
        <v>0</v>
      </c>
      <c r="E89" s="698"/>
      <c r="F89" s="1666"/>
      <c r="G89" s="993"/>
      <c r="H89" s="996" t="str">
        <f t="shared" si="23"/>
        <v>——</v>
      </c>
      <c r="I89" s="3057">
        <v>0.06</v>
      </c>
      <c r="J89" s="994">
        <f t="shared" si="24"/>
        <v>0</v>
      </c>
      <c r="K89" s="994">
        <f t="shared" si="25"/>
        <v>0</v>
      </c>
      <c r="L89" s="994">
        <v>0</v>
      </c>
      <c r="M89" s="994">
        <f t="shared" si="26"/>
        <v>0</v>
      </c>
      <c r="N89" s="994">
        <f t="shared" si="26"/>
        <v>0</v>
      </c>
    </row>
    <row r="90" spans="1:37" ht="14.5" thickBot="1">
      <c r="A90" s="1968" t="s">
        <v>2072</v>
      </c>
      <c r="B90" s="1973">
        <f>估价对象房地状况!G18</f>
        <v>0</v>
      </c>
      <c r="C90" s="1878"/>
      <c r="D90" s="995">
        <f t="shared" si="22"/>
        <v>0</v>
      </c>
      <c r="E90" s="699"/>
      <c r="F90" s="1666"/>
      <c r="G90" s="993"/>
      <c r="H90" s="996" t="str">
        <f t="shared" si="23"/>
        <v>——</v>
      </c>
      <c r="I90" s="3058">
        <v>0.05</v>
      </c>
      <c r="J90" s="994">
        <f t="shared" si="24"/>
        <v>0</v>
      </c>
      <c r="K90" s="994">
        <f t="shared" si="25"/>
        <v>0</v>
      </c>
      <c r="L90" s="994">
        <v>0</v>
      </c>
      <c r="M90" s="994">
        <f t="shared" si="26"/>
        <v>0</v>
      </c>
      <c r="N90" s="994">
        <f t="shared" si="26"/>
        <v>0</v>
      </c>
    </row>
    <row r="91" spans="1:37" ht="14">
      <c r="A91" s="3067" t="s">
        <v>2607</v>
      </c>
      <c r="B91" s="3068">
        <f>1+E93</f>
        <v>1</v>
      </c>
      <c r="C91" s="3061"/>
      <c r="D91" s="3062"/>
      <c r="E91" s="1666"/>
      <c r="F91" s="1666"/>
      <c r="G91" s="3063"/>
      <c r="H91" s="3064"/>
      <c r="I91" s="3065"/>
      <c r="J91" s="3066"/>
      <c r="K91" s="3066"/>
      <c r="L91" s="3066"/>
      <c r="M91" s="3066"/>
      <c r="N91" s="3066"/>
    </row>
    <row r="92" spans="1:37" ht="26">
      <c r="A92" s="3069" t="s">
        <v>3266</v>
      </c>
      <c r="B92" s="2300"/>
      <c r="C92" s="2300" t="s">
        <v>3275</v>
      </c>
      <c r="D92" s="2300" t="s">
        <v>3276</v>
      </c>
      <c r="E92" s="3041" t="s">
        <v>3277</v>
      </c>
      <c r="F92" s="3071" t="s">
        <v>3278</v>
      </c>
      <c r="G92" s="2300" t="s">
        <v>3279</v>
      </c>
      <c r="H92" s="3078" t="s">
        <v>3282</v>
      </c>
      <c r="I92" s="2300" t="s">
        <v>3283</v>
      </c>
      <c r="J92" s="2141" t="s">
        <v>3284</v>
      </c>
      <c r="K92" s="2141" t="s">
        <v>3285</v>
      </c>
      <c r="L92" s="2141" t="s">
        <v>3286</v>
      </c>
      <c r="M92" s="2141" t="s">
        <v>3287</v>
      </c>
      <c r="N92" s="2141" t="s">
        <v>3288</v>
      </c>
    </row>
    <row r="93" spans="1:37" ht="26">
      <c r="A93" s="3059" t="s">
        <v>3267</v>
      </c>
      <c r="B93" s="1213"/>
      <c r="C93" s="1878"/>
      <c r="D93" s="2300">
        <f>SUMIF($J$92:$N$92,C93,J93:N93)</f>
        <v>0</v>
      </c>
      <c r="E93" s="3072">
        <f>ROUND(SUM(D93:D101),4)</f>
        <v>0</v>
      </c>
      <c r="F93" s="1666"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75">
      <c r="A94" s="3069" t="s">
        <v>3268</v>
      </c>
      <c r="B94" s="3060"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3"/>
      <c r="F94" s="1666"/>
      <c r="G94" s="3063"/>
      <c r="H94" s="3108" t="str">
        <f>IFERROR(ROUNDDOWN($F$93*I94/2,4),"——")</f>
        <v>——</v>
      </c>
      <c r="I94" s="3057">
        <v>0.26</v>
      </c>
      <c r="J94" s="1903">
        <f t="shared" si="27"/>
        <v>0</v>
      </c>
      <c r="K94" s="1903">
        <f t="shared" si="28"/>
        <v>0</v>
      </c>
      <c r="L94" s="1903">
        <v>0</v>
      </c>
      <c r="M94" s="1903">
        <f t="shared" si="29"/>
        <v>0</v>
      </c>
      <c r="N94" s="1903">
        <f t="shared" si="29"/>
        <v>0</v>
      </c>
    </row>
    <row r="95" spans="1:37" ht="39">
      <c r="A95" s="3059" t="s">
        <v>3264</v>
      </c>
      <c r="B95" s="3060">
        <f>估价对象房地状况!C19</f>
        <v>0</v>
      </c>
      <c r="C95" s="1878"/>
      <c r="D95" s="2300">
        <f t="shared" si="30"/>
        <v>0</v>
      </c>
      <c r="E95" s="3073"/>
      <c r="F95" s="1666"/>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9">
      <c r="A96" s="3069" t="s">
        <v>3269</v>
      </c>
      <c r="B96" s="3075" t="s">
        <v>3280</v>
      </c>
      <c r="C96" s="1878"/>
      <c r="D96" s="2300">
        <f t="shared" si="30"/>
        <v>0</v>
      </c>
      <c r="E96" s="3073"/>
      <c r="F96" s="1666"/>
      <c r="G96" s="3063"/>
      <c r="H96" s="3108" t="str">
        <f t="shared" si="31"/>
        <v>——</v>
      </c>
      <c r="I96" s="3057">
        <v>0.05</v>
      </c>
      <c r="J96" s="1903">
        <f t="shared" si="27"/>
        <v>0</v>
      </c>
      <c r="K96" s="1903">
        <f t="shared" si="28"/>
        <v>0</v>
      </c>
      <c r="L96" s="1903">
        <v>0</v>
      </c>
      <c r="M96" s="1903">
        <f t="shared" si="29"/>
        <v>0</v>
      </c>
      <c r="N96" s="1903">
        <f t="shared" si="29"/>
        <v>0</v>
      </c>
    </row>
    <row r="97" spans="1:14" ht="26">
      <c r="A97" s="3069" t="s">
        <v>3270</v>
      </c>
      <c r="B97" s="3060" t="str">
        <f>估价对象房地状况!C24</f>
        <v>次干道-中天路</v>
      </c>
      <c r="C97" s="1878"/>
      <c r="D97" s="2300">
        <f t="shared" si="30"/>
        <v>0</v>
      </c>
      <c r="E97" s="3073"/>
      <c r="F97" s="1666"/>
      <c r="G97" s="3063"/>
      <c r="H97" s="3108" t="str">
        <f t="shared" si="31"/>
        <v>——</v>
      </c>
      <c r="I97" s="3057">
        <v>0.05</v>
      </c>
      <c r="J97" s="1903">
        <f t="shared" si="27"/>
        <v>0</v>
      </c>
      <c r="K97" s="1903">
        <f t="shared" si="28"/>
        <v>0</v>
      </c>
      <c r="L97" s="1903">
        <v>0</v>
      </c>
      <c r="M97" s="1903">
        <f t="shared" si="29"/>
        <v>0</v>
      </c>
      <c r="N97" s="1903">
        <f t="shared" si="29"/>
        <v>0</v>
      </c>
    </row>
    <row r="98" spans="1:14" ht="26">
      <c r="A98" s="3069" t="s">
        <v>3271</v>
      </c>
      <c r="B98" s="3076" t="s">
        <v>3281</v>
      </c>
      <c r="C98" s="1878"/>
      <c r="D98" s="2300">
        <f t="shared" si="30"/>
        <v>0</v>
      </c>
      <c r="E98" s="3073"/>
      <c r="F98" s="1666"/>
      <c r="G98" s="3063"/>
      <c r="H98" s="3108" t="str">
        <f t="shared" si="31"/>
        <v>——</v>
      </c>
      <c r="I98" s="3057">
        <v>0.06</v>
      </c>
      <c r="J98" s="1903">
        <f t="shared" si="27"/>
        <v>0</v>
      </c>
      <c r="K98" s="1903">
        <f t="shared" si="28"/>
        <v>0</v>
      </c>
      <c r="L98" s="1903">
        <v>0</v>
      </c>
      <c r="M98" s="1903">
        <f t="shared" si="29"/>
        <v>0</v>
      </c>
      <c r="N98" s="1903">
        <f t="shared" si="29"/>
        <v>0</v>
      </c>
    </row>
    <row r="99" spans="1:14" ht="26">
      <c r="A99" s="3069" t="s">
        <v>3272</v>
      </c>
      <c r="B99" s="3060" t="str">
        <f>估价对象房地状况!C21</f>
        <v>估价对象所在区域公共配套设施齐备情况较好</v>
      </c>
      <c r="C99" s="1878"/>
      <c r="D99" s="2300">
        <f t="shared" si="30"/>
        <v>0</v>
      </c>
      <c r="E99" s="3073"/>
      <c r="F99" s="1666"/>
      <c r="G99" s="3063"/>
      <c r="H99" s="3108" t="str">
        <f t="shared" si="31"/>
        <v>——</v>
      </c>
      <c r="I99" s="3057">
        <v>0.06</v>
      </c>
      <c r="J99" s="1903">
        <f t="shared" si="27"/>
        <v>0</v>
      </c>
      <c r="K99" s="1903">
        <f t="shared" si="28"/>
        <v>0</v>
      </c>
      <c r="L99" s="1903">
        <v>0</v>
      </c>
      <c r="M99" s="1903">
        <f t="shared" si="29"/>
        <v>0</v>
      </c>
      <c r="N99" s="1903">
        <f t="shared" si="29"/>
        <v>0</v>
      </c>
    </row>
    <row r="100" spans="1:14" ht="26">
      <c r="A100" s="3069" t="s">
        <v>3273</v>
      </c>
      <c r="B100" s="3060" t="str">
        <f>估价对象房地状况!C22</f>
        <v>六通</v>
      </c>
      <c r="C100" s="1878"/>
      <c r="D100" s="2300">
        <f t="shared" si="30"/>
        <v>0</v>
      </c>
      <c r="E100" s="3073"/>
      <c r="F100" s="1666"/>
      <c r="G100" s="3063"/>
      <c r="H100" s="3108" t="str">
        <f t="shared" si="31"/>
        <v>——</v>
      </c>
      <c r="I100" s="3057">
        <v>0.09</v>
      </c>
      <c r="J100" s="1903">
        <f t="shared" si="27"/>
        <v>0</v>
      </c>
      <c r="K100" s="1903">
        <f t="shared" si="28"/>
        <v>0</v>
      </c>
      <c r="L100" s="1903">
        <v>0</v>
      </c>
      <c r="M100" s="1903">
        <f t="shared" si="29"/>
        <v>0</v>
      </c>
      <c r="N100" s="1903">
        <f t="shared" si="29"/>
        <v>0</v>
      </c>
    </row>
    <row r="101" spans="1:14" ht="50.5" thickBot="1">
      <c r="A101" s="3070" t="s">
        <v>3274</v>
      </c>
      <c r="B101" s="3077" t="str">
        <f>估价对象房地状况!C20</f>
        <v>区域自然环境：观山湖公园；人文环境：贵阳国际会议中心；综合评价环境状况好</v>
      </c>
      <c r="C101" s="1878"/>
      <c r="D101" s="2300">
        <f t="shared" si="30"/>
        <v>0</v>
      </c>
      <c r="E101" s="3074"/>
      <c r="F101" s="1666"/>
      <c r="G101" s="3063"/>
      <c r="H101" s="3108" t="str">
        <f t="shared" si="31"/>
        <v>——</v>
      </c>
      <c r="I101" s="3058">
        <v>7.0000000000000007E-2</v>
      </c>
      <c r="J101" s="1903">
        <f t="shared" si="27"/>
        <v>0</v>
      </c>
      <c r="K101" s="1903">
        <f t="shared" si="28"/>
        <v>0</v>
      </c>
      <c r="L101" s="1903">
        <v>0</v>
      </c>
      <c r="M101" s="1903">
        <f t="shared" si="29"/>
        <v>0</v>
      </c>
      <c r="N101" s="1903">
        <f t="shared" si="29"/>
        <v>0</v>
      </c>
    </row>
    <row r="103" spans="1:14" ht="13">
      <c r="A103" s="3468" t="s">
        <v>3289</v>
      </c>
      <c r="B103" s="3468"/>
      <c r="C103" s="3468"/>
      <c r="D103" s="3468"/>
      <c r="E103" s="3468"/>
      <c r="F103" s="3468"/>
      <c r="G103" s="3468"/>
      <c r="H103" s="3468"/>
      <c r="I103" s="3468"/>
      <c r="J103" s="3468"/>
      <c r="K103" s="1658"/>
      <c r="L103" s="1658"/>
      <c r="M103" s="1658"/>
      <c r="N103" s="1658"/>
    </row>
    <row r="104" spans="1:14" ht="13">
      <c r="A104" s="3469" t="s">
        <v>3290</v>
      </c>
      <c r="B104" s="3469" t="s">
        <v>3291</v>
      </c>
      <c r="C104" s="3079" t="s">
        <v>3292</v>
      </c>
      <c r="D104" s="3080"/>
      <c r="E104" s="3080"/>
      <c r="F104" s="3080"/>
      <c r="G104" s="3080"/>
      <c r="H104" s="3080"/>
      <c r="I104" s="3080"/>
      <c r="J104" s="3081"/>
      <c r="K104" s="3082"/>
      <c r="L104" s="3082"/>
      <c r="M104" s="3082"/>
      <c r="N104" s="3082"/>
    </row>
    <row r="105" spans="1:14" ht="13">
      <c r="A105" s="3469"/>
      <c r="B105" s="3469"/>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55"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5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5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5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5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ht="13">
      <c r="A111" s="3456"/>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57"/>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ht="13">
      <c r="A113" s="3458" t="s">
        <v>3306</v>
      </c>
      <c r="B113" s="3458"/>
      <c r="C113" s="3458"/>
      <c r="D113" s="3458"/>
      <c r="E113" s="3458"/>
      <c r="F113" s="3458"/>
      <c r="G113" s="3458"/>
      <c r="H113" s="3458"/>
      <c r="I113" s="3458"/>
      <c r="J113" s="3458"/>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 thickBot="1">
      <c r="A115" s="3086"/>
      <c r="B115" s="3086"/>
      <c r="C115" s="3086"/>
      <c r="D115" s="3086"/>
      <c r="E115" s="3086"/>
      <c r="F115" s="3086"/>
      <c r="G115" s="3086"/>
      <c r="H115" s="3086"/>
      <c r="I115" s="3086"/>
      <c r="J115" s="3086"/>
      <c r="K115" s="1955"/>
      <c r="L115" s="3086"/>
      <c r="M115" s="3086"/>
      <c r="N115" s="3086"/>
    </row>
    <row r="116" spans="1:14" ht="26" thickBot="1">
      <c r="A116" s="3087" t="s">
        <v>3307</v>
      </c>
      <c r="B116" s="3103">
        <f>G3</f>
        <v>5.5</v>
      </c>
      <c r="C116" s="3088" t="s">
        <v>3308</v>
      </c>
      <c r="D116" s="3089">
        <f>SUMPRODUCT((A118:A122=F116)*(B117:M117=H116)*B118:M122)</f>
        <v>0</v>
      </c>
      <c r="E116" s="156" t="s">
        <v>3309</v>
      </c>
      <c r="F116" s="3090">
        <f>E2</f>
        <v>0</v>
      </c>
      <c r="G116" s="156" t="s">
        <v>3310</v>
      </c>
      <c r="H116" s="3090">
        <f>G2</f>
        <v>0</v>
      </c>
      <c r="I116" s="156"/>
      <c r="J116" s="3091"/>
      <c r="K116" s="3091"/>
      <c r="L116" s="3091"/>
      <c r="M116" s="3091"/>
      <c r="N116" s="3086"/>
    </row>
    <row r="117" spans="1:14" ht="13">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ht="13">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ht="13">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ht="13">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ht="13">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6953125" defaultRowHeight="19.5" customHeight="1"/>
  <cols>
    <col min="1" max="13" width="15.26953125" style="2802" customWidth="1"/>
    <col min="14" max="14" width="10" style="2802" customWidth="1"/>
    <col min="15" max="16" width="8.26953125" style="2802"/>
    <col min="17" max="17" width="34.08984375" style="2802" customWidth="1"/>
    <col min="18" max="18" width="8.26953125" style="2802" customWidth="1"/>
    <col min="19" max="19" width="8.26953125" style="2802"/>
    <col min="20" max="20" width="11.6328125" style="2802" customWidth="1"/>
    <col min="21" max="16384" width="8.269531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1" t="s">
        <v>2602</v>
      </c>
      <c r="B20" s="3474" t="s">
        <v>2623</v>
      </c>
      <c r="C20" s="2831" t="s">
        <v>2434</v>
      </c>
      <c r="D20" s="2832"/>
      <c r="E20" s="2833">
        <v>1</v>
      </c>
      <c r="F20" s="2834" t="s">
        <v>2435</v>
      </c>
      <c r="G20" s="2834"/>
    </row>
    <row r="21" spans="1:13" ht="19.5" customHeight="1">
      <c r="A21" s="3482"/>
      <c r="B21" s="3475"/>
      <c r="C21" s="2835" t="s">
        <v>2436</v>
      </c>
      <c r="D21" s="2836"/>
      <c r="E21" s="2837">
        <v>1</v>
      </c>
      <c r="F21" s="2834" t="s">
        <v>2437</v>
      </c>
      <c r="G21" s="2834"/>
    </row>
    <row r="22" spans="1:13" ht="19.5" customHeight="1">
      <c r="A22" s="3482"/>
      <c r="B22" s="3475"/>
      <c r="C22" s="2835" t="s">
        <v>2438</v>
      </c>
      <c r="D22" s="2836"/>
      <c r="E22" s="2837">
        <v>0.9</v>
      </c>
      <c r="F22" s="2834" t="s">
        <v>2439</v>
      </c>
      <c r="G22" s="2834"/>
    </row>
    <row r="23" spans="1:13" ht="19.5" customHeight="1">
      <c r="A23" s="3482"/>
      <c r="B23" s="3475"/>
      <c r="C23" s="2835" t="s">
        <v>2440</v>
      </c>
      <c r="D23" s="2836"/>
      <c r="E23" s="2837">
        <v>0.9</v>
      </c>
      <c r="F23" s="2834" t="s">
        <v>2441</v>
      </c>
      <c r="G23" s="2834"/>
    </row>
    <row r="24" spans="1:13" ht="19.5" customHeight="1">
      <c r="A24" s="3482"/>
      <c r="B24" s="3475"/>
      <c r="C24" s="2835" t="s">
        <v>2442</v>
      </c>
      <c r="D24" s="2836"/>
      <c r="E24" s="2837">
        <v>0.8</v>
      </c>
      <c r="F24" s="2834" t="s">
        <v>2443</v>
      </c>
      <c r="G24" s="2834"/>
    </row>
    <row r="25" spans="1:13" ht="19.5" customHeight="1" thickBot="1">
      <c r="A25" s="3483"/>
      <c r="B25" s="3476"/>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77" t="s">
        <v>2626</v>
      </c>
      <c r="B27" s="3474" t="s">
        <v>2607</v>
      </c>
      <c r="C27" s="2831" t="s">
        <v>2447</v>
      </c>
      <c r="D27" s="2832"/>
      <c r="E27" s="2833">
        <v>1</v>
      </c>
      <c r="F27" s="2834" t="s">
        <v>2448</v>
      </c>
      <c r="G27" s="2834"/>
    </row>
    <row r="28" spans="1:13" ht="19.5" customHeight="1">
      <c r="A28" s="3478"/>
      <c r="B28" s="3475"/>
      <c r="C28" s="2835" t="s">
        <v>2449</v>
      </c>
      <c r="D28" s="2836"/>
      <c r="E28" s="2837">
        <v>1</v>
      </c>
      <c r="F28" s="2834" t="s">
        <v>2450</v>
      </c>
      <c r="G28" s="2834"/>
    </row>
    <row r="29" spans="1:13" ht="19.5" customHeight="1">
      <c r="A29" s="3478"/>
      <c r="B29" s="3475"/>
      <c r="C29" s="2835" t="s">
        <v>2451</v>
      </c>
      <c r="D29" s="2836"/>
      <c r="E29" s="2837">
        <v>0.8</v>
      </c>
      <c r="F29" s="2834" t="s">
        <v>2452</v>
      </c>
      <c r="G29" s="2834"/>
    </row>
    <row r="30" spans="1:13" ht="19.5" customHeight="1">
      <c r="A30" s="3478"/>
      <c r="B30" s="3475"/>
      <c r="C30" s="2835" t="s">
        <v>2453</v>
      </c>
      <c r="D30" s="2836"/>
      <c r="E30" s="2837">
        <v>0.8</v>
      </c>
      <c r="F30" s="2834" t="s">
        <v>2454</v>
      </c>
      <c r="G30" s="2834"/>
    </row>
    <row r="31" spans="1:13" ht="19.5" customHeight="1">
      <c r="A31" s="3478"/>
      <c r="B31" s="3475"/>
      <c r="C31" s="2835" t="s">
        <v>2455</v>
      </c>
      <c r="D31" s="2836"/>
      <c r="E31" s="2837">
        <v>0.8</v>
      </c>
      <c r="F31" s="2834" t="s">
        <v>2456</v>
      </c>
      <c r="G31" s="2834"/>
    </row>
    <row r="32" spans="1:13" ht="19.5" customHeight="1">
      <c r="A32" s="3478"/>
      <c r="B32" s="3475"/>
      <c r="C32" s="2835" t="s">
        <v>2457</v>
      </c>
      <c r="D32" s="2836"/>
      <c r="E32" s="2837">
        <v>0.7</v>
      </c>
      <c r="F32" s="2834" t="s">
        <v>2458</v>
      </c>
      <c r="G32" s="2834"/>
    </row>
    <row r="33" spans="1:7" ht="19.5" customHeight="1">
      <c r="A33" s="3478"/>
      <c r="B33" s="3475"/>
      <c r="C33" s="2835" t="s">
        <v>2459</v>
      </c>
      <c r="D33" s="2836"/>
      <c r="E33" s="2837">
        <v>0.8</v>
      </c>
      <c r="F33" s="2834" t="s">
        <v>2460</v>
      </c>
      <c r="G33" s="2834"/>
    </row>
    <row r="34" spans="1:7" ht="19.5" customHeight="1">
      <c r="A34" s="3478"/>
      <c r="B34" s="3475"/>
      <c r="C34" s="2835" t="s">
        <v>2461</v>
      </c>
      <c r="D34" s="2836"/>
      <c r="E34" s="2837">
        <v>0.6</v>
      </c>
      <c r="F34" s="2834" t="s">
        <v>2462</v>
      </c>
      <c r="G34" s="2834"/>
    </row>
    <row r="35" spans="1:7" ht="19.5" customHeight="1">
      <c r="A35" s="3478"/>
      <c r="B35" s="3475"/>
      <c r="C35" s="2835" t="s">
        <v>2463</v>
      </c>
      <c r="D35" s="2836"/>
      <c r="E35" s="2837">
        <v>0.2</v>
      </c>
      <c r="F35" s="2834" t="s">
        <v>2464</v>
      </c>
      <c r="G35" s="2834"/>
    </row>
    <row r="36" spans="1:7" ht="19.5" customHeight="1">
      <c r="A36" s="3478"/>
      <c r="B36" s="3475"/>
      <c r="C36" s="2835" t="s">
        <v>2465</v>
      </c>
      <c r="D36" s="2836"/>
      <c r="E36" s="2837">
        <v>0.2</v>
      </c>
      <c r="F36" s="2834" t="s">
        <v>2466</v>
      </c>
      <c r="G36" s="2834"/>
    </row>
    <row r="37" spans="1:7" ht="19.5" customHeight="1">
      <c r="A37" s="3478"/>
      <c r="B37" s="3480" t="s">
        <v>2627</v>
      </c>
      <c r="C37" s="2835" t="s">
        <v>2467</v>
      </c>
      <c r="D37" s="2836"/>
      <c r="E37" s="2837">
        <v>0.6</v>
      </c>
      <c r="F37" s="2834" t="s">
        <v>2468</v>
      </c>
      <c r="G37" s="2834"/>
    </row>
    <row r="38" spans="1:7" ht="19.5" customHeight="1">
      <c r="A38" s="3478"/>
      <c r="B38" s="3475"/>
      <c r="C38" s="2835" t="s">
        <v>2469</v>
      </c>
      <c r="D38" s="2836"/>
      <c r="E38" s="2837">
        <v>0.6</v>
      </c>
      <c r="F38" s="2834" t="s">
        <v>2470</v>
      </c>
      <c r="G38" s="2834"/>
    </row>
    <row r="39" spans="1:7" ht="19.5" customHeight="1" thickBot="1">
      <c r="A39" s="3479"/>
      <c r="B39" s="3476"/>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1" t="s">
        <v>2605</v>
      </c>
      <c r="B41" s="3474" t="s">
        <v>2629</v>
      </c>
      <c r="C41" s="2831" t="s">
        <v>2474</v>
      </c>
      <c r="D41" s="2832"/>
      <c r="E41" s="2833">
        <v>1</v>
      </c>
      <c r="F41" s="2834" t="s">
        <v>2475</v>
      </c>
      <c r="G41" s="2834"/>
    </row>
    <row r="42" spans="1:7" ht="19.5" customHeight="1">
      <c r="A42" s="3482"/>
      <c r="B42" s="3475"/>
      <c r="C42" s="2835" t="s">
        <v>2476</v>
      </c>
      <c r="D42" s="2836"/>
      <c r="E42" s="2837">
        <v>1</v>
      </c>
      <c r="F42" s="2834" t="s">
        <v>2477</v>
      </c>
      <c r="G42" s="2834"/>
    </row>
    <row r="43" spans="1:7" ht="19.5" customHeight="1">
      <c r="A43" s="3482"/>
      <c r="B43" s="3484"/>
      <c r="C43" s="2835" t="s">
        <v>2478</v>
      </c>
      <c r="D43" s="2836"/>
      <c r="E43" s="2837">
        <v>1.5</v>
      </c>
      <c r="F43" s="2834" t="s">
        <v>2479</v>
      </c>
      <c r="G43" s="2834"/>
    </row>
    <row r="44" spans="1:7" ht="19.5" customHeight="1">
      <c r="A44" s="3482"/>
      <c r="B44" s="2846" t="s">
        <v>2630</v>
      </c>
      <c r="C44" s="2835" t="s">
        <v>2631</v>
      </c>
      <c r="D44" s="2836"/>
      <c r="E44" s="2837">
        <v>2</v>
      </c>
      <c r="F44" s="2834" t="s">
        <v>2480</v>
      </c>
      <c r="G44" s="2834"/>
    </row>
    <row r="45" spans="1:7" ht="19.5" customHeight="1">
      <c r="A45" s="3482"/>
      <c r="B45" s="3480" t="s">
        <v>2632</v>
      </c>
      <c r="C45" s="2835" t="s">
        <v>2481</v>
      </c>
      <c r="D45" s="2836"/>
      <c r="E45" s="2837">
        <v>1</v>
      </c>
      <c r="F45" s="2834" t="s">
        <v>2482</v>
      </c>
      <c r="G45" s="2834"/>
    </row>
    <row r="46" spans="1:7" ht="19.5" customHeight="1">
      <c r="A46" s="3482"/>
      <c r="B46" s="3475"/>
      <c r="C46" s="2835" t="s">
        <v>2483</v>
      </c>
      <c r="D46" s="2836"/>
      <c r="E46" s="2837">
        <v>1</v>
      </c>
      <c r="F46" s="2834" t="s">
        <v>2484</v>
      </c>
      <c r="G46" s="2834"/>
    </row>
    <row r="47" spans="1:7" ht="19.5" customHeight="1">
      <c r="A47" s="3482"/>
      <c r="B47" s="3475"/>
      <c r="C47" s="2835" t="s">
        <v>2485</v>
      </c>
      <c r="D47" s="2836"/>
      <c r="E47" s="2837">
        <v>1</v>
      </c>
      <c r="F47" s="2834" t="s">
        <v>2486</v>
      </c>
      <c r="G47" s="2834"/>
    </row>
    <row r="48" spans="1:7" ht="19.5" customHeight="1">
      <c r="A48" s="3482"/>
      <c r="B48" s="3475"/>
      <c r="C48" s="2835" t="s">
        <v>2487</v>
      </c>
      <c r="D48" s="2836"/>
      <c r="E48" s="2837">
        <v>1</v>
      </c>
      <c r="F48" s="2834" t="s">
        <v>2488</v>
      </c>
      <c r="G48" s="2834"/>
    </row>
    <row r="49" spans="1:7" ht="19.5" customHeight="1">
      <c r="A49" s="3482"/>
      <c r="B49" s="3475"/>
      <c r="C49" s="2835" t="s">
        <v>2489</v>
      </c>
      <c r="D49" s="2836"/>
      <c r="E49" s="2837">
        <v>1</v>
      </c>
      <c r="F49" s="2834" t="s">
        <v>2490</v>
      </c>
      <c r="G49" s="2834"/>
    </row>
    <row r="50" spans="1:7" ht="19.5" customHeight="1">
      <c r="A50" s="3482"/>
      <c r="B50" s="3475"/>
      <c r="C50" s="2835" t="s">
        <v>2491</v>
      </c>
      <c r="D50" s="2836"/>
      <c r="E50" s="2837">
        <v>1</v>
      </c>
      <c r="F50" s="2834" t="s">
        <v>2492</v>
      </c>
      <c r="G50" s="2834"/>
    </row>
    <row r="51" spans="1:7" ht="19.5" customHeight="1" thickBot="1">
      <c r="A51" s="3483"/>
      <c r="B51" s="3476"/>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4">
      <c r="A72" s="2846"/>
      <c r="B72" s="2846"/>
      <c r="C72" s="2846" t="s">
        <v>2645</v>
      </c>
      <c r="D72" s="2846"/>
      <c r="E72" s="2846" t="s">
        <v>2616</v>
      </c>
      <c r="F72" s="2846" t="s">
        <v>2616</v>
      </c>
    </row>
    <row r="73" spans="1:7" ht="14">
      <c r="A73" s="2846">
        <v>1</v>
      </c>
      <c r="B73" s="3480" t="s">
        <v>2646</v>
      </c>
      <c r="C73" s="2820" t="s">
        <v>2647</v>
      </c>
      <c r="D73" s="2820" t="s">
        <v>2648</v>
      </c>
      <c r="E73" s="2846">
        <v>0.2</v>
      </c>
      <c r="F73" s="2846">
        <v>25</v>
      </c>
    </row>
    <row r="74" spans="1:7" ht="26">
      <c r="A74" s="2846">
        <v>2</v>
      </c>
      <c r="B74" s="3475"/>
      <c r="C74" s="2820" t="s">
        <v>2649</v>
      </c>
      <c r="D74" s="2820" t="s">
        <v>2650</v>
      </c>
      <c r="E74" s="2846">
        <v>0.2</v>
      </c>
      <c r="F74" s="2846">
        <v>25</v>
      </c>
    </row>
    <row r="75" spans="1:7" ht="26">
      <c r="A75" s="2846">
        <v>3</v>
      </c>
      <c r="B75" s="3475"/>
      <c r="C75" s="2820" t="s">
        <v>2651</v>
      </c>
      <c r="D75" s="2820" t="s">
        <v>2652</v>
      </c>
      <c r="E75" s="2846">
        <v>0.2</v>
      </c>
      <c r="F75" s="2846">
        <v>25</v>
      </c>
    </row>
    <row r="76" spans="1:7" ht="14">
      <c r="A76" s="2846">
        <v>4</v>
      </c>
      <c r="B76" s="3475"/>
      <c r="C76" s="2820" t="s">
        <v>2653</v>
      </c>
      <c r="D76" s="2820" t="s">
        <v>2654</v>
      </c>
      <c r="E76" s="2846">
        <v>0.15</v>
      </c>
      <c r="F76" s="2846">
        <v>20</v>
      </c>
    </row>
    <row r="77" spans="1:7" ht="26">
      <c r="A77" s="2846">
        <v>5</v>
      </c>
      <c r="B77" s="3475"/>
      <c r="C77" s="2820" t="s">
        <v>2655</v>
      </c>
      <c r="D77" s="2820" t="s">
        <v>2656</v>
      </c>
      <c r="E77" s="2846">
        <v>0.15</v>
      </c>
      <c r="F77" s="2846">
        <v>20</v>
      </c>
    </row>
    <row r="78" spans="1:7" ht="26">
      <c r="A78" s="2846">
        <v>6</v>
      </c>
      <c r="B78" s="3475"/>
      <c r="C78" s="2820" t="s">
        <v>2657</v>
      </c>
      <c r="D78" s="2820" t="s">
        <v>2658</v>
      </c>
      <c r="E78" s="2846">
        <v>0.15</v>
      </c>
      <c r="F78" s="2846">
        <v>20</v>
      </c>
    </row>
    <row r="79" spans="1:7" ht="26">
      <c r="A79" s="2846">
        <v>7</v>
      </c>
      <c r="B79" s="3475"/>
      <c r="C79" s="2820" t="s">
        <v>2659</v>
      </c>
      <c r="D79" s="2820" t="s">
        <v>2660</v>
      </c>
      <c r="E79" s="2846">
        <v>0.15</v>
      </c>
      <c r="F79" s="2846">
        <v>20</v>
      </c>
    </row>
    <row r="80" spans="1:7" ht="26">
      <c r="A80" s="2846">
        <v>8</v>
      </c>
      <c r="B80" s="3475"/>
      <c r="C80" s="2820" t="s">
        <v>2661</v>
      </c>
      <c r="D80" s="2820" t="s">
        <v>2662</v>
      </c>
      <c r="E80" s="2846">
        <v>0.1</v>
      </c>
      <c r="F80" s="2846">
        <v>15</v>
      </c>
    </row>
    <row r="81" spans="1:6" ht="26">
      <c r="A81" s="2846">
        <v>9</v>
      </c>
      <c r="B81" s="3475"/>
      <c r="C81" s="2820" t="s">
        <v>2663</v>
      </c>
      <c r="D81" s="2820" t="s">
        <v>2664</v>
      </c>
      <c r="E81" s="2846">
        <v>0.1</v>
      </c>
      <c r="F81" s="2846">
        <v>15</v>
      </c>
    </row>
    <row r="82" spans="1:6" ht="26">
      <c r="A82" s="2846">
        <v>10</v>
      </c>
      <c r="B82" s="3475"/>
      <c r="C82" s="2820" t="s">
        <v>2665</v>
      </c>
      <c r="D82" s="2820" t="s">
        <v>2666</v>
      </c>
      <c r="E82" s="2846">
        <v>0.1</v>
      </c>
      <c r="F82" s="2846">
        <v>15</v>
      </c>
    </row>
    <row r="83" spans="1:6" ht="26">
      <c r="A83" s="2846">
        <v>11</v>
      </c>
      <c r="B83" s="3475"/>
      <c r="C83" s="2820" t="s">
        <v>2667</v>
      </c>
      <c r="D83" s="2820" t="s">
        <v>2668</v>
      </c>
      <c r="E83" s="2846">
        <v>0.1</v>
      </c>
      <c r="F83" s="2846">
        <v>15</v>
      </c>
    </row>
    <row r="84" spans="1:6" ht="26">
      <c r="A84" s="2846">
        <v>12</v>
      </c>
      <c r="B84" s="3475"/>
      <c r="C84" s="2820" t="s">
        <v>2669</v>
      </c>
      <c r="D84" s="2820" t="s">
        <v>2670</v>
      </c>
      <c r="E84" s="2846">
        <v>0.1</v>
      </c>
      <c r="F84" s="2846">
        <v>15</v>
      </c>
    </row>
    <row r="85" spans="1:6" ht="14">
      <c r="A85" s="2846">
        <v>13</v>
      </c>
      <c r="B85" s="3475"/>
      <c r="C85" s="2820" t="s">
        <v>2671</v>
      </c>
      <c r="D85" s="2820" t="s">
        <v>2672</v>
      </c>
      <c r="E85" s="2846">
        <v>0.1</v>
      </c>
      <c r="F85" s="2846">
        <v>15</v>
      </c>
    </row>
    <row r="86" spans="1:6" ht="14">
      <c r="A86" s="2846">
        <v>14</v>
      </c>
      <c r="B86" s="3475"/>
      <c r="C86" s="2820" t="s">
        <v>2673</v>
      </c>
      <c r="D86" s="2820" t="s">
        <v>2674</v>
      </c>
      <c r="E86" s="2846">
        <v>0.1</v>
      </c>
      <c r="F86" s="2846">
        <v>15</v>
      </c>
    </row>
    <row r="87" spans="1:6" ht="14">
      <c r="A87" s="2846">
        <v>15</v>
      </c>
      <c r="B87" s="3475"/>
      <c r="C87" s="2820" t="s">
        <v>2675</v>
      </c>
      <c r="D87" s="2820" t="s">
        <v>2676</v>
      </c>
      <c r="E87" s="2846">
        <v>0.1</v>
      </c>
      <c r="F87" s="2846">
        <v>15</v>
      </c>
    </row>
    <row r="88" spans="1:6" ht="26">
      <c r="A88" s="2846">
        <v>16</v>
      </c>
      <c r="B88" s="3475"/>
      <c r="C88" s="2820" t="s">
        <v>2677</v>
      </c>
      <c r="D88" s="2820" t="s">
        <v>2678</v>
      </c>
      <c r="E88" s="2846">
        <v>0.1</v>
      </c>
      <c r="F88" s="2846">
        <v>15</v>
      </c>
    </row>
    <row r="89" spans="1:6" ht="26">
      <c r="A89" s="2846">
        <v>17</v>
      </c>
      <c r="B89" s="3484"/>
      <c r="C89" s="2820" t="s">
        <v>2679</v>
      </c>
      <c r="D89" s="2820" t="s">
        <v>2680</v>
      </c>
      <c r="E89" s="2846">
        <v>0.1</v>
      </c>
      <c r="F89" s="2846">
        <v>15</v>
      </c>
    </row>
    <row r="90" spans="1:6" ht="14">
      <c r="A90" s="2846">
        <v>18</v>
      </c>
      <c r="B90" s="3480" t="s">
        <v>2681</v>
      </c>
      <c r="C90" s="2820" t="s">
        <v>2682</v>
      </c>
      <c r="D90" s="2820" t="s">
        <v>2683</v>
      </c>
      <c r="E90" s="2846">
        <v>0.2</v>
      </c>
      <c r="F90" s="2846">
        <v>25</v>
      </c>
    </row>
    <row r="91" spans="1:6" ht="26">
      <c r="A91" s="2846">
        <v>19</v>
      </c>
      <c r="B91" s="3475"/>
      <c r="C91" s="2820" t="s">
        <v>2684</v>
      </c>
      <c r="D91" s="2820" t="s">
        <v>2685</v>
      </c>
      <c r="E91" s="2846">
        <v>0.2</v>
      </c>
      <c r="F91" s="2846">
        <v>25</v>
      </c>
    </row>
    <row r="92" spans="1:6" ht="14">
      <c r="A92" s="2846">
        <v>20</v>
      </c>
      <c r="B92" s="3475"/>
      <c r="C92" s="2820" t="s">
        <v>2686</v>
      </c>
      <c r="D92" s="2820" t="s">
        <v>2687</v>
      </c>
      <c r="E92" s="2846">
        <v>0.15</v>
      </c>
      <c r="F92" s="2846">
        <v>20</v>
      </c>
    </row>
    <row r="93" spans="1:6" ht="26">
      <c r="A93" s="2846">
        <v>21</v>
      </c>
      <c r="B93" s="3475"/>
      <c r="C93" s="2820" t="s">
        <v>2688</v>
      </c>
      <c r="D93" s="2820" t="s">
        <v>2689</v>
      </c>
      <c r="E93" s="2846">
        <v>0.15</v>
      </c>
      <c r="F93" s="2846">
        <v>20</v>
      </c>
    </row>
    <row r="94" spans="1:6" ht="26">
      <c r="A94" s="2846">
        <v>22</v>
      </c>
      <c r="B94" s="3475"/>
      <c r="C94" s="2820" t="s">
        <v>2690</v>
      </c>
      <c r="D94" s="2820" t="s">
        <v>2691</v>
      </c>
      <c r="E94" s="2846">
        <v>0.15</v>
      </c>
      <c r="F94" s="2846">
        <v>20</v>
      </c>
    </row>
    <row r="95" spans="1:6" ht="39">
      <c r="A95" s="2846">
        <v>23</v>
      </c>
      <c r="B95" s="3475"/>
      <c r="C95" s="2820" t="s">
        <v>2692</v>
      </c>
      <c r="D95" s="2820" t="s">
        <v>2693</v>
      </c>
      <c r="E95" s="2846">
        <v>0.15</v>
      </c>
      <c r="F95" s="2846">
        <v>20</v>
      </c>
    </row>
    <row r="96" spans="1:6" ht="14">
      <c r="A96" s="2846">
        <v>24</v>
      </c>
      <c r="B96" s="3475"/>
      <c r="C96" s="2820" t="s">
        <v>2694</v>
      </c>
      <c r="D96" s="2820" t="s">
        <v>2695</v>
      </c>
      <c r="E96" s="2846">
        <v>0.1</v>
      </c>
      <c r="F96" s="2846">
        <v>15</v>
      </c>
    </row>
    <row r="97" spans="1:6" ht="26">
      <c r="A97" s="2846">
        <v>25</v>
      </c>
      <c r="B97" s="3475"/>
      <c r="C97" s="2820" t="s">
        <v>2696</v>
      </c>
      <c r="D97" s="2820" t="s">
        <v>2697</v>
      </c>
      <c r="E97" s="2846">
        <v>0.1</v>
      </c>
      <c r="F97" s="2846">
        <v>15</v>
      </c>
    </row>
    <row r="98" spans="1:6" ht="26">
      <c r="A98" s="2846">
        <v>26</v>
      </c>
      <c r="B98" s="3475"/>
      <c r="C98" s="2820" t="s">
        <v>2698</v>
      </c>
      <c r="D98" s="2820" t="s">
        <v>2699</v>
      </c>
      <c r="E98" s="2846">
        <v>0.1</v>
      </c>
      <c r="F98" s="2846">
        <v>15</v>
      </c>
    </row>
    <row r="99" spans="1:6" ht="26">
      <c r="A99" s="2846">
        <v>27</v>
      </c>
      <c r="B99" s="3475"/>
      <c r="C99" s="2820" t="s">
        <v>2700</v>
      </c>
      <c r="D99" s="2820" t="s">
        <v>2701</v>
      </c>
      <c r="E99" s="2846">
        <v>0.1</v>
      </c>
      <c r="F99" s="2846">
        <v>15</v>
      </c>
    </row>
    <row r="100" spans="1:6" ht="26">
      <c r="A100" s="2846">
        <v>28</v>
      </c>
      <c r="B100" s="3475"/>
      <c r="C100" s="2820" t="s">
        <v>2702</v>
      </c>
      <c r="D100" s="2820" t="s">
        <v>2703</v>
      </c>
      <c r="E100" s="2846">
        <v>0.1</v>
      </c>
      <c r="F100" s="2846">
        <v>15</v>
      </c>
    </row>
    <row r="101" spans="1:6" ht="26">
      <c r="A101" s="2846">
        <v>29</v>
      </c>
      <c r="B101" s="3475"/>
      <c r="C101" s="2820" t="s">
        <v>2704</v>
      </c>
      <c r="D101" s="2820" t="s">
        <v>2705</v>
      </c>
      <c r="E101" s="2846">
        <v>0.1</v>
      </c>
      <c r="F101" s="2846">
        <v>15</v>
      </c>
    </row>
    <row r="102" spans="1:6" ht="26">
      <c r="A102" s="2846">
        <v>30</v>
      </c>
      <c r="B102" s="3475"/>
      <c r="C102" s="2820" t="s">
        <v>2706</v>
      </c>
      <c r="D102" s="2820" t="s">
        <v>2707</v>
      </c>
      <c r="E102" s="2846">
        <v>0.1</v>
      </c>
      <c r="F102" s="2846">
        <v>15</v>
      </c>
    </row>
    <row r="103" spans="1:6" ht="26">
      <c r="A103" s="2846">
        <v>31</v>
      </c>
      <c r="B103" s="3475"/>
      <c r="C103" s="2820" t="s">
        <v>2708</v>
      </c>
      <c r="D103" s="2820" t="s">
        <v>2709</v>
      </c>
      <c r="E103" s="2846">
        <v>0.1</v>
      </c>
      <c r="F103" s="2846">
        <v>15</v>
      </c>
    </row>
    <row r="104" spans="1:6" ht="26">
      <c r="A104" s="2846">
        <v>32</v>
      </c>
      <c r="B104" s="3475"/>
      <c r="C104" s="2820" t="s">
        <v>2710</v>
      </c>
      <c r="D104" s="2820" t="s">
        <v>2711</v>
      </c>
      <c r="E104" s="2846">
        <v>0.1</v>
      </c>
      <c r="F104" s="2846">
        <v>15</v>
      </c>
    </row>
    <row r="105" spans="1:6" ht="26">
      <c r="A105" s="2846">
        <v>33</v>
      </c>
      <c r="B105" s="3475"/>
      <c r="C105" s="2820" t="s">
        <v>2712</v>
      </c>
      <c r="D105" s="2820" t="s">
        <v>2713</v>
      </c>
      <c r="E105" s="2846">
        <v>0.1</v>
      </c>
      <c r="F105" s="2846">
        <v>15</v>
      </c>
    </row>
    <row r="106" spans="1:6" ht="26">
      <c r="A106" s="2846">
        <v>34</v>
      </c>
      <c r="B106" s="3484"/>
      <c r="C106" s="2820" t="s">
        <v>2714</v>
      </c>
      <c r="D106" s="2820" t="s">
        <v>2715</v>
      </c>
      <c r="E106" s="2846">
        <v>0.1</v>
      </c>
      <c r="F106" s="2846">
        <v>15</v>
      </c>
    </row>
    <row r="107" spans="1:6" ht="26">
      <c r="A107" s="2846">
        <v>35</v>
      </c>
      <c r="B107" s="3480" t="s">
        <v>2716</v>
      </c>
      <c r="C107" s="2846" t="s">
        <v>2717</v>
      </c>
      <c r="D107" s="2820" t="s">
        <v>2718</v>
      </c>
      <c r="E107" s="2846">
        <v>0.15</v>
      </c>
      <c r="F107" s="2846">
        <v>20</v>
      </c>
    </row>
    <row r="108" spans="1:6" ht="26">
      <c r="A108" s="2846">
        <v>36</v>
      </c>
      <c r="B108" s="3475"/>
      <c r="C108" s="2846" t="s">
        <v>2719</v>
      </c>
      <c r="D108" s="2820" t="s">
        <v>2720</v>
      </c>
      <c r="E108" s="2846">
        <v>0.15</v>
      </c>
      <c r="F108" s="2846">
        <v>20</v>
      </c>
    </row>
    <row r="109" spans="1:6" ht="26">
      <c r="A109" s="2846">
        <v>37</v>
      </c>
      <c r="B109" s="3475"/>
      <c r="C109" s="2846" t="s">
        <v>2721</v>
      </c>
      <c r="D109" s="2820" t="s">
        <v>2722</v>
      </c>
      <c r="E109" s="2846">
        <v>0.15</v>
      </c>
      <c r="F109" s="2846">
        <v>20</v>
      </c>
    </row>
    <row r="110" spans="1:6" ht="14">
      <c r="A110" s="2846">
        <v>38</v>
      </c>
      <c r="B110" s="3475"/>
      <c r="C110" s="2846" t="s">
        <v>2723</v>
      </c>
      <c r="D110" s="2820" t="s">
        <v>2724</v>
      </c>
      <c r="E110" s="2846">
        <v>0.1</v>
      </c>
      <c r="F110" s="2846">
        <v>15</v>
      </c>
    </row>
    <row r="111" spans="1:6" ht="26">
      <c r="A111" s="2846">
        <v>39</v>
      </c>
      <c r="B111" s="3475"/>
      <c r="C111" s="2846" t="s">
        <v>2725</v>
      </c>
      <c r="D111" s="2820" t="s">
        <v>2726</v>
      </c>
      <c r="E111" s="2846">
        <v>0.1</v>
      </c>
      <c r="F111" s="2846">
        <v>15</v>
      </c>
    </row>
    <row r="112" spans="1:6" ht="26">
      <c r="A112" s="2846">
        <v>40</v>
      </c>
      <c r="B112" s="3484"/>
      <c r="C112" s="2846" t="s">
        <v>2727</v>
      </c>
      <c r="D112" s="2820" t="s">
        <v>2728</v>
      </c>
      <c r="E112" s="2846">
        <v>0.1</v>
      </c>
      <c r="F112" s="2846">
        <v>15</v>
      </c>
    </row>
    <row r="113" spans="1:6" ht="26">
      <c r="A113" s="2846">
        <v>41</v>
      </c>
      <c r="B113" s="3485" t="s">
        <v>2729</v>
      </c>
      <c r="C113" s="2846" t="s">
        <v>2730</v>
      </c>
      <c r="D113" s="2820" t="s">
        <v>2731</v>
      </c>
      <c r="E113" s="2846">
        <v>0.1</v>
      </c>
      <c r="F113" s="2846">
        <v>15</v>
      </c>
    </row>
    <row r="114" spans="1:6" ht="14">
      <c r="A114" s="2846">
        <v>42</v>
      </c>
      <c r="B114" s="3485"/>
      <c r="C114" s="2846" t="s">
        <v>2732</v>
      </c>
      <c r="D114" s="2820" t="s">
        <v>2733</v>
      </c>
      <c r="E114" s="2846">
        <v>0.1</v>
      </c>
      <c r="F114" s="2846">
        <v>15</v>
      </c>
    </row>
    <row r="115" spans="1:6" ht="26">
      <c r="A115" s="2846">
        <v>43</v>
      </c>
      <c r="B115" s="3485"/>
      <c r="C115" s="2846" t="s">
        <v>2734</v>
      </c>
      <c r="D115" s="2820" t="s">
        <v>2735</v>
      </c>
      <c r="E115" s="2846">
        <v>0.1</v>
      </c>
      <c r="F115" s="2846">
        <v>15</v>
      </c>
    </row>
    <row r="116" spans="1:6" ht="26">
      <c r="A116" s="2846">
        <v>44</v>
      </c>
      <c r="B116" s="3480" t="s">
        <v>2736</v>
      </c>
      <c r="C116" s="2846" t="s">
        <v>2737</v>
      </c>
      <c r="D116" s="2820" t="s">
        <v>2738</v>
      </c>
      <c r="E116" s="2846">
        <v>0.1</v>
      </c>
      <c r="F116" s="2846">
        <v>15</v>
      </c>
    </row>
    <row r="117" spans="1:6" ht="26">
      <c r="A117" s="2846">
        <v>45</v>
      </c>
      <c r="B117" s="3484"/>
      <c r="C117" s="2820" t="s">
        <v>2739</v>
      </c>
      <c r="D117" s="2820" t="s">
        <v>2740</v>
      </c>
      <c r="E117" s="2846">
        <v>0.1</v>
      </c>
      <c r="F117" s="2846">
        <v>15</v>
      </c>
    </row>
    <row r="118" spans="1:6" ht="26">
      <c r="A118" s="2846">
        <v>46</v>
      </c>
      <c r="B118" s="3480" t="s">
        <v>2741</v>
      </c>
      <c r="C118" s="2846" t="s">
        <v>2742</v>
      </c>
      <c r="D118" s="2820" t="s">
        <v>2743</v>
      </c>
      <c r="E118" s="2846">
        <v>0.1</v>
      </c>
      <c r="F118" s="2846">
        <v>15</v>
      </c>
    </row>
    <row r="119" spans="1:6" ht="26">
      <c r="A119" s="2846">
        <v>47</v>
      </c>
      <c r="B119" s="3484"/>
      <c r="C119" s="2846" t="s">
        <v>2744</v>
      </c>
      <c r="D119" s="2820" t="s">
        <v>2745</v>
      </c>
      <c r="E119" s="2846">
        <v>0.1</v>
      </c>
      <c r="F119" s="2846">
        <v>15</v>
      </c>
    </row>
    <row r="120" spans="1:6" ht="26">
      <c r="A120" s="2846">
        <v>48</v>
      </c>
      <c r="B120" s="3480" t="s">
        <v>2746</v>
      </c>
      <c r="C120" s="2846" t="s">
        <v>2747</v>
      </c>
      <c r="D120" s="2820" t="s">
        <v>2748</v>
      </c>
      <c r="E120" s="2846">
        <v>0.1</v>
      </c>
      <c r="F120" s="2846">
        <v>15</v>
      </c>
    </row>
    <row r="121" spans="1:6" ht="14">
      <c r="A121" s="2846">
        <v>49</v>
      </c>
      <c r="B121" s="3484"/>
      <c r="C121" s="2846" t="s">
        <v>2749</v>
      </c>
      <c r="D121" s="2820" t="s">
        <v>2750</v>
      </c>
      <c r="E121" s="2846">
        <v>0.1</v>
      </c>
      <c r="F121" s="2846">
        <v>15</v>
      </c>
    </row>
    <row r="122" spans="1:6" ht="26">
      <c r="A122" s="2846">
        <v>50</v>
      </c>
      <c r="B122" s="3485" t="s">
        <v>2751</v>
      </c>
      <c r="C122" s="2846" t="s">
        <v>2752</v>
      </c>
      <c r="D122" s="2820" t="s">
        <v>2753</v>
      </c>
      <c r="E122" s="2846">
        <v>0.1</v>
      </c>
      <c r="F122" s="2846">
        <v>15</v>
      </c>
    </row>
    <row r="123" spans="1:6" ht="26">
      <c r="A123" s="2846">
        <v>51</v>
      </c>
      <c r="B123" s="3485"/>
      <c r="C123" s="2846" t="s">
        <v>2754</v>
      </c>
      <c r="D123" s="2820" t="s">
        <v>2755</v>
      </c>
      <c r="E123" s="2846">
        <v>0.1</v>
      </c>
      <c r="F123" s="2846">
        <v>15</v>
      </c>
    </row>
    <row r="124" spans="1:6" ht="26">
      <c r="A124" s="2846">
        <v>52</v>
      </c>
      <c r="B124" s="3485" t="s">
        <v>2756</v>
      </c>
      <c r="C124" s="2846" t="s">
        <v>2757</v>
      </c>
      <c r="D124" s="2820" t="s">
        <v>2758</v>
      </c>
      <c r="E124" s="2846">
        <v>0.1</v>
      </c>
      <c r="F124" s="2846">
        <v>15</v>
      </c>
    </row>
    <row r="125" spans="1:6" ht="26">
      <c r="A125" s="2846">
        <v>53</v>
      </c>
      <c r="B125" s="3485"/>
      <c r="C125" s="2846" t="s">
        <v>2759</v>
      </c>
      <c r="D125" s="2820" t="s">
        <v>2760</v>
      </c>
      <c r="E125" s="2846">
        <v>0.1</v>
      </c>
      <c r="F125" s="2846">
        <v>15</v>
      </c>
    </row>
    <row r="126" spans="1:6" ht="26">
      <c r="A126" s="2846">
        <v>54</v>
      </c>
      <c r="B126" s="2846" t="s">
        <v>2761</v>
      </c>
      <c r="C126" s="2846" t="s">
        <v>2762</v>
      </c>
      <c r="D126" s="2820" t="s">
        <v>2763</v>
      </c>
      <c r="E126" s="2846">
        <v>0.1</v>
      </c>
      <c r="F126" s="2846">
        <v>15</v>
      </c>
    </row>
    <row r="127" spans="1:6" ht="14">
      <c r="A127" s="2846">
        <v>55</v>
      </c>
      <c r="B127" s="3485" t="s">
        <v>2764</v>
      </c>
      <c r="C127" s="2846" t="s">
        <v>2765</v>
      </c>
      <c r="D127" s="2820" t="s">
        <v>2766</v>
      </c>
      <c r="E127" s="2846">
        <v>0.1</v>
      </c>
      <c r="F127" s="2846">
        <v>15</v>
      </c>
    </row>
    <row r="128" spans="1:6" ht="14">
      <c r="A128" s="2846">
        <v>56</v>
      </c>
      <c r="B128" s="3485"/>
      <c r="C128" s="2846" t="s">
        <v>2767</v>
      </c>
      <c r="D128" s="2820" t="s">
        <v>2768</v>
      </c>
      <c r="E128" s="2846">
        <v>0.1</v>
      </c>
      <c r="F128" s="2846">
        <v>15</v>
      </c>
    </row>
    <row r="129" spans="1:6" ht="26">
      <c r="A129" s="2846">
        <v>57</v>
      </c>
      <c r="B129" s="3485"/>
      <c r="C129" s="2846" t="s">
        <v>2769</v>
      </c>
      <c r="D129" s="2820" t="s">
        <v>2770</v>
      </c>
      <c r="E129" s="2846">
        <v>0.1</v>
      </c>
      <c r="F129" s="2846">
        <v>15</v>
      </c>
    </row>
    <row r="130" spans="1:6" ht="26">
      <c r="A130" s="2846">
        <v>58</v>
      </c>
      <c r="B130" s="3485" t="s">
        <v>2771</v>
      </c>
      <c r="C130" s="2846" t="s">
        <v>2772</v>
      </c>
      <c r="D130" s="2820" t="s">
        <v>2773</v>
      </c>
      <c r="E130" s="2846">
        <v>0.1</v>
      </c>
      <c r="F130" s="2846">
        <v>15</v>
      </c>
    </row>
    <row r="131" spans="1:6" ht="26">
      <c r="A131" s="2846">
        <v>59</v>
      </c>
      <c r="B131" s="3485"/>
      <c r="C131" s="2846" t="s">
        <v>2774</v>
      </c>
      <c r="D131" s="2820" t="s">
        <v>2775</v>
      </c>
      <c r="E131" s="2846">
        <v>0.1</v>
      </c>
      <c r="F131" s="2846">
        <v>15</v>
      </c>
    </row>
    <row r="132" spans="1:6" ht="26">
      <c r="A132" s="2846">
        <v>60</v>
      </c>
      <c r="B132" s="3480" t="s">
        <v>2776</v>
      </c>
      <c r="C132" s="2846" t="s">
        <v>2777</v>
      </c>
      <c r="D132" s="2820" t="s">
        <v>2778</v>
      </c>
      <c r="E132" s="2846">
        <v>0.1</v>
      </c>
      <c r="F132" s="2846">
        <v>15</v>
      </c>
    </row>
    <row r="133" spans="1:6" ht="26">
      <c r="A133" s="2846">
        <v>61</v>
      </c>
      <c r="B133" s="3484"/>
      <c r="C133" s="2846" t="s">
        <v>2779</v>
      </c>
      <c r="D133" s="2820" t="s">
        <v>2780</v>
      </c>
      <c r="E133" s="2846">
        <v>0.1</v>
      </c>
      <c r="F133" s="2846">
        <v>15</v>
      </c>
    </row>
    <row r="134" spans="1:6" ht="26">
      <c r="A134" s="2846">
        <v>62</v>
      </c>
      <c r="B134" s="2846" t="s">
        <v>2781</v>
      </c>
      <c r="C134" s="2846" t="s">
        <v>2782</v>
      </c>
      <c r="D134" s="2820" t="s">
        <v>2783</v>
      </c>
      <c r="E134" s="2846">
        <v>0.1</v>
      </c>
      <c r="F134" s="2846">
        <v>15</v>
      </c>
    </row>
    <row r="135" spans="1:6" ht="26">
      <c r="A135" s="2846">
        <v>63</v>
      </c>
      <c r="B135" s="3485" t="s">
        <v>2784</v>
      </c>
      <c r="C135" s="2846" t="s">
        <v>2785</v>
      </c>
      <c r="D135" s="2820" t="s">
        <v>2786</v>
      </c>
      <c r="E135" s="2846">
        <v>0.1</v>
      </c>
      <c r="F135" s="2846">
        <v>15</v>
      </c>
    </row>
    <row r="136" spans="1:6" ht="14">
      <c r="A136" s="2846">
        <v>64</v>
      </c>
      <c r="B136" s="3485"/>
      <c r="C136" s="2846" t="s">
        <v>2787</v>
      </c>
      <c r="D136" s="2820" t="s">
        <v>2788</v>
      </c>
      <c r="E136" s="2846">
        <v>0.1</v>
      </c>
      <c r="F136" s="2846">
        <v>15</v>
      </c>
    </row>
    <row r="137" spans="1:6" ht="26">
      <c r="A137" s="2846">
        <v>65</v>
      </c>
      <c r="B137" s="2846" t="s">
        <v>2789</v>
      </c>
      <c r="C137" s="2846" t="s">
        <v>2790</v>
      </c>
      <c r="D137" s="2820" t="s">
        <v>2791</v>
      </c>
      <c r="E137" s="2846">
        <v>0.1</v>
      </c>
      <c r="F137" s="2846">
        <v>15</v>
      </c>
    </row>
    <row r="138" spans="1:6" ht="14">
      <c r="A138" s="2846"/>
      <c r="B138" s="2846"/>
      <c r="C138" s="2846"/>
      <c r="D138" s="2846"/>
      <c r="E138" s="2846" t="s">
        <v>2792</v>
      </c>
      <c r="F138" s="284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
  <cols>
    <col min="1" max="13" width="9" style="2868"/>
  </cols>
  <sheetData>
    <row r="1" spans="1:20" ht="15.5" thickBot="1">
      <c r="A1" s="2854" t="s">
        <v>2793</v>
      </c>
      <c r="B1" s="2854"/>
      <c r="C1" s="2854"/>
      <c r="D1" s="2854"/>
      <c r="E1" s="2854"/>
      <c r="F1" s="2854"/>
      <c r="G1" s="2854"/>
      <c r="H1" s="2854"/>
      <c r="I1" s="2854"/>
      <c r="J1" s="2854"/>
      <c r="K1" s="2854"/>
      <c r="L1" s="2854"/>
      <c r="M1" s="2854"/>
      <c r="N1" s="700"/>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0"/>
    </row>
    <row r="104" spans="1:14" ht="1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0"/>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2" customWidth="1"/>
    <col min="2" max="2" width="37.26953125" style="1382" customWidth="1"/>
    <col min="3" max="3" width="11.36328125" style="1382" customWidth="1"/>
    <col min="4" max="4" width="31.7265625" style="1382" customWidth="1"/>
    <col min="5" max="5" width="0.453125" style="1382" customWidth="1"/>
    <col min="6" max="7" width="13" style="1382" customWidth="1"/>
    <col min="8" max="16384" width="9" style="1382"/>
  </cols>
  <sheetData>
    <row r="1" spans="1:5" ht="18">
      <c r="A1" s="1381"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83"/>
      <c r="B4" s="3173" t="s">
        <v>917</v>
      </c>
      <c r="C4" s="3173"/>
      <c r="D4" s="3173"/>
      <c r="E4" s="1383"/>
    </row>
    <row r="5" spans="1:5" ht="16" thickTop="1">
      <c r="B5" s="3171" t="s">
        <v>909</v>
      </c>
      <c r="C5" s="1384" t="s">
        <v>910</v>
      </c>
      <c r="D5" s="790">
        <f ca="1">结果表!H101</f>
        <v>69432</v>
      </c>
    </row>
    <row r="6" spans="1:5" ht="15.5">
      <c r="B6" s="3171"/>
      <c r="C6" s="1384" t="s">
        <v>911</v>
      </c>
      <c r="D6" s="790" t="str">
        <f ca="1">NUMBERSTRING(INT(D5*10000),2)&amp;"元整"</f>
        <v>陆亿玖仟肆佰叁拾贰万元整</v>
      </c>
    </row>
    <row r="7" spans="1:5" ht="15.5">
      <c r="B7" s="3176"/>
      <c r="C7" s="1385" t="s">
        <v>912</v>
      </c>
      <c r="D7" s="791">
        <f ca="1">结果表!H102</f>
        <v>16603</v>
      </c>
    </row>
    <row r="8" spans="1:5" ht="15.5">
      <c r="B8" s="3177" t="str">
        <f>结果表!E103</f>
        <v>2.估价师知悉的法定优先受偿款</v>
      </c>
      <c r="C8" s="1386" t="s">
        <v>913</v>
      </c>
      <c r="D8" s="791">
        <f>结果表!H103</f>
        <v>0</v>
      </c>
    </row>
    <row r="9" spans="1:5" ht="15.5">
      <c r="B9" s="3179"/>
      <c r="C9" s="1384" t="s">
        <v>911</v>
      </c>
      <c r="D9" s="790" t="str">
        <f>NUMBERSTRING(INT(D8*10000),2)&amp;"元整"</f>
        <v>零元整</v>
      </c>
    </row>
    <row r="10" spans="1:5" ht="16">
      <c r="B10" s="1387" t="s">
        <v>916</v>
      </c>
      <c r="C10" s="1388" t="s">
        <v>914</v>
      </c>
      <c r="D10" s="792">
        <f>结果表!H104</f>
        <v>0</v>
      </c>
    </row>
    <row r="11" spans="1:5" ht="16">
      <c r="B11" s="1387" t="s">
        <v>918</v>
      </c>
      <c r="C11" s="1388" t="s">
        <v>919</v>
      </c>
      <c r="D11" s="792">
        <f>结果表!H105</f>
        <v>0</v>
      </c>
    </row>
    <row r="12" spans="1:5" ht="16">
      <c r="B12" s="1387" t="s">
        <v>920</v>
      </c>
      <c r="C12" s="1388" t="s">
        <v>919</v>
      </c>
      <c r="D12" s="792">
        <f>结果表!H106</f>
        <v>0</v>
      </c>
    </row>
    <row r="13" spans="1:5" ht="15.5">
      <c r="B13" s="3170" t="str">
        <f>结果表!E107</f>
        <v>3.房地产抵押价值</v>
      </c>
      <c r="C13" s="1389" t="s">
        <v>910</v>
      </c>
      <c r="D13" s="793">
        <f ca="1">结果表!H107</f>
        <v>69432</v>
      </c>
    </row>
    <row r="14" spans="1:5" ht="15.5">
      <c r="B14" s="3171"/>
      <c r="C14" s="1384" t="s">
        <v>911</v>
      </c>
      <c r="D14" s="790" t="str">
        <f ca="1">NUMBERSTRING(INT(D13*10000),2)&amp;"元整"</f>
        <v>陆亿玖仟肆佰叁拾贰万元整</v>
      </c>
    </row>
    <row r="15" spans="1:5" ht="15.5">
      <c r="B15" s="3176"/>
      <c r="C15" s="1385" t="s">
        <v>921</v>
      </c>
      <c r="D15" s="799">
        <f ca="1">结果表!H108</f>
        <v>16603</v>
      </c>
    </row>
    <row r="16" spans="1:5" ht="15">
      <c r="B16" s="3177" t="str">
        <f>结果表!E109</f>
        <v>——</v>
      </c>
      <c r="C16" s="1389" t="s">
        <v>922</v>
      </c>
      <c r="D16" s="1390" t="str">
        <f>结果表!H109</f>
        <v>——</v>
      </c>
    </row>
    <row r="17" spans="1:5" ht="15.5">
      <c r="B17" s="3178"/>
      <c r="C17" s="1384" t="s">
        <v>923</v>
      </c>
      <c r="D17" s="790" t="e">
        <f>NUMBERSTRING(INT(D16*10000),2)&amp;"元整"</f>
        <v>#VALUE!</v>
      </c>
    </row>
    <row r="18" spans="1:5" ht="15.5">
      <c r="B18" s="3179"/>
      <c r="C18" s="1385" t="s">
        <v>912</v>
      </c>
      <c r="D18" s="799" t="str">
        <f>结果表!H110</f>
        <v>——</v>
      </c>
    </row>
    <row r="19" spans="1:5" ht="15.5">
      <c r="B19" s="3170" t="str">
        <f>结果表!E111</f>
        <v>——</v>
      </c>
      <c r="C19" s="1389" t="s">
        <v>910</v>
      </c>
      <c r="D19" s="791" t="str">
        <f>结果表!H111</f>
        <v>——</v>
      </c>
    </row>
    <row r="20" spans="1:5" ht="15.5">
      <c r="B20" s="3171"/>
      <c r="C20" s="1384" t="s">
        <v>923</v>
      </c>
      <c r="D20" s="790" t="e">
        <f>NUMBERSTRING(INT(D19*10000),2)&amp;"元整"</f>
        <v>#VALUE!</v>
      </c>
    </row>
    <row r="21" spans="1:5" ht="16" thickBot="1">
      <c r="B21" s="3172"/>
      <c r="C21" s="1391" t="s">
        <v>921</v>
      </c>
      <c r="D21" s="800" t="str">
        <f>结果表!H112</f>
        <v>——</v>
      </c>
    </row>
    <row r="22" spans="1:5" ht="14.5" thickTop="1">
      <c r="B22" s="1392" t="s">
        <v>924</v>
      </c>
    </row>
    <row r="24" spans="1:5" ht="1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55" customWidth="1"/>
    <col min="2" max="2" width="29.26953125" style="237" customWidth="1"/>
    <col min="3" max="3" width="12.08984375" style="237" customWidth="1"/>
    <col min="4" max="5" width="11.26953125" style="258" customWidth="1"/>
    <col min="6" max="6" width="9.453125" style="237" customWidth="1"/>
    <col min="7" max="7" width="31.90625" style="237" customWidth="1"/>
    <col min="8" max="254" width="9" style="237" customWidth="1"/>
    <col min="255" max="16384" width="8.36328125" style="237"/>
  </cols>
  <sheetData>
    <row r="1" spans="1:7" s="186" customFormat="1" ht="21">
      <c r="A1" s="182" t="s">
        <v>56</v>
      </c>
      <c r="B1" s="183"/>
      <c r="C1" s="184"/>
      <c r="D1" s="184"/>
      <c r="E1" s="184"/>
      <c r="F1" s="184"/>
      <c r="G1" s="185"/>
    </row>
    <row r="2" spans="1:7" s="186" customFormat="1" ht="18" customHeight="1">
      <c r="A2" s="187" t="s">
        <v>57</v>
      </c>
      <c r="B2" s="188">
        <f ca="1">C52</f>
        <v>91923</v>
      </c>
      <c r="C2" s="2" t="s">
        <v>106</v>
      </c>
      <c r="D2" s="185"/>
      <c r="E2" s="185"/>
      <c r="F2" s="185"/>
      <c r="G2" s="185"/>
    </row>
    <row r="3" spans="1:7" s="186" customFormat="1" ht="18" customHeight="1" thickBot="1">
      <c r="A3" s="189" t="s">
        <v>58</v>
      </c>
      <c r="B3" s="190">
        <f ca="1">ROUND(B2*10000/'数据-汇总表'!E3,0)</f>
        <v>21981</v>
      </c>
      <c r="C3" s="2" t="s">
        <v>107</v>
      </c>
      <c r="D3" s="185"/>
      <c r="E3" s="185"/>
      <c r="F3" s="185"/>
      <c r="G3" s="185"/>
    </row>
    <row r="4" spans="1:7" s="194" customFormat="1" ht="16">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ht="13">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376</v>
      </c>
      <c r="D10" s="788">
        <f>'数据-汇总表'!E6</f>
        <v>41819.959999999992</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836</v>
      </c>
      <c r="D19" s="198">
        <f>'数据-汇总表'!E3</f>
        <v>41819.959999999992</v>
      </c>
      <c r="E19" s="197">
        <f>'数据-取费表'!B31</f>
        <v>200</v>
      </c>
      <c r="F19" s="217"/>
      <c r="G19" s="1" t="s">
        <v>436</v>
      </c>
    </row>
    <row r="20" spans="1:7" s="200" customFormat="1" ht="13.5" customHeight="1">
      <c r="A20" s="724" t="s">
        <v>419</v>
      </c>
      <c r="B20" s="196" t="s">
        <v>77</v>
      </c>
      <c r="C20" s="218">
        <f>ROUND((C5+C19)*F20,0)</f>
        <v>643</v>
      </c>
      <c r="D20" s="218"/>
      <c r="E20" s="218"/>
      <c r="F20" s="219">
        <f>'数据-取费表'!B37</f>
        <v>0.03</v>
      </c>
      <c r="G20" s="997" t="s">
        <v>430</v>
      </c>
    </row>
    <row r="21" spans="1:7" s="200" customFormat="1" ht="13.5" customHeight="1">
      <c r="A21" s="724" t="s">
        <v>421</v>
      </c>
      <c r="B21" s="196" t="s">
        <v>78</v>
      </c>
      <c r="C21" s="221">
        <f>F21</f>
        <v>0.02</v>
      </c>
      <c r="D21" s="222" t="s">
        <v>99</v>
      </c>
      <c r="E21" s="218"/>
      <c r="F21" s="219">
        <f>'数据-取费表'!B38</f>
        <v>0.02</v>
      </c>
      <c r="G21" s="220" t="s">
        <v>79</v>
      </c>
    </row>
    <row r="22" spans="1:7" s="200" customFormat="1" ht="13.5" customHeight="1">
      <c r="A22" s="724" t="s">
        <v>341</v>
      </c>
      <c r="B22" s="196" t="s">
        <v>80</v>
      </c>
      <c r="C22" s="1034">
        <f ca="1">ROUND(SUM(C23:C25),0)</f>
        <v>1528</v>
      </c>
      <c r="D22" s="221">
        <f ca="1">C26</f>
        <v>6.9999999999999999E-4</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59</v>
      </c>
      <c r="D24" s="224"/>
      <c r="E24" s="224"/>
      <c r="F24" s="225"/>
      <c r="G24" s="226" t="s">
        <v>82</v>
      </c>
    </row>
    <row r="25" spans="1:7" s="200" customFormat="1" ht="26">
      <c r="A25" s="727" t="s">
        <v>348</v>
      </c>
      <c r="B25" s="201" t="s">
        <v>420</v>
      </c>
      <c r="C25" s="1035">
        <f ca="1">ROUND(IF('数据-取费表'!B22&lt;=1,C20*F22*'数据-取费表'!B23/2,C20*(POWER((1+F22),'数据-取费表'!B23/2)-1)),0)</f>
        <v>22</v>
      </c>
      <c r="D25" s="224"/>
      <c r="E25" s="227"/>
      <c r="F25" s="225"/>
      <c r="G25" s="228" t="s">
        <v>83</v>
      </c>
    </row>
    <row r="26" spans="1:7" s="200" customFormat="1" ht="13">
      <c r="A26" s="727" t="s">
        <v>350</v>
      </c>
      <c r="B26" s="201" t="s">
        <v>422</v>
      </c>
      <c r="C26" s="224">
        <f ca="1">ROUND(IF('数据-取费表'!B22&lt;=1,F21*F22*'数据-取费表'!B23/2,F21*(POWER((1+F22),'数据-取费表'!B23/2)-1)),4)</f>
        <v>6.9999999999999999E-4</v>
      </c>
      <c r="D26" s="224"/>
      <c r="E26" s="227"/>
      <c r="F26" s="225"/>
      <c r="G26" s="229"/>
    </row>
    <row r="27" spans="1:7" s="200" customFormat="1" ht="27">
      <c r="A27" s="724" t="s">
        <v>342</v>
      </c>
      <c r="B27" s="230" t="s">
        <v>85</v>
      </c>
      <c r="C27" s="231">
        <f>C28</f>
        <v>3313</v>
      </c>
      <c r="D27" s="221">
        <f>C29</f>
        <v>3.0000000000000001E-3</v>
      </c>
      <c r="E27" s="222" t="s">
        <v>99</v>
      </c>
      <c r="F27" s="232">
        <f>'数据-取费表'!Q16</f>
        <v>0.15</v>
      </c>
      <c r="G27" s="233" t="s">
        <v>431</v>
      </c>
    </row>
    <row r="28" spans="1:7" s="200" customFormat="1" ht="13.5" customHeight="1">
      <c r="A28" s="727" t="s">
        <v>349</v>
      </c>
      <c r="B28" s="234" t="s">
        <v>424</v>
      </c>
      <c r="C28" s="235">
        <f>ROUND((C5+C19+C20)*F27*'数据-取费表'!B21/'数据-取费表'!B20,0)</f>
        <v>3313</v>
      </c>
      <c r="D28" s="221"/>
      <c r="E28" s="222"/>
      <c r="F28" s="232"/>
      <c r="G28" s="233"/>
    </row>
    <row r="29" spans="1:7" s="200" customFormat="1" ht="13.5" customHeight="1">
      <c r="A29" s="727" t="s">
        <v>347</v>
      </c>
      <c r="B29" s="234" t="s">
        <v>425</v>
      </c>
      <c r="C29" s="224">
        <f>ROUND(C21*F27*'数据-取费表'!B21/'数据-取费表'!B20,4)</f>
        <v>3.0000000000000001E-3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29178</v>
      </c>
      <c r="D31" s="216"/>
      <c r="E31" s="197"/>
      <c r="F31" s="236"/>
      <c r="G31" s="220" t="s">
        <v>432</v>
      </c>
    </row>
    <row r="32" spans="1:7" s="194" customFormat="1" ht="16">
      <c r="A32" s="238" t="s">
        <v>87</v>
      </c>
      <c r="B32" s="239"/>
      <c r="C32" s="239"/>
      <c r="D32" s="239"/>
      <c r="E32" s="239"/>
      <c r="F32" s="239"/>
      <c r="G32" s="240"/>
    </row>
    <row r="33" spans="1:7" s="200" customFormat="1" ht="13.5" customHeight="1">
      <c r="A33" s="241" t="s">
        <v>337</v>
      </c>
      <c r="B33" s="196" t="s">
        <v>88</v>
      </c>
      <c r="C33" s="242">
        <f>SUM(C34:C38)</f>
        <v>56509</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52275</v>
      </c>
      <c r="D34" s="203"/>
      <c r="E34" s="206"/>
      <c r="F34" s="243">
        <f>IF('数据-取费表'!B24=0,1,'数据-取费表'!N16)</f>
        <v>1</v>
      </c>
      <c r="G34" s="205" t="s">
        <v>89</v>
      </c>
    </row>
    <row r="35" spans="1:7" ht="13.5" customHeight="1">
      <c r="A35" s="727" t="s">
        <v>351</v>
      </c>
      <c r="B35" s="201" t="s">
        <v>33</v>
      </c>
      <c r="C35" s="206">
        <f>ROUND(C34*F35,0)</f>
        <v>2614</v>
      </c>
      <c r="D35" s="206"/>
      <c r="E35" s="206"/>
      <c r="F35" s="245">
        <f>'数据-取费表'!B33</f>
        <v>0.05</v>
      </c>
      <c r="G35" s="205" t="s">
        <v>90</v>
      </c>
    </row>
    <row r="36" spans="1:7" ht="26">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836</v>
      </c>
      <c r="D37" s="203">
        <f>'数据-汇总表'!E3</f>
        <v>41819.959999999992</v>
      </c>
      <c r="E37" s="235">
        <f>'数据-取费表'!B35</f>
        <v>200</v>
      </c>
      <c r="F37" s="245"/>
      <c r="G37" s="247" t="s">
        <v>92</v>
      </c>
    </row>
    <row r="38" spans="1:7" ht="13.5" customHeight="1">
      <c r="A38" s="727" t="s">
        <v>354</v>
      </c>
      <c r="B38" s="201" t="s">
        <v>36</v>
      </c>
      <c r="C38" s="206">
        <f>ROUND(C34*F38,0)</f>
        <v>784</v>
      </c>
      <c r="D38" s="206"/>
      <c r="E38" s="206"/>
      <c r="F38" s="245">
        <f>'数据-取费表'!B36</f>
        <v>1.4999999999999999E-2</v>
      </c>
      <c r="G38" s="205" t="s">
        <v>90</v>
      </c>
    </row>
    <row r="39" spans="1:7" s="200" customFormat="1" ht="13.5" customHeight="1">
      <c r="A39" s="724" t="s">
        <v>338</v>
      </c>
      <c r="B39" s="196" t="s">
        <v>77</v>
      </c>
      <c r="C39" s="218">
        <f>ROUND(C33*F20,0)</f>
        <v>1695</v>
      </c>
      <c r="D39" s="218"/>
      <c r="E39" s="218"/>
      <c r="F39" s="219"/>
      <c r="G39" s="997" t="s">
        <v>433</v>
      </c>
    </row>
    <row r="40" spans="1:7" s="200" customFormat="1" ht="13.5" customHeight="1">
      <c r="A40" s="724" t="s">
        <v>339</v>
      </c>
      <c r="B40" s="196" t="s">
        <v>78</v>
      </c>
      <c r="C40" s="248">
        <f>F21</f>
        <v>0.02</v>
      </c>
      <c r="D40" s="222" t="s">
        <v>102</v>
      </c>
      <c r="E40" s="218"/>
      <c r="F40" s="219"/>
      <c r="G40" s="220" t="s">
        <v>93</v>
      </c>
    </row>
    <row r="41" spans="1:7" s="200" customFormat="1" ht="13.5" customHeight="1">
      <c r="A41" s="724" t="s">
        <v>340</v>
      </c>
      <c r="B41" s="196" t="s">
        <v>80</v>
      </c>
      <c r="C41" s="218">
        <f ca="1">ROUND(SUM(C42:C43),0)</f>
        <v>2008</v>
      </c>
      <c r="D41" s="221">
        <f ca="1">C44</f>
        <v>6.9999999999999999E-4</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1950</v>
      </c>
      <c r="D42" s="224"/>
      <c r="E42" s="224"/>
      <c r="F42" s="225"/>
      <c r="G42" s="3393" t="s">
        <v>94</v>
      </c>
    </row>
    <row r="43" spans="1:7" ht="13.5" customHeight="1">
      <c r="A43" s="727" t="s">
        <v>347</v>
      </c>
      <c r="B43" s="201" t="s">
        <v>426</v>
      </c>
      <c r="C43" s="224">
        <f ca="1">ROUND(IF('数据-取费表'!B22&lt;=1,C39*F22*'数据-取费表'!B21/2,C39*(POWER((1+F22),'数据-取费表'!B21/2)-1)),0)</f>
        <v>58</v>
      </c>
      <c r="D43" s="224"/>
      <c r="E43" s="224"/>
      <c r="F43" s="225"/>
      <c r="G43" s="3394"/>
    </row>
    <row r="44" spans="1:7" ht="13.5" customHeight="1">
      <c r="A44" s="727" t="s">
        <v>348</v>
      </c>
      <c r="B44" s="201" t="s">
        <v>428</v>
      </c>
      <c r="C44" s="224">
        <f ca="1">ROUND(IF('数据-取费表'!B22&lt;=1,C40*F22*'数据-取费表'!B21/2,C40*(POWER((1+F22),'数据-取费表'!B21/2)-1)),4)</f>
        <v>6.9999999999999999E-4</v>
      </c>
      <c r="D44" s="224"/>
      <c r="E44" s="224"/>
      <c r="F44" s="225"/>
      <c r="G44" s="3395"/>
    </row>
    <row r="45" spans="1:7" s="200" customFormat="1" ht="13.5" customHeight="1">
      <c r="A45" s="724" t="s">
        <v>341</v>
      </c>
      <c r="B45" s="230" t="s">
        <v>85</v>
      </c>
      <c r="C45" s="231">
        <f>C46</f>
        <v>8731</v>
      </c>
      <c r="D45" s="221">
        <f>C47</f>
        <v>3.0000000000000001E-3</v>
      </c>
      <c r="E45" s="222" t="s">
        <v>102</v>
      </c>
      <c r="F45" s="232"/>
      <c r="G45" s="233" t="s">
        <v>434</v>
      </c>
    </row>
    <row r="46" spans="1:7" s="200" customFormat="1" ht="13.5" customHeight="1">
      <c r="A46" s="727" t="s">
        <v>349</v>
      </c>
      <c r="B46" s="234" t="s">
        <v>427</v>
      </c>
      <c r="C46" s="235">
        <f>ROUND((C33+C39)*F27,0)</f>
        <v>8731</v>
      </c>
      <c r="D46" s="249"/>
      <c r="E46" s="222"/>
      <c r="F46" s="232"/>
      <c r="G46" s="233"/>
    </row>
    <row r="47" spans="1:7" s="200" customFormat="1" ht="13.5" customHeight="1">
      <c r="A47" s="727" t="s">
        <v>347</v>
      </c>
      <c r="B47" s="234" t="s">
        <v>429</v>
      </c>
      <c r="C47" s="224">
        <f>ROUND(C40*F27,4)</f>
        <v>3.0000000000000001E-3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74697</v>
      </c>
      <c r="D49" s="218"/>
      <c r="E49" s="218"/>
      <c r="F49" s="250"/>
      <c r="G49" s="220" t="s">
        <v>435</v>
      </c>
    </row>
    <row r="50" spans="1:7" s="244" customFormat="1" ht="26">
      <c r="A50" s="724" t="s">
        <v>344</v>
      </c>
      <c r="B50" s="196" t="s">
        <v>97</v>
      </c>
      <c r="C50" s="218"/>
      <c r="D50" s="218"/>
      <c r="E50" s="218"/>
      <c r="F50" s="250">
        <f>IF('数据-取费表'!B24=0,'数据-取费表'!N16,1)</f>
        <v>0.84</v>
      </c>
      <c r="G50" s="233" t="s">
        <v>98</v>
      </c>
    </row>
    <row r="51" spans="1:7" ht="16.5" customHeight="1">
      <c r="A51" s="724" t="s">
        <v>345</v>
      </c>
      <c r="B51" s="196" t="s">
        <v>105</v>
      </c>
      <c r="C51" s="218">
        <f ca="1">ROUND(C49*F50,0)</f>
        <v>62745</v>
      </c>
      <c r="D51" s="218"/>
      <c r="E51" s="218"/>
      <c r="F51" s="250"/>
      <c r="G51" s="220" t="s">
        <v>37</v>
      </c>
    </row>
    <row r="52" spans="1:7" s="194" customFormat="1" ht="16.5" thickBot="1">
      <c r="A52" s="251" t="s">
        <v>38</v>
      </c>
      <c r="B52" s="252"/>
      <c r="C52" s="253">
        <f ca="1">C31+C51</f>
        <v>91923</v>
      </c>
      <c r="D52" s="252"/>
      <c r="E52" s="252"/>
      <c r="F52" s="252"/>
      <c r="G52" s="254"/>
    </row>
    <row r="55" spans="1:7" ht="15.5">
      <c r="B55" s="256" t="s">
        <v>39</v>
      </c>
      <c r="C55" s="257"/>
    </row>
    <row r="56" spans="1:7" ht="13">
      <c r="B56" s="259" t="s">
        <v>40</v>
      </c>
      <c r="C56" s="260">
        <f ca="1">ROUND(C51/C52,3)</f>
        <v>0.68300000000000005</v>
      </c>
    </row>
    <row r="57" spans="1:7" ht="13">
      <c r="B57" s="259" t="s">
        <v>41</v>
      </c>
      <c r="C57" s="261">
        <f ca="1">1-C56</f>
        <v>0.31699999999999995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90625" defaultRowHeight="12"/>
  <cols>
    <col min="1" max="1" width="9.6328125" style="2771" customWidth="1"/>
    <col min="2" max="2" width="18.6328125" style="2771" customWidth="1"/>
    <col min="3" max="6" width="10.26953125" style="2771" customWidth="1"/>
    <col min="7" max="7" width="10.453125" style="2771" bestFit="1" customWidth="1"/>
    <col min="8" max="8" width="8.90625" style="2770"/>
    <col min="9" max="9" width="13.36328125" style="2770" customWidth="1"/>
    <col min="10" max="13" width="13.36328125" style="2771" customWidth="1"/>
    <col min="14" max="14" width="18.26953125" style="2771" customWidth="1"/>
    <col min="15" max="17" width="15.08984375" style="2771" customWidth="1"/>
    <col min="18" max="20" width="11.453125" style="2771" customWidth="1"/>
    <col min="21" max="16384" width="8.90625" style="2771"/>
  </cols>
  <sheetData>
    <row r="1" spans="1:20" ht="12.5" thickBot="1">
      <c r="A1" s="3488" t="s">
        <v>2834</v>
      </c>
      <c r="B1" s="3488"/>
      <c r="C1" s="3488"/>
      <c r="D1" s="3488"/>
      <c r="E1" s="3488"/>
      <c r="F1" s="3488"/>
      <c r="G1" s="3489"/>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5"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86"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5" thickBot="1">
      <c r="A4" s="3487"/>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5"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5"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5"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5"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5"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5"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90625" defaultRowHeight="14"/>
  <cols>
    <col min="1" max="1" width="12.6328125" style="2956" customWidth="1"/>
    <col min="2" max="2" width="20" style="2956" customWidth="1"/>
    <col min="3" max="7" width="8.90625" style="2956"/>
    <col min="8" max="16384" width="8.90625" style="2802"/>
  </cols>
  <sheetData>
    <row r="1" spans="1:7">
      <c r="A1" s="3490" t="s">
        <v>3176</v>
      </c>
      <c r="B1" s="3490"/>
    </row>
    <row r="2" spans="1:7" ht="14.5" thickBot="1">
      <c r="A2" s="2957"/>
      <c r="B2" s="2957"/>
    </row>
    <row r="3" spans="1:7" ht="14.5" thickBot="1">
      <c r="A3" s="2957"/>
      <c r="B3" s="2957"/>
      <c r="C3" s="2958" t="s">
        <v>2806</v>
      </c>
      <c r="D3" s="2958" t="s">
        <v>2862</v>
      </c>
      <c r="E3" s="2958" t="s">
        <v>2808</v>
      </c>
      <c r="F3" s="2958" t="s">
        <v>2863</v>
      </c>
      <c r="G3" s="2958" t="s">
        <v>2626</v>
      </c>
    </row>
    <row r="4" spans="1:7" ht="14.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6953125" defaultRowHeight="14"/>
  <cols>
    <col min="1" max="16384" width="13.26953125" style="2802"/>
  </cols>
  <sheetData>
    <row r="1" spans="1:6">
      <c r="A1" s="3491" t="s">
        <v>3227</v>
      </c>
      <c r="B1" s="3491"/>
      <c r="C1" s="3491"/>
      <c r="D1" s="3491"/>
      <c r="E1" s="3491"/>
      <c r="F1" s="3492"/>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T47" sqref="T47:T48"/>
    </sheetView>
  </sheetViews>
  <sheetFormatPr defaultRowHeight="14"/>
  <cols>
    <col min="1" max="1" width="13.90625" customWidth="1"/>
    <col min="11" max="17" width="0" hidden="1" customWidth="1"/>
    <col min="25" max="30" width="0" hidden="1" customWidth="1"/>
  </cols>
  <sheetData>
    <row r="1" spans="1:30">
      <c r="A1" s="2926">
        <f>基准地价修正!G23</f>
        <v>45238</v>
      </c>
      <c r="B1" s="2918" t="s">
        <v>3367</v>
      </c>
      <c r="C1" s="2919"/>
      <c r="D1" s="2919"/>
      <c r="E1" s="2919"/>
      <c r="F1" s="2919"/>
      <c r="G1" s="2919"/>
      <c r="H1" s="2919"/>
      <c r="I1" s="2919"/>
      <c r="J1" s="2885"/>
      <c r="K1" s="2919" t="s">
        <v>454</v>
      </c>
      <c r="L1" s="2919"/>
      <c r="M1" s="2919"/>
      <c r="N1" s="2919"/>
      <c r="O1" s="2919"/>
      <c r="P1" s="2919"/>
      <c r="Q1" s="2885"/>
      <c r="R1" s="3493" t="s">
        <v>456</v>
      </c>
      <c r="S1" s="3494"/>
      <c r="T1" s="3494"/>
      <c r="U1" s="3494"/>
      <c r="V1" s="3494"/>
      <c r="W1" s="3494"/>
      <c r="X1" s="2885"/>
      <c r="Y1" s="3493" t="s">
        <v>457</v>
      </c>
      <c r="Z1" s="3494"/>
      <c r="AA1" s="3494"/>
      <c r="AB1" s="3494"/>
      <c r="AC1" s="3494"/>
      <c r="AD1" s="3494"/>
    </row>
    <row r="2" spans="1:30" s="2001" customFormat="1" ht="14.5" thickBot="1">
      <c r="B2" s="2870"/>
      <c r="C2" s="2871"/>
      <c r="D2" s="2002" t="s">
        <v>2805</v>
      </c>
      <c r="E2" s="2003" t="s">
        <v>2806</v>
      </c>
      <c r="F2" s="2003" t="s">
        <v>2807</v>
      </c>
      <c r="G2" s="2003" t="s">
        <v>2808</v>
      </c>
      <c r="H2" s="2003" t="s">
        <v>2809</v>
      </c>
      <c r="I2" s="2003" t="s">
        <v>2626</v>
      </c>
      <c r="J2" s="2872"/>
      <c r="K2" s="2002" t="s">
        <v>2805</v>
      </c>
      <c r="L2" s="2003" t="s">
        <v>2806</v>
      </c>
      <c r="M2" s="2003" t="s">
        <v>2807</v>
      </c>
      <c r="N2" s="2003" t="s">
        <v>2808</v>
      </c>
      <c r="O2" s="2003" t="s">
        <v>2810</v>
      </c>
      <c r="P2" s="2003" t="s">
        <v>2626</v>
      </c>
      <c r="Q2" s="2872"/>
      <c r="R2" s="2002" t="s">
        <v>2805</v>
      </c>
      <c r="S2" s="2003" t="s">
        <v>2806</v>
      </c>
      <c r="T2" s="2003" t="s">
        <v>2807</v>
      </c>
      <c r="U2" s="2003" t="s">
        <v>2811</v>
      </c>
      <c r="V2" s="2003" t="s">
        <v>2812</v>
      </c>
      <c r="W2" s="2003" t="s">
        <v>2626</v>
      </c>
      <c r="X2" s="2872"/>
      <c r="Y2" s="2002" t="s">
        <v>2805</v>
      </c>
      <c r="Z2" s="2003" t="s">
        <v>2806</v>
      </c>
      <c r="AA2" s="2003" t="s">
        <v>2807</v>
      </c>
      <c r="AB2" s="2003" t="s">
        <v>2813</v>
      </c>
      <c r="AC2" s="2003" t="s">
        <v>2812</v>
      </c>
      <c r="AD2" s="2003" t="s">
        <v>2626</v>
      </c>
    </row>
    <row r="3" spans="1:30" s="2875" customFormat="1" ht="13">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0" customFormat="1" ht="13">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30" s="2036" customFormat="1" ht="13">
      <c r="A5" s="2031" t="s">
        <v>3371</v>
      </c>
      <c r="B5" s="2022">
        <v>2023</v>
      </c>
      <c r="C5" s="2033">
        <v>4</v>
      </c>
      <c r="D5" s="1998">
        <v>0</v>
      </c>
      <c r="E5" s="1998">
        <v>0</v>
      </c>
      <c r="F5" s="1998">
        <v>0</v>
      </c>
      <c r="G5" s="1998">
        <v>0</v>
      </c>
      <c r="H5" s="1998">
        <v>0</v>
      </c>
      <c r="I5" s="1999">
        <f t="shared" ref="I5:I18" si="4">F5</f>
        <v>0</v>
      </c>
      <c r="J5" s="2895"/>
      <c r="K5" s="2034">
        <f t="shared" ref="K5:O18" si="5">D5/100</f>
        <v>0</v>
      </c>
      <c r="L5" s="2019">
        <f t="shared" si="5"/>
        <v>0</v>
      </c>
      <c r="M5" s="2019">
        <f t="shared" si="5"/>
        <v>0</v>
      </c>
      <c r="N5" s="2019">
        <f t="shared" si="5"/>
        <v>0</v>
      </c>
      <c r="O5" s="2019">
        <f t="shared" si="5"/>
        <v>0</v>
      </c>
      <c r="P5" s="2019">
        <f>M5</f>
        <v>0</v>
      </c>
      <c r="Q5" s="2895"/>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5"/>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3">
      <c r="A6" s="2031" t="s">
        <v>3372</v>
      </c>
      <c r="B6" s="2022">
        <v>2023</v>
      </c>
      <c r="C6" s="2033">
        <v>3</v>
      </c>
      <c r="D6" s="1998">
        <v>0</v>
      </c>
      <c r="E6" s="1998">
        <v>0</v>
      </c>
      <c r="F6" s="1998">
        <v>0</v>
      </c>
      <c r="G6" s="1998">
        <v>0</v>
      </c>
      <c r="H6" s="2906">
        <v>0</v>
      </c>
      <c r="I6" s="1999">
        <v>0</v>
      </c>
      <c r="J6" s="2895"/>
      <c r="K6" s="2034">
        <f t="shared" ref="K6" si="8">D6/100</f>
        <v>0</v>
      </c>
      <c r="L6" s="2019">
        <f t="shared" ref="L6" si="9">E6/100</f>
        <v>0</v>
      </c>
      <c r="M6" s="2019">
        <f t="shared" ref="M6" si="10">F6/100</f>
        <v>0</v>
      </c>
      <c r="N6" s="2019">
        <f t="shared" ref="N6" si="11">G6/100</f>
        <v>0</v>
      </c>
      <c r="O6" s="2019">
        <f t="shared" ref="O6" si="12">H6/100</f>
        <v>0</v>
      </c>
      <c r="P6" s="2019">
        <f t="shared" ref="P6" si="13">M6</f>
        <v>0</v>
      </c>
      <c r="Q6" s="2895"/>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5"/>
      <c r="Y6" s="2019"/>
      <c r="Z6" s="2019"/>
      <c r="AA6" s="2019"/>
      <c r="AB6" s="2019"/>
      <c r="AC6" s="2019"/>
      <c r="AD6" s="2019"/>
    </row>
    <row r="7" spans="1:30" s="2036" customFormat="1" ht="13">
      <c r="A7" s="2031" t="s">
        <v>3373</v>
      </c>
      <c r="B7" s="2022">
        <v>2023</v>
      </c>
      <c r="C7" s="2033">
        <v>3</v>
      </c>
      <c r="D7" s="1998">
        <v>0</v>
      </c>
      <c r="E7" s="1998">
        <v>0</v>
      </c>
      <c r="F7" s="1998">
        <v>0</v>
      </c>
      <c r="G7" s="1998">
        <v>0</v>
      </c>
      <c r="H7" s="2906">
        <v>0</v>
      </c>
      <c r="I7" s="1999">
        <v>0</v>
      </c>
      <c r="J7" s="2895"/>
      <c r="K7" s="2034">
        <f t="shared" si="5"/>
        <v>0</v>
      </c>
      <c r="L7" s="2019">
        <f t="shared" si="5"/>
        <v>0</v>
      </c>
      <c r="M7" s="2019">
        <f t="shared" si="5"/>
        <v>0</v>
      </c>
      <c r="N7" s="2019">
        <f t="shared" si="5"/>
        <v>0</v>
      </c>
      <c r="O7" s="2019">
        <f t="shared" si="5"/>
        <v>0</v>
      </c>
      <c r="P7" s="2019">
        <f t="shared" ref="P7" si="15">M7</f>
        <v>0</v>
      </c>
      <c r="Q7" s="2895"/>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5"/>
      <c r="Y7" s="2019"/>
      <c r="Z7" s="2019"/>
      <c r="AA7" s="2019"/>
      <c r="AB7" s="2019"/>
      <c r="AC7" s="2019"/>
      <c r="AD7" s="2019"/>
    </row>
    <row r="8" spans="1:30" s="2905" customFormat="1" ht="13">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6" customFormat="1" ht="13">
      <c r="A9" s="2894" t="s">
        <v>3366</v>
      </c>
      <c r="B9" s="2022">
        <v>2023</v>
      </c>
      <c r="C9" s="2033">
        <v>2</v>
      </c>
      <c r="D9" s="1998">
        <v>0.91</v>
      </c>
      <c r="E9" s="1998">
        <v>0.66</v>
      </c>
      <c r="F9" s="1998">
        <v>0.47</v>
      </c>
      <c r="G9" s="1998">
        <v>0.96</v>
      </c>
      <c r="H9" s="2906">
        <v>0.71</v>
      </c>
      <c r="I9" s="1999">
        <f t="shared" si="4"/>
        <v>0.47</v>
      </c>
      <c r="J9" s="2895"/>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5"/>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5"/>
      <c r="Y9" s="2019"/>
      <c r="Z9" s="2019"/>
      <c r="AA9" s="2019"/>
      <c r="AB9" s="2019"/>
      <c r="AC9" s="2019"/>
      <c r="AD9" s="2019"/>
    </row>
    <row r="10" spans="1:30" s="2036" customFormat="1" ht="13">
      <c r="A10" s="2894" t="s">
        <v>3364</v>
      </c>
      <c r="B10" s="2022">
        <v>2023</v>
      </c>
      <c r="C10" s="2033">
        <v>1</v>
      </c>
      <c r="D10" s="1998">
        <v>0.89</v>
      </c>
      <c r="E10" s="1998">
        <v>0.74</v>
      </c>
      <c r="F10" s="1998">
        <v>0.56999999999999995</v>
      </c>
      <c r="G10" s="1998">
        <v>0.92</v>
      </c>
      <c r="H10" s="2906">
        <v>0.5</v>
      </c>
      <c r="I10" s="1999">
        <f t="shared" si="4"/>
        <v>0.56999999999999995</v>
      </c>
      <c r="J10" s="2895"/>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5"/>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5"/>
      <c r="Y10" s="2019"/>
      <c r="Z10" s="2019"/>
      <c r="AA10" s="2019"/>
      <c r="AB10" s="2019"/>
      <c r="AC10" s="2019"/>
      <c r="AD10" s="2019"/>
    </row>
    <row r="11" spans="1:30" s="2036" customFormat="1" ht="13">
      <c r="A11" s="2894" t="s">
        <v>3363</v>
      </c>
      <c r="B11" s="2022">
        <v>2022</v>
      </c>
      <c r="C11" s="2033">
        <v>4</v>
      </c>
      <c r="D11" s="1998">
        <v>0.62</v>
      </c>
      <c r="E11" s="1998">
        <v>0.2</v>
      </c>
      <c r="F11" s="1998">
        <v>0.11</v>
      </c>
      <c r="G11" s="1998">
        <v>0.69</v>
      </c>
      <c r="H11" s="2906">
        <v>0.53</v>
      </c>
      <c r="I11" s="1999">
        <f t="shared" si="4"/>
        <v>0.11</v>
      </c>
      <c r="J11" s="2895"/>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5"/>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5"/>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3">
      <c r="A12" s="2894" t="s">
        <v>3359</v>
      </c>
      <c r="B12" s="2022">
        <v>2022</v>
      </c>
      <c r="C12" s="2033">
        <v>3</v>
      </c>
      <c r="D12" s="1998">
        <v>0.66</v>
      </c>
      <c r="E12" s="1998">
        <v>0.32</v>
      </c>
      <c r="F12" s="1998">
        <v>0.23</v>
      </c>
      <c r="G12" s="1998">
        <v>0.72</v>
      </c>
      <c r="H12" s="2906">
        <v>0.63</v>
      </c>
      <c r="I12" s="1999">
        <f t="shared" si="4"/>
        <v>0.23</v>
      </c>
      <c r="J12" s="2895"/>
      <c r="K12" s="2034">
        <f t="shared" si="5"/>
        <v>6.6E-3</v>
      </c>
      <c r="L12" s="2019">
        <f t="shared" si="5"/>
        <v>3.2000000000000002E-3</v>
      </c>
      <c r="M12" s="2019">
        <f t="shared" si="5"/>
        <v>2.3E-3</v>
      </c>
      <c r="N12" s="2019">
        <f t="shared" si="5"/>
        <v>7.1999999999999998E-3</v>
      </c>
      <c r="O12" s="2019">
        <f t="shared" si="5"/>
        <v>6.3E-3</v>
      </c>
      <c r="P12" s="2019">
        <f t="shared" si="25"/>
        <v>2.3E-3</v>
      </c>
      <c r="Q12" s="2895"/>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5"/>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3">
      <c r="A13" s="2894" t="s">
        <v>3350</v>
      </c>
      <c r="B13" s="2022">
        <v>2022</v>
      </c>
      <c r="C13" s="2033">
        <v>2</v>
      </c>
      <c r="D13" s="1998">
        <v>0.93</v>
      </c>
      <c r="E13" s="1998">
        <v>0.15</v>
      </c>
      <c r="F13" s="1998">
        <v>0.01</v>
      </c>
      <c r="G13" s="1998">
        <v>1.05</v>
      </c>
      <c r="H13" s="2906">
        <v>1.08</v>
      </c>
      <c r="I13" s="1999">
        <f t="shared" si="4"/>
        <v>0.01</v>
      </c>
      <c r="J13" s="2895"/>
      <c r="K13" s="2034">
        <f t="shared" si="5"/>
        <v>9.300000000000001E-3</v>
      </c>
      <c r="L13" s="2019">
        <f t="shared" si="5"/>
        <v>1.5E-3</v>
      </c>
      <c r="M13" s="2019">
        <f t="shared" si="5"/>
        <v>1E-4</v>
      </c>
      <c r="N13" s="2019">
        <f t="shared" si="5"/>
        <v>1.0500000000000001E-2</v>
      </c>
      <c r="O13" s="2019">
        <f t="shared" si="5"/>
        <v>1.0800000000000001E-2</v>
      </c>
      <c r="P13" s="2019">
        <f t="shared" si="25"/>
        <v>1E-4</v>
      </c>
      <c r="Q13" s="2895"/>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5"/>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3">
      <c r="A14" s="2894" t="s">
        <v>2815</v>
      </c>
      <c r="B14" s="2022">
        <v>2022</v>
      </c>
      <c r="C14" s="2033">
        <v>1</v>
      </c>
      <c r="D14" s="1998">
        <v>0.89</v>
      </c>
      <c r="E14" s="1998">
        <v>0.44</v>
      </c>
      <c r="F14" s="1998">
        <v>0.37</v>
      </c>
      <c r="G14" s="1998">
        <v>0.96</v>
      </c>
      <c r="H14" s="2906">
        <v>0.64</v>
      </c>
      <c r="I14" s="1999">
        <f t="shared" si="4"/>
        <v>0.37</v>
      </c>
      <c r="J14" s="2895"/>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5"/>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5"/>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3">
      <c r="A15" s="2894" t="s">
        <v>2816</v>
      </c>
      <c r="B15" s="2022">
        <v>2021</v>
      </c>
      <c r="C15" s="2033">
        <v>4</v>
      </c>
      <c r="D15" s="1998">
        <v>1.03</v>
      </c>
      <c r="E15" s="1998">
        <v>0.24</v>
      </c>
      <c r="F15" s="1998">
        <v>7.0000000000000007E-2</v>
      </c>
      <c r="G15" s="1998">
        <v>1.17</v>
      </c>
      <c r="H15" s="2906">
        <v>0.55000000000000004</v>
      </c>
      <c r="I15" s="1999">
        <f t="shared" si="4"/>
        <v>7.0000000000000007E-2</v>
      </c>
      <c r="J15" s="2895"/>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5"/>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5"/>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3">
      <c r="A16" s="2894" t="s">
        <v>2817</v>
      </c>
      <c r="B16" s="2022">
        <v>2021</v>
      </c>
      <c r="C16" s="2033">
        <v>3</v>
      </c>
      <c r="D16" s="1998">
        <v>0.47</v>
      </c>
      <c r="E16" s="1998">
        <v>0.41</v>
      </c>
      <c r="F16" s="1998">
        <v>0.24</v>
      </c>
      <c r="G16" s="1998">
        <v>0.48</v>
      </c>
      <c r="H16" s="2906">
        <v>0.48</v>
      </c>
      <c r="I16" s="1999">
        <f t="shared" si="4"/>
        <v>0.24</v>
      </c>
      <c r="J16" s="2895"/>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5"/>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5"/>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3">
      <c r="A17" s="2894" t="s">
        <v>2818</v>
      </c>
      <c r="B17" s="2022">
        <v>2021</v>
      </c>
      <c r="C17" s="2033">
        <v>2</v>
      </c>
      <c r="D17" s="1998">
        <v>0.92</v>
      </c>
      <c r="E17" s="1998">
        <v>0.72</v>
      </c>
      <c r="F17" s="1998">
        <v>0.41</v>
      </c>
      <c r="G17" s="1998">
        <v>0.95</v>
      </c>
      <c r="H17" s="2906">
        <v>1.01</v>
      </c>
      <c r="I17" s="1999">
        <f t="shared" si="4"/>
        <v>0.41</v>
      </c>
      <c r="J17" s="2895"/>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5"/>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5"/>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7" customFormat="1" ht="13.5"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5" thickTop="1"/>
    <row r="20" spans="1:30">
      <c r="A20" s="3132" t="s">
        <v>3361</v>
      </c>
    </row>
    <row r="21" spans="1:30">
      <c r="I21" s="1397" t="s">
        <v>2820</v>
      </c>
    </row>
    <row r="23" spans="1:30" s="2000" customFormat="1" ht="13">
      <c r="B23" s="2918" t="s">
        <v>3368</v>
      </c>
      <c r="C23" s="2919"/>
      <c r="D23" s="2919"/>
      <c r="E23" s="2919"/>
      <c r="F23" s="2919"/>
      <c r="G23" s="2919"/>
      <c r="H23" s="2919"/>
      <c r="I23" s="2919"/>
      <c r="J23" s="2885"/>
      <c r="K23" s="2919" t="s">
        <v>2821</v>
      </c>
      <c r="L23" s="2919"/>
      <c r="M23" s="2919"/>
      <c r="N23" s="2919"/>
      <c r="O23" s="2919"/>
      <c r="P23" s="2919"/>
      <c r="Q23" s="2885"/>
      <c r="R23" s="3493" t="s">
        <v>2822</v>
      </c>
      <c r="S23" s="3494"/>
      <c r="T23" s="3494"/>
      <c r="U23" s="3494"/>
      <c r="V23" s="3494"/>
      <c r="W23" s="3494"/>
      <c r="X23" s="2885"/>
      <c r="Y23" s="3493" t="s">
        <v>2823</v>
      </c>
      <c r="Z23" s="3494"/>
      <c r="AA23" s="3494"/>
      <c r="AB23" s="3494"/>
      <c r="AC23" s="3494"/>
      <c r="AD23" s="3494"/>
    </row>
    <row r="24" spans="1:30" s="2001" customFormat="1" ht="14.5" thickBot="1">
      <c r="B24" s="2870"/>
      <c r="C24" s="2871"/>
      <c r="D24" s="2002" t="s">
        <v>2824</v>
      </c>
      <c r="E24" s="2003" t="s">
        <v>2825</v>
      </c>
      <c r="F24" s="2003" t="s">
        <v>2826</v>
      </c>
      <c r="G24" s="2003" t="s">
        <v>2827</v>
      </c>
      <c r="H24" s="2003"/>
      <c r="I24" s="2003" t="s">
        <v>2828</v>
      </c>
      <c r="J24" s="2872"/>
      <c r="K24" s="2002" t="s">
        <v>2824</v>
      </c>
      <c r="L24" s="2003" t="s">
        <v>2825</v>
      </c>
      <c r="M24" s="2003" t="s">
        <v>2826</v>
      </c>
      <c r="N24" s="2003" t="s">
        <v>2827</v>
      </c>
      <c r="O24" s="2003"/>
      <c r="P24" s="2003" t="s">
        <v>2828</v>
      </c>
      <c r="Q24" s="2872"/>
      <c r="R24" s="2002" t="s">
        <v>2824</v>
      </c>
      <c r="S24" s="2003" t="s">
        <v>2825</v>
      </c>
      <c r="T24" s="2003" t="s">
        <v>2826</v>
      </c>
      <c r="U24" s="2003" t="s">
        <v>2827</v>
      </c>
      <c r="V24" s="2003"/>
      <c r="W24" s="2003" t="s">
        <v>2828</v>
      </c>
      <c r="X24" s="2872"/>
      <c r="Y24" s="2002" t="s">
        <v>2824</v>
      </c>
      <c r="Z24" s="2003" t="s">
        <v>2825</v>
      </c>
      <c r="AA24" s="2003" t="s">
        <v>2826</v>
      </c>
      <c r="AB24" s="2003" t="s">
        <v>2827</v>
      </c>
      <c r="AC24" s="2003"/>
      <c r="AD24" s="2003" t="s">
        <v>2828</v>
      </c>
    </row>
    <row r="25" spans="1:30" s="2875" customFormat="1" ht="13">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0" customFormat="1" ht="13">
      <c r="B26" s="2016"/>
      <c r="J26" s="2885"/>
      <c r="K26" s="2886"/>
      <c r="L26" s="2887"/>
      <c r="M26" s="2887"/>
      <c r="N26" s="2887"/>
      <c r="O26" s="2887"/>
      <c r="P26" s="2887"/>
      <c r="Q26" s="2885"/>
      <c r="R26" s="2018"/>
      <c r="S26" s="2888"/>
      <c r="T26" s="2889"/>
      <c r="U26" s="2018"/>
      <c r="V26" s="2890"/>
      <c r="W26" s="2018"/>
      <c r="X26" s="2885"/>
      <c r="Y26" s="2019"/>
      <c r="Z26" s="2891"/>
      <c r="AA26" s="2892"/>
      <c r="AB26" s="2019"/>
      <c r="AC26" s="2893"/>
      <c r="AD26" s="2019"/>
    </row>
    <row r="27" spans="1:30" s="2036" customFormat="1" ht="13">
      <c r="A27" s="2031" t="s">
        <v>3371</v>
      </c>
      <c r="B27" s="2022">
        <v>2023</v>
      </c>
      <c r="C27" s="2033">
        <v>4</v>
      </c>
      <c r="D27" s="1998"/>
      <c r="E27" s="1998">
        <v>0</v>
      </c>
      <c r="F27" s="1998">
        <v>0</v>
      </c>
      <c r="G27" s="1998">
        <v>0</v>
      </c>
      <c r="H27" s="1998"/>
      <c r="I27" s="1999">
        <f t="shared" ref="I27:I40" si="36">F27</f>
        <v>0</v>
      </c>
      <c r="J27" s="2895"/>
      <c r="K27" s="2034"/>
      <c r="L27" s="2019">
        <f t="shared" ref="L27:N40" si="37">E27/100</f>
        <v>0</v>
      </c>
      <c r="M27" s="2019">
        <f t="shared" si="37"/>
        <v>0</v>
      </c>
      <c r="N27" s="2019">
        <f t="shared" si="37"/>
        <v>0</v>
      </c>
      <c r="O27" s="2019"/>
      <c r="P27" s="2019">
        <f>M27</f>
        <v>0</v>
      </c>
      <c r="Q27" s="2895"/>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5"/>
      <c r="Y27" s="2019"/>
      <c r="Z27" s="2891">
        <f>IF(E27=0,0,ROUND(AVERAGE(E27:E40)/100,4))</f>
        <v>0</v>
      </c>
      <c r="AA27" s="2891">
        <f>IF(F27=0,0,ROUND(AVERAGE(F27:F40)/100,4))</f>
        <v>0</v>
      </c>
      <c r="AB27" s="2891">
        <f>IF(G27=0,0,ROUND(AVERAGE(G27:G40)/100,4))</f>
        <v>0</v>
      </c>
      <c r="AC27" s="2893"/>
      <c r="AD27" s="2019">
        <f>IF(I27=0,0,ROUND(AVERAGE(I27:I40)/100,4))</f>
        <v>0</v>
      </c>
    </row>
    <row r="28" spans="1:30" s="2036" customFormat="1" ht="13">
      <c r="A28" s="2031" t="s">
        <v>3372</v>
      </c>
      <c r="B28" s="2022">
        <v>2023</v>
      </c>
      <c r="C28" s="2033">
        <v>3</v>
      </c>
      <c r="D28" s="1998"/>
      <c r="E28" s="1998">
        <v>0</v>
      </c>
      <c r="F28" s="1998">
        <v>0</v>
      </c>
      <c r="G28" s="1998">
        <v>0</v>
      </c>
      <c r="H28" s="1998"/>
      <c r="I28" s="1999">
        <f t="shared" ref="I28:I29" si="38">F28</f>
        <v>0</v>
      </c>
      <c r="J28" s="2895"/>
      <c r="K28" s="2034"/>
      <c r="L28" s="2019">
        <f t="shared" ref="L28" si="39">E28/100</f>
        <v>0</v>
      </c>
      <c r="M28" s="2019">
        <f t="shared" ref="M28" si="40">F28/100</f>
        <v>0</v>
      </c>
      <c r="N28" s="2019">
        <f t="shared" ref="N28" si="41">G28/100</f>
        <v>0</v>
      </c>
      <c r="O28" s="2019"/>
      <c r="P28" s="2019">
        <f t="shared" ref="P28" si="42">M28</f>
        <v>0</v>
      </c>
      <c r="Q28" s="2895"/>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5"/>
      <c r="Y28" s="2019"/>
      <c r="Z28" s="2891"/>
      <c r="AA28" s="2892"/>
      <c r="AB28" s="2019"/>
      <c r="AC28" s="2893"/>
      <c r="AD28" s="2019"/>
    </row>
    <row r="29" spans="1:30" s="2036" customFormat="1" ht="13">
      <c r="A29" s="2031" t="s">
        <v>3373</v>
      </c>
      <c r="B29" s="2022">
        <v>2023</v>
      </c>
      <c r="C29" s="2033">
        <v>3</v>
      </c>
      <c r="D29" s="1998"/>
      <c r="E29" s="1998">
        <v>0</v>
      </c>
      <c r="F29" s="1998">
        <v>0</v>
      </c>
      <c r="G29" s="1998">
        <v>0</v>
      </c>
      <c r="H29" s="1998"/>
      <c r="I29" s="1999">
        <f t="shared" si="38"/>
        <v>0</v>
      </c>
      <c r="J29" s="2895"/>
      <c r="K29" s="2034"/>
      <c r="L29" s="2019">
        <f t="shared" si="37"/>
        <v>0</v>
      </c>
      <c r="M29" s="2019">
        <f t="shared" si="37"/>
        <v>0</v>
      </c>
      <c r="N29" s="2019">
        <f t="shared" si="37"/>
        <v>0</v>
      </c>
      <c r="O29" s="2019"/>
      <c r="P29" s="2019">
        <f t="shared" ref="P29" si="44">M29</f>
        <v>0</v>
      </c>
      <c r="Q29" s="2895"/>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5"/>
      <c r="Y29" s="2019"/>
      <c r="Z29" s="2891"/>
      <c r="AA29" s="2892"/>
      <c r="AB29" s="2019"/>
      <c r="AC29" s="2893"/>
      <c r="AD29" s="2019"/>
    </row>
    <row r="30" spans="1:30" s="2905" customFormat="1" ht="13">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6" customFormat="1" ht="13">
      <c r="A31" s="2894" t="s">
        <v>3370</v>
      </c>
      <c r="B31" s="2022">
        <v>2023</v>
      </c>
      <c r="C31" s="2033">
        <v>2</v>
      </c>
      <c r="D31" s="1998"/>
      <c r="E31" s="1998">
        <v>0.5</v>
      </c>
      <c r="F31" s="1998">
        <v>0.45</v>
      </c>
      <c r="G31" s="1998">
        <v>0.89</v>
      </c>
      <c r="H31" s="2906"/>
      <c r="I31" s="1999">
        <f t="shared" si="36"/>
        <v>0.45</v>
      </c>
      <c r="J31" s="2895"/>
      <c r="K31" s="2034"/>
      <c r="L31" s="2019">
        <f t="shared" si="46"/>
        <v>5.0000000000000001E-3</v>
      </c>
      <c r="M31" s="2019">
        <f t="shared" si="47"/>
        <v>4.5000000000000005E-3</v>
      </c>
      <c r="N31" s="2019">
        <f t="shared" si="48"/>
        <v>8.8999999999999999E-3</v>
      </c>
      <c r="O31" s="2019"/>
      <c r="P31" s="2019">
        <f t="shared" si="49"/>
        <v>4.5000000000000005E-3</v>
      </c>
      <c r="Q31" s="2895"/>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5"/>
      <c r="Y31" s="2019"/>
      <c r="Z31" s="2891"/>
      <c r="AA31" s="2892"/>
      <c r="AB31" s="2019"/>
      <c r="AC31" s="2893"/>
      <c r="AD31" s="2019"/>
    </row>
    <row r="32" spans="1:30" s="2036" customFormat="1" ht="13">
      <c r="A32" s="2894" t="s">
        <v>3364</v>
      </c>
      <c r="B32" s="2022">
        <v>2023</v>
      </c>
      <c r="C32" s="2033">
        <v>1</v>
      </c>
      <c r="D32" s="1998"/>
      <c r="E32" s="1998">
        <v>0.55000000000000004</v>
      </c>
      <c r="F32" s="1998">
        <v>0.59</v>
      </c>
      <c r="G32" s="1998">
        <v>0.64</v>
      </c>
      <c r="H32" s="2906"/>
      <c r="I32" s="1999">
        <f t="shared" si="36"/>
        <v>0.59</v>
      </c>
      <c r="J32" s="2895"/>
      <c r="K32" s="2034"/>
      <c r="L32" s="2019">
        <f t="shared" si="46"/>
        <v>5.5000000000000005E-3</v>
      </c>
      <c r="M32" s="2019">
        <f t="shared" si="47"/>
        <v>5.8999999999999999E-3</v>
      </c>
      <c r="N32" s="2019">
        <f t="shared" si="48"/>
        <v>6.4000000000000003E-3</v>
      </c>
      <c r="O32" s="2019"/>
      <c r="P32" s="2019">
        <f t="shared" si="49"/>
        <v>5.8999999999999999E-3</v>
      </c>
      <c r="Q32" s="2895"/>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5"/>
      <c r="Y32" s="2019"/>
      <c r="Z32" s="2891"/>
      <c r="AA32" s="2892"/>
      <c r="AB32" s="2019"/>
      <c r="AC32" s="2893"/>
      <c r="AD32" s="2019"/>
    </row>
    <row r="33" spans="1:30" s="2036" customFormat="1" ht="13">
      <c r="A33" s="2894" t="s">
        <v>3363</v>
      </c>
      <c r="B33" s="2022">
        <v>2022</v>
      </c>
      <c r="C33" s="2033">
        <v>4</v>
      </c>
      <c r="D33" s="1998"/>
      <c r="E33" s="1998">
        <v>0.45</v>
      </c>
      <c r="F33" s="1998">
        <v>0.2</v>
      </c>
      <c r="G33" s="1998">
        <v>0.38</v>
      </c>
      <c r="H33" s="2906"/>
      <c r="I33" s="1999">
        <f t="shared" si="36"/>
        <v>0.2</v>
      </c>
      <c r="J33" s="2895"/>
      <c r="K33" s="2034"/>
      <c r="L33" s="2019">
        <f t="shared" si="37"/>
        <v>4.5000000000000005E-3</v>
      </c>
      <c r="M33" s="2019">
        <f t="shared" si="37"/>
        <v>2E-3</v>
      </c>
      <c r="N33" s="2019">
        <f t="shared" si="37"/>
        <v>3.8E-3</v>
      </c>
      <c r="O33" s="2019"/>
      <c r="P33" s="2019">
        <f t="shared" ref="P33:P40" si="51">M33</f>
        <v>2E-3</v>
      </c>
      <c r="Q33" s="2895"/>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5"/>
      <c r="Y33" s="2019"/>
      <c r="Z33" s="2891">
        <f t="shared" ref="Z33:AD40" si="53">IF(E33=0,0,ROUND(AVERAGE(E33:E41)/100,4))</f>
        <v>4.0000000000000001E-3</v>
      </c>
      <c r="AA33" s="2892">
        <f t="shared" si="53"/>
        <v>2.5999999999999999E-3</v>
      </c>
      <c r="AB33" s="2019">
        <f t="shared" si="53"/>
        <v>7.4000000000000003E-3</v>
      </c>
      <c r="AC33" s="2893"/>
      <c r="AD33" s="2019">
        <f t="shared" si="53"/>
        <v>2.5999999999999999E-3</v>
      </c>
    </row>
    <row r="34" spans="1:30" s="2036" customFormat="1" ht="13">
      <c r="A34" s="2894" t="s">
        <v>3360</v>
      </c>
      <c r="B34" s="2022">
        <v>2022</v>
      </c>
      <c r="C34" s="2033">
        <v>3</v>
      </c>
      <c r="D34" s="1998"/>
      <c r="E34" s="1998">
        <v>0.3</v>
      </c>
      <c r="F34" s="1998">
        <v>0.28999999999999998</v>
      </c>
      <c r="G34" s="1998">
        <v>0.83</v>
      </c>
      <c r="H34" s="2906"/>
      <c r="I34" s="1999">
        <f t="shared" si="36"/>
        <v>0.28999999999999998</v>
      </c>
      <c r="J34" s="2895"/>
      <c r="K34" s="2034"/>
      <c r="L34" s="2019">
        <f t="shared" si="37"/>
        <v>3.0000000000000001E-3</v>
      </c>
      <c r="M34" s="2019">
        <f t="shared" si="37"/>
        <v>2.8999999999999998E-3</v>
      </c>
      <c r="N34" s="2019">
        <f t="shared" si="37"/>
        <v>8.3000000000000001E-3</v>
      </c>
      <c r="O34" s="2019"/>
      <c r="P34" s="2019">
        <f t="shared" si="51"/>
        <v>2.8999999999999998E-3</v>
      </c>
      <c r="Q34" s="2895"/>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5"/>
      <c r="Y34" s="2019"/>
      <c r="Z34" s="2891">
        <f t="shared" si="53"/>
        <v>3.8999999999999998E-3</v>
      </c>
      <c r="AA34" s="2892">
        <f t="shared" si="53"/>
        <v>2.7000000000000001E-3</v>
      </c>
      <c r="AB34" s="2019">
        <f t="shared" si="53"/>
        <v>7.9000000000000008E-3</v>
      </c>
      <c r="AC34" s="2893"/>
      <c r="AD34" s="2019">
        <f t="shared" si="53"/>
        <v>2.7000000000000001E-3</v>
      </c>
    </row>
    <row r="35" spans="1:30" s="2036" customFormat="1" ht="13">
      <c r="A35" s="2894" t="s">
        <v>3350</v>
      </c>
      <c r="B35" s="2022">
        <v>2022</v>
      </c>
      <c r="C35" s="2033">
        <v>2</v>
      </c>
      <c r="D35" s="1998"/>
      <c r="E35" s="1998">
        <v>-0.11</v>
      </c>
      <c r="F35" s="1998">
        <v>-0.13</v>
      </c>
      <c r="G35" s="1998">
        <v>0.53</v>
      </c>
      <c r="H35" s="2906"/>
      <c r="I35" s="1999">
        <f t="shared" si="36"/>
        <v>-0.13</v>
      </c>
      <c r="J35" s="2895"/>
      <c r="K35" s="2034"/>
      <c r="L35" s="2019">
        <f t="shared" si="37"/>
        <v>-1.1000000000000001E-3</v>
      </c>
      <c r="M35" s="2019">
        <f t="shared" si="37"/>
        <v>-1.2999999999999999E-3</v>
      </c>
      <c r="N35" s="2019">
        <f t="shared" si="37"/>
        <v>5.3E-3</v>
      </c>
      <c r="O35" s="2019"/>
      <c r="P35" s="2019">
        <f t="shared" si="51"/>
        <v>-1.2999999999999999E-3</v>
      </c>
      <c r="Q35" s="2895"/>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5"/>
      <c r="Y35" s="2019"/>
      <c r="Z35" s="2891">
        <f t="shared" si="53"/>
        <v>4.1000000000000003E-3</v>
      </c>
      <c r="AA35" s="2892">
        <f t="shared" si="53"/>
        <v>2.7000000000000001E-3</v>
      </c>
      <c r="AB35" s="2019">
        <f t="shared" si="53"/>
        <v>7.9000000000000008E-3</v>
      </c>
      <c r="AC35" s="2893"/>
      <c r="AD35" s="2019">
        <f t="shared" si="53"/>
        <v>2.7000000000000001E-3</v>
      </c>
    </row>
    <row r="36" spans="1:30" s="2036" customFormat="1" ht="13">
      <c r="A36" s="2894" t="s">
        <v>2830</v>
      </c>
      <c r="B36" s="2022">
        <v>2022</v>
      </c>
      <c r="C36" s="2033">
        <v>1</v>
      </c>
      <c r="D36" s="1998"/>
      <c r="E36" s="1998">
        <v>0.6</v>
      </c>
      <c r="F36" s="1998">
        <v>0.45</v>
      </c>
      <c r="G36" s="1998">
        <v>0.53</v>
      </c>
      <c r="H36" s="2906"/>
      <c r="I36" s="1999">
        <f t="shared" si="36"/>
        <v>0.45</v>
      </c>
      <c r="J36" s="2895"/>
      <c r="K36" s="2034"/>
      <c r="L36" s="2019">
        <f t="shared" si="37"/>
        <v>6.0000000000000001E-3</v>
      </c>
      <c r="M36" s="2019">
        <f t="shared" si="37"/>
        <v>4.5000000000000005E-3</v>
      </c>
      <c r="N36" s="2019">
        <f t="shared" si="37"/>
        <v>5.3E-3</v>
      </c>
      <c r="O36" s="2019"/>
      <c r="P36" s="2019">
        <f t="shared" si="51"/>
        <v>4.5000000000000005E-3</v>
      </c>
      <c r="Q36" s="2895"/>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5"/>
      <c r="Y36" s="2019"/>
      <c r="Z36" s="2891">
        <f t="shared" si="53"/>
        <v>5.1000000000000004E-3</v>
      </c>
      <c r="AA36" s="2892">
        <f t="shared" si="53"/>
        <v>3.5000000000000001E-3</v>
      </c>
      <c r="AB36" s="2019">
        <f t="shared" si="53"/>
        <v>8.3999999999999995E-3</v>
      </c>
      <c r="AC36" s="2893"/>
      <c r="AD36" s="2019">
        <f t="shared" si="53"/>
        <v>3.5000000000000001E-3</v>
      </c>
    </row>
    <row r="37" spans="1:30" s="2036" customFormat="1" ht="13">
      <c r="A37" s="2894" t="s">
        <v>2831</v>
      </c>
      <c r="B37" s="2022">
        <v>2021</v>
      </c>
      <c r="C37" s="2033">
        <v>4</v>
      </c>
      <c r="D37" s="1998"/>
      <c r="E37" s="1998">
        <v>0.57999999999999996</v>
      </c>
      <c r="F37" s="1998">
        <v>0.08</v>
      </c>
      <c r="G37" s="1998">
        <v>0.68</v>
      </c>
      <c r="H37" s="2906"/>
      <c r="I37" s="1999">
        <f t="shared" si="36"/>
        <v>0.08</v>
      </c>
      <c r="J37" s="2895"/>
      <c r="K37" s="2034"/>
      <c r="L37" s="2019">
        <f t="shared" si="37"/>
        <v>5.7999999999999996E-3</v>
      </c>
      <c r="M37" s="2019">
        <f t="shared" si="37"/>
        <v>8.0000000000000004E-4</v>
      </c>
      <c r="N37" s="2019">
        <f t="shared" si="37"/>
        <v>6.8000000000000005E-3</v>
      </c>
      <c r="O37" s="2019"/>
      <c r="P37" s="2019">
        <f t="shared" si="51"/>
        <v>8.0000000000000004E-4</v>
      </c>
      <c r="Q37" s="2895"/>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5"/>
      <c r="Y37" s="2019"/>
      <c r="Z37" s="2891">
        <f t="shared" si="53"/>
        <v>4.8999999999999998E-3</v>
      </c>
      <c r="AA37" s="2892">
        <f t="shared" si="53"/>
        <v>3.3E-3</v>
      </c>
      <c r="AB37" s="2019">
        <f t="shared" si="53"/>
        <v>9.1999999999999998E-3</v>
      </c>
      <c r="AC37" s="2893"/>
      <c r="AD37" s="2019">
        <f t="shared" si="53"/>
        <v>3.3E-3</v>
      </c>
    </row>
    <row r="38" spans="1:30" s="2036" customFormat="1" ht="13">
      <c r="A38" s="2894" t="s">
        <v>2832</v>
      </c>
      <c r="B38" s="2022">
        <v>2021</v>
      </c>
      <c r="C38" s="2033">
        <v>3</v>
      </c>
      <c r="D38" s="1998"/>
      <c r="E38" s="1998">
        <v>0.47</v>
      </c>
      <c r="F38" s="1998">
        <v>0.28000000000000003</v>
      </c>
      <c r="G38" s="1998">
        <v>0.91</v>
      </c>
      <c r="H38" s="2906"/>
      <c r="I38" s="1999">
        <f t="shared" si="36"/>
        <v>0.28000000000000003</v>
      </c>
      <c r="J38" s="2895"/>
      <c r="K38" s="2034"/>
      <c r="L38" s="2019">
        <f t="shared" si="37"/>
        <v>4.6999999999999993E-3</v>
      </c>
      <c r="M38" s="2019">
        <f t="shared" si="37"/>
        <v>2.8000000000000004E-3</v>
      </c>
      <c r="N38" s="2019">
        <f t="shared" si="37"/>
        <v>9.1000000000000004E-3</v>
      </c>
      <c r="O38" s="2019"/>
      <c r="P38" s="2019">
        <f t="shared" si="51"/>
        <v>2.8000000000000004E-3</v>
      </c>
      <c r="Q38" s="2895"/>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5"/>
      <c r="Y38" s="2019"/>
      <c r="Z38" s="2891">
        <f t="shared" si="53"/>
        <v>4.5999999999999999E-3</v>
      </c>
      <c r="AA38" s="2892">
        <f t="shared" si="53"/>
        <v>4.1000000000000003E-3</v>
      </c>
      <c r="AB38" s="2019">
        <f t="shared" si="53"/>
        <v>0.01</v>
      </c>
      <c r="AC38" s="2893"/>
      <c r="AD38" s="2019">
        <f t="shared" si="53"/>
        <v>4.1000000000000003E-3</v>
      </c>
    </row>
    <row r="39" spans="1:30" s="2036" customFormat="1" ht="13">
      <c r="A39" s="2894" t="s">
        <v>2833</v>
      </c>
      <c r="B39" s="2022">
        <v>2021</v>
      </c>
      <c r="C39" s="2033">
        <v>2</v>
      </c>
      <c r="D39" s="1998"/>
      <c r="E39" s="1998">
        <v>0.55000000000000004</v>
      </c>
      <c r="F39" s="1998">
        <v>0.46</v>
      </c>
      <c r="G39" s="1998">
        <v>1.1000000000000001</v>
      </c>
      <c r="H39" s="2906"/>
      <c r="I39" s="1999">
        <f t="shared" si="36"/>
        <v>0.46</v>
      </c>
      <c r="J39" s="2895"/>
      <c r="K39" s="2034"/>
      <c r="L39" s="2019">
        <f t="shared" si="37"/>
        <v>5.5000000000000005E-3</v>
      </c>
      <c r="M39" s="2019">
        <f t="shared" si="37"/>
        <v>4.5999999999999999E-3</v>
      </c>
      <c r="N39" s="2019">
        <f t="shared" si="37"/>
        <v>1.1000000000000001E-2</v>
      </c>
      <c r="O39" s="2019"/>
      <c r="P39" s="2019">
        <f t="shared" si="51"/>
        <v>4.5999999999999999E-3</v>
      </c>
      <c r="Q39" s="2895"/>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5"/>
      <c r="Y39" s="2019"/>
      <c r="Z39" s="2891">
        <f t="shared" si="53"/>
        <v>4.4999999999999997E-3</v>
      </c>
      <c r="AA39" s="2892">
        <f t="shared" si="53"/>
        <v>4.7000000000000002E-3</v>
      </c>
      <c r="AB39" s="2019">
        <f t="shared" si="53"/>
        <v>1.04E-2</v>
      </c>
      <c r="AC39" s="2893"/>
      <c r="AD39" s="2019">
        <f t="shared" si="53"/>
        <v>4.7000000000000002E-3</v>
      </c>
    </row>
    <row r="40" spans="1:30" s="2917" customFormat="1" ht="13.5"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5"/>
  <cols>
    <col min="1" max="1" width="9" style="2018"/>
    <col min="2" max="6" width="9" style="2018" customWidth="1"/>
    <col min="7" max="7" width="9" style="2052"/>
    <col min="8" max="8" width="9" style="2018"/>
    <col min="9" max="12" width="9" style="2018" customWidth="1"/>
    <col min="13" max="13" width="2.26953125" style="2018" customWidth="1"/>
    <col min="14" max="14" width="9" style="2052" customWidth="1"/>
    <col min="15" max="17" width="9" style="2018" customWidth="1"/>
    <col min="18" max="18" width="2.36328125" style="2018" customWidth="1"/>
    <col min="19" max="19" width="7.08984375" style="2052" customWidth="1"/>
    <col min="20" max="22" width="7.08984375" style="2018" customWidth="1"/>
    <col min="23" max="23" width="24.26953125" style="2018" customWidth="1"/>
    <col min="24" max="25" width="9" style="2018"/>
    <col min="26" max="27" width="11.6328125" style="2018" customWidth="1"/>
    <col min="28" max="28" width="9" style="2018"/>
    <col min="29" max="29" width="2" style="2018" customWidth="1"/>
    <col min="30" max="16384" width="9" style="2018"/>
  </cols>
  <sheetData>
    <row r="1" spans="1:34" s="2000" customFormat="1" ht="13">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1" customFormat="1" ht="14.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ht="13">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ht="13">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ht="13">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ht="13">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ht="13">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ht="13">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ht="13">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ht="13">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ht="13">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ht="13">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ht="13">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ht="13">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ht="13">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ht="13">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ht="13">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96">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96"/>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96"/>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3"/>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ht="13">
      <c r="A25" s="2031" t="s">
        <v>2111</v>
      </c>
      <c r="B25" s="2040">
        <v>439</v>
      </c>
      <c r="C25" s="2040">
        <v>327</v>
      </c>
      <c r="D25" s="2040">
        <f>C25</f>
        <v>327</v>
      </c>
      <c r="E25" s="2040">
        <v>627</v>
      </c>
      <c r="F25" s="2041">
        <v>283</v>
      </c>
      <c r="G25" s="3499">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96"/>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96"/>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3"/>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ht="13">
      <c r="A29" s="2031" t="s">
        <v>127</v>
      </c>
      <c r="B29" s="2040">
        <v>392</v>
      </c>
      <c r="C29" s="2040">
        <v>302</v>
      </c>
      <c r="D29" s="2040">
        <f>C29</f>
        <v>302</v>
      </c>
      <c r="E29" s="2040">
        <v>553</v>
      </c>
      <c r="F29" s="2041">
        <v>266</v>
      </c>
      <c r="G29" s="3499">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96"/>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96"/>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97"/>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495">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96"/>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96"/>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97"/>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495">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96"/>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96"/>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97"/>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0">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1"/>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ht="13">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1"/>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2"/>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495">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96"/>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96"/>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 thickBot="1">
      <c r="A48" s="2031" t="s">
        <v>472</v>
      </c>
      <c r="B48" s="2032">
        <f>B47/(1+N47)</f>
        <v>275.19025476197027</v>
      </c>
      <c r="C48" s="2076">
        <v>232</v>
      </c>
      <c r="D48" s="2076">
        <f t="shared" si="246"/>
        <v>232</v>
      </c>
      <c r="E48" s="2032">
        <f t="shared" si="257"/>
        <v>375.65990977608692</v>
      </c>
      <c r="F48" s="2032">
        <f t="shared" si="257"/>
        <v>214.12518283971252</v>
      </c>
      <c r="G48" s="3497"/>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495">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96">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96">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97">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495">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96">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96">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97">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495">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96">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96">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97">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495">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96">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96">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97">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495">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96">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96">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97">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495">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96">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96">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97">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495">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96">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96">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97">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495">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96">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96">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97">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495">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96">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96">
        <v>2003</v>
      </c>
      <c r="H83" s="2042">
        <v>2</v>
      </c>
      <c r="I83" s="2096"/>
      <c r="J83" s="2096"/>
      <c r="K83" s="2096"/>
      <c r="L83" s="2096"/>
      <c r="X83" s="2088"/>
      <c r="Y83" s="2088"/>
      <c r="Z83" s="2088"/>
    </row>
    <row r="84" spans="1:26" ht="13" thickBot="1">
      <c r="A84" s="2031" t="s">
        <v>508</v>
      </c>
      <c r="B84" s="2098">
        <f t="shared" si="282"/>
        <v>107.25</v>
      </c>
      <c r="C84" s="2098">
        <f t="shared" si="282"/>
        <v>108.75</v>
      </c>
      <c r="D84" s="2098">
        <f t="shared" si="246"/>
        <v>108.75</v>
      </c>
      <c r="E84" s="2098">
        <f t="shared" si="283"/>
        <v>105.75</v>
      </c>
      <c r="F84" s="2098">
        <f t="shared" si="283"/>
        <v>102.5</v>
      </c>
      <c r="G84" s="3497">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495">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96">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96">
        <v>2002</v>
      </c>
      <c r="H87" s="2042">
        <v>2</v>
      </c>
      <c r="I87" s="2096"/>
      <c r="J87" s="2096"/>
      <c r="K87" s="2096"/>
      <c r="L87" s="2096"/>
      <c r="X87" s="2088"/>
      <c r="Y87" s="2088"/>
      <c r="Z87" s="2088"/>
    </row>
    <row r="88" spans="1:26" s="2063" customFormat="1" ht="13" thickBot="1">
      <c r="A88" s="2059" t="s">
        <v>512</v>
      </c>
      <c r="B88" s="2066">
        <f t="shared" si="284"/>
        <v>103</v>
      </c>
      <c r="C88" s="2066">
        <f t="shared" si="284"/>
        <v>104</v>
      </c>
      <c r="D88" s="2066">
        <f t="shared" si="246"/>
        <v>104</v>
      </c>
      <c r="E88" s="2066">
        <f t="shared" si="285"/>
        <v>103.5</v>
      </c>
      <c r="F88" s="2066">
        <f t="shared" si="285"/>
        <v>100.5</v>
      </c>
      <c r="G88" s="3497">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ht="13">
      <c r="A91" s="2109" t="s">
        <v>513</v>
      </c>
      <c r="G91" s="2111"/>
      <c r="N91" s="2111"/>
      <c r="S91" s="2111"/>
    </row>
    <row r="92" spans="1:26" s="2110" customFormat="1" ht="13">
      <c r="A92" s="2110" t="s">
        <v>514</v>
      </c>
      <c r="G92" s="2111"/>
      <c r="N92" s="2111"/>
      <c r="S92" s="2111"/>
    </row>
    <row r="93" spans="1:26" s="2110" customFormat="1" ht="13">
      <c r="A93" s="2110" t="s">
        <v>515</v>
      </c>
      <c r="G93" s="2111"/>
      <c r="I93" s="2112"/>
      <c r="J93" s="2112"/>
      <c r="K93" s="2112"/>
      <c r="L93" s="2112"/>
      <c r="N93" s="2113"/>
      <c r="O93" s="2112"/>
      <c r="P93" s="2112"/>
      <c r="Q93" s="2112"/>
      <c r="S93" s="2113"/>
      <c r="T93" s="2112"/>
      <c r="U93" s="2112"/>
      <c r="V93" s="2112"/>
    </row>
    <row r="94" spans="1:26" s="2110" customFormat="1" ht="13">
      <c r="A94" s="2110" t="s">
        <v>516</v>
      </c>
      <c r="G94" s="2111"/>
      <c r="N94" s="2111"/>
      <c r="S94" s="2111"/>
    </row>
    <row r="101" spans="7:22" ht="13" thickBot="1"/>
    <row r="102" spans="7:22" ht="13">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T47" sqref="T47:T48"/>
    </sheetView>
  </sheetViews>
  <sheetFormatPr defaultRowHeight="14"/>
  <cols>
    <col min="1" max="1" width="4.90625" style="1151" customWidth="1"/>
    <col min="2" max="2" width="13.26953125" style="1157" customWidth="1"/>
    <col min="3" max="3" width="15.6328125" style="1157" customWidth="1"/>
    <col min="4" max="4" width="9.36328125" style="1157" bestFit="1" customWidth="1"/>
    <col min="5" max="5" width="13.453125" style="1157" customWidth="1"/>
    <col min="6" max="6" width="9" style="1157"/>
    <col min="7" max="7" width="9.36328125" style="1157" bestFit="1" customWidth="1"/>
    <col min="8" max="8" width="12.26953125" style="1157" customWidth="1"/>
    <col min="9" max="9" width="9" style="1157"/>
    <col min="10" max="10" width="9.36328125" style="1157" bestFit="1" customWidth="1"/>
    <col min="11" max="11" width="4" style="1151" customWidth="1"/>
    <col min="12" max="12" width="5.08984375" style="1157" customWidth="1"/>
    <col min="13" max="13" width="13.7265625" style="1157" customWidth="1"/>
    <col min="14" max="256" width="9" style="1157"/>
    <col min="257" max="257" width="4.90625" style="1148" customWidth="1"/>
    <col min="258" max="258" width="13.26953125" style="1148" customWidth="1"/>
    <col min="259" max="259" width="15.6328125" style="1148" customWidth="1"/>
    <col min="260" max="260" width="9.36328125" style="1148" bestFit="1" customWidth="1"/>
    <col min="261" max="261" width="13.453125" style="1148" customWidth="1"/>
    <col min="262" max="262" width="9" style="1148"/>
    <col min="263" max="263" width="9.36328125" style="1148" bestFit="1" customWidth="1"/>
    <col min="264" max="265" width="9" style="1148"/>
    <col min="266" max="266" width="9.36328125" style="1148" bestFit="1" customWidth="1"/>
    <col min="267" max="267" width="4" style="1148" customWidth="1"/>
    <col min="268" max="268" width="5.08984375" style="1148" customWidth="1"/>
    <col min="269" max="269" width="13.7265625" style="1148" customWidth="1"/>
    <col min="270" max="512" width="9" style="1148"/>
    <col min="513" max="513" width="4.90625" style="1148" customWidth="1"/>
    <col min="514" max="514" width="13.26953125" style="1148" customWidth="1"/>
    <col min="515" max="515" width="15.6328125" style="1148" customWidth="1"/>
    <col min="516" max="516" width="9.36328125" style="1148" bestFit="1" customWidth="1"/>
    <col min="517" max="517" width="13.453125" style="1148" customWidth="1"/>
    <col min="518" max="518" width="9" style="1148"/>
    <col min="519" max="519" width="9.36328125" style="1148" bestFit="1" customWidth="1"/>
    <col min="520" max="521" width="9" style="1148"/>
    <col min="522" max="522" width="9.36328125" style="1148" bestFit="1" customWidth="1"/>
    <col min="523" max="523" width="4" style="1148" customWidth="1"/>
    <col min="524" max="524" width="5.08984375" style="1148" customWidth="1"/>
    <col min="525" max="525" width="13.7265625" style="1148" customWidth="1"/>
    <col min="526" max="768" width="9" style="1148"/>
    <col min="769" max="769" width="4.90625" style="1148" customWidth="1"/>
    <col min="770" max="770" width="13.26953125" style="1148" customWidth="1"/>
    <col min="771" max="771" width="15.6328125" style="1148" customWidth="1"/>
    <col min="772" max="772" width="9.36328125" style="1148" bestFit="1" customWidth="1"/>
    <col min="773" max="773" width="13.453125" style="1148" customWidth="1"/>
    <col min="774" max="774" width="9" style="1148"/>
    <col min="775" max="775" width="9.36328125" style="1148" bestFit="1" customWidth="1"/>
    <col min="776" max="777" width="9" style="1148"/>
    <col min="778" max="778" width="9.36328125" style="1148" bestFit="1" customWidth="1"/>
    <col min="779" max="779" width="4" style="1148" customWidth="1"/>
    <col min="780" max="780" width="5.08984375" style="1148" customWidth="1"/>
    <col min="781" max="781" width="13.7265625" style="1148" customWidth="1"/>
    <col min="782" max="1024" width="9" style="1148"/>
    <col min="1025" max="1025" width="4.90625" style="1148" customWidth="1"/>
    <col min="1026" max="1026" width="13.26953125" style="1148" customWidth="1"/>
    <col min="1027" max="1027" width="15.6328125" style="1148" customWidth="1"/>
    <col min="1028" max="1028" width="9.36328125" style="1148" bestFit="1" customWidth="1"/>
    <col min="1029" max="1029" width="13.453125" style="1148" customWidth="1"/>
    <col min="1030" max="1030" width="9" style="1148"/>
    <col min="1031" max="1031" width="9.36328125" style="1148" bestFit="1" customWidth="1"/>
    <col min="1032" max="1033" width="9" style="1148"/>
    <col min="1034" max="1034" width="9.36328125" style="1148" bestFit="1" customWidth="1"/>
    <col min="1035" max="1035" width="4" style="1148" customWidth="1"/>
    <col min="1036" max="1036" width="5.08984375" style="1148" customWidth="1"/>
    <col min="1037" max="1037" width="13.7265625" style="1148" customWidth="1"/>
    <col min="1038" max="1280" width="9" style="1148"/>
    <col min="1281" max="1281" width="4.90625" style="1148" customWidth="1"/>
    <col min="1282" max="1282" width="13.26953125" style="1148" customWidth="1"/>
    <col min="1283" max="1283" width="15.6328125" style="1148" customWidth="1"/>
    <col min="1284" max="1284" width="9.36328125" style="1148" bestFit="1" customWidth="1"/>
    <col min="1285" max="1285" width="13.453125" style="1148" customWidth="1"/>
    <col min="1286" max="1286" width="9" style="1148"/>
    <col min="1287" max="1287" width="9.36328125" style="1148" bestFit="1" customWidth="1"/>
    <col min="1288" max="1289" width="9" style="1148"/>
    <col min="1290" max="1290" width="9.36328125" style="1148" bestFit="1" customWidth="1"/>
    <col min="1291" max="1291" width="4" style="1148" customWidth="1"/>
    <col min="1292" max="1292" width="5.08984375" style="1148" customWidth="1"/>
    <col min="1293" max="1293" width="13.7265625" style="1148" customWidth="1"/>
    <col min="1294" max="1536" width="9" style="1148"/>
    <col min="1537" max="1537" width="4.90625" style="1148" customWidth="1"/>
    <col min="1538" max="1538" width="13.26953125" style="1148" customWidth="1"/>
    <col min="1539" max="1539" width="15.6328125" style="1148" customWidth="1"/>
    <col min="1540" max="1540" width="9.36328125" style="1148" bestFit="1" customWidth="1"/>
    <col min="1541" max="1541" width="13.453125" style="1148" customWidth="1"/>
    <col min="1542" max="1542" width="9" style="1148"/>
    <col min="1543" max="1543" width="9.36328125" style="1148" bestFit="1" customWidth="1"/>
    <col min="1544" max="1545" width="9" style="1148"/>
    <col min="1546" max="1546" width="9.36328125" style="1148" bestFit="1" customWidth="1"/>
    <col min="1547" max="1547" width="4" style="1148" customWidth="1"/>
    <col min="1548" max="1548" width="5.08984375" style="1148" customWidth="1"/>
    <col min="1549" max="1549" width="13.7265625" style="1148" customWidth="1"/>
    <col min="1550" max="1792" width="9" style="1148"/>
    <col min="1793" max="1793" width="4.90625" style="1148" customWidth="1"/>
    <col min="1794" max="1794" width="13.26953125" style="1148" customWidth="1"/>
    <col min="1795" max="1795" width="15.6328125" style="1148" customWidth="1"/>
    <col min="1796" max="1796" width="9.36328125" style="1148" bestFit="1" customWidth="1"/>
    <col min="1797" max="1797" width="13.453125" style="1148" customWidth="1"/>
    <col min="1798" max="1798" width="9" style="1148"/>
    <col min="1799" max="1799" width="9.36328125" style="1148" bestFit="1" customWidth="1"/>
    <col min="1800" max="1801" width="9" style="1148"/>
    <col min="1802" max="1802" width="9.36328125" style="1148" bestFit="1" customWidth="1"/>
    <col min="1803" max="1803" width="4" style="1148" customWidth="1"/>
    <col min="1804" max="1804" width="5.08984375" style="1148" customWidth="1"/>
    <col min="1805" max="1805" width="13.7265625" style="1148" customWidth="1"/>
    <col min="1806" max="2048" width="9" style="1148"/>
    <col min="2049" max="2049" width="4.90625" style="1148" customWidth="1"/>
    <col min="2050" max="2050" width="13.26953125" style="1148" customWidth="1"/>
    <col min="2051" max="2051" width="15.6328125" style="1148" customWidth="1"/>
    <col min="2052" max="2052" width="9.36328125" style="1148" bestFit="1" customWidth="1"/>
    <col min="2053" max="2053" width="13.453125" style="1148" customWidth="1"/>
    <col min="2054" max="2054" width="9" style="1148"/>
    <col min="2055" max="2055" width="9.36328125" style="1148" bestFit="1" customWidth="1"/>
    <col min="2056" max="2057" width="9" style="1148"/>
    <col min="2058" max="2058" width="9.36328125" style="1148" bestFit="1" customWidth="1"/>
    <col min="2059" max="2059" width="4" style="1148" customWidth="1"/>
    <col min="2060" max="2060" width="5.08984375" style="1148" customWidth="1"/>
    <col min="2061" max="2061" width="13.7265625" style="1148" customWidth="1"/>
    <col min="2062" max="2304" width="9" style="1148"/>
    <col min="2305" max="2305" width="4.90625" style="1148" customWidth="1"/>
    <col min="2306" max="2306" width="13.26953125" style="1148" customWidth="1"/>
    <col min="2307" max="2307" width="15.6328125" style="1148" customWidth="1"/>
    <col min="2308" max="2308" width="9.36328125" style="1148" bestFit="1" customWidth="1"/>
    <col min="2309" max="2309" width="13.453125" style="1148" customWidth="1"/>
    <col min="2310" max="2310" width="9" style="1148"/>
    <col min="2311" max="2311" width="9.36328125" style="1148" bestFit="1" customWidth="1"/>
    <col min="2312" max="2313" width="9" style="1148"/>
    <col min="2314" max="2314" width="9.36328125" style="1148" bestFit="1" customWidth="1"/>
    <col min="2315" max="2315" width="4" style="1148" customWidth="1"/>
    <col min="2316" max="2316" width="5.08984375" style="1148" customWidth="1"/>
    <col min="2317" max="2317" width="13.7265625" style="1148" customWidth="1"/>
    <col min="2318" max="2560" width="9" style="1148"/>
    <col min="2561" max="2561" width="4.90625" style="1148" customWidth="1"/>
    <col min="2562" max="2562" width="13.26953125" style="1148" customWidth="1"/>
    <col min="2563" max="2563" width="15.6328125" style="1148" customWidth="1"/>
    <col min="2564" max="2564" width="9.36328125" style="1148" bestFit="1" customWidth="1"/>
    <col min="2565" max="2565" width="13.453125" style="1148" customWidth="1"/>
    <col min="2566" max="2566" width="9" style="1148"/>
    <col min="2567" max="2567" width="9.36328125" style="1148" bestFit="1" customWidth="1"/>
    <col min="2568" max="2569" width="9" style="1148"/>
    <col min="2570" max="2570" width="9.36328125" style="1148" bestFit="1" customWidth="1"/>
    <col min="2571" max="2571" width="4" style="1148" customWidth="1"/>
    <col min="2572" max="2572" width="5.08984375" style="1148" customWidth="1"/>
    <col min="2573" max="2573" width="13.7265625" style="1148" customWidth="1"/>
    <col min="2574" max="2816" width="9" style="1148"/>
    <col min="2817" max="2817" width="4.90625" style="1148" customWidth="1"/>
    <col min="2818" max="2818" width="13.26953125" style="1148" customWidth="1"/>
    <col min="2819" max="2819" width="15.6328125" style="1148" customWidth="1"/>
    <col min="2820" max="2820" width="9.36328125" style="1148" bestFit="1" customWidth="1"/>
    <col min="2821" max="2821" width="13.453125" style="1148" customWidth="1"/>
    <col min="2822" max="2822" width="9" style="1148"/>
    <col min="2823" max="2823" width="9.36328125" style="1148" bestFit="1" customWidth="1"/>
    <col min="2824" max="2825" width="9" style="1148"/>
    <col min="2826" max="2826" width="9.36328125" style="1148" bestFit="1" customWidth="1"/>
    <col min="2827" max="2827" width="4" style="1148" customWidth="1"/>
    <col min="2828" max="2828" width="5.08984375" style="1148" customWidth="1"/>
    <col min="2829" max="2829" width="13.7265625" style="1148" customWidth="1"/>
    <col min="2830" max="3072" width="9" style="1148"/>
    <col min="3073" max="3073" width="4.90625" style="1148" customWidth="1"/>
    <col min="3074" max="3074" width="13.26953125" style="1148" customWidth="1"/>
    <col min="3075" max="3075" width="15.6328125" style="1148" customWidth="1"/>
    <col min="3076" max="3076" width="9.36328125" style="1148" bestFit="1" customWidth="1"/>
    <col min="3077" max="3077" width="13.453125" style="1148" customWidth="1"/>
    <col min="3078" max="3078" width="9" style="1148"/>
    <col min="3079" max="3079" width="9.36328125" style="1148" bestFit="1" customWidth="1"/>
    <col min="3080" max="3081" width="9" style="1148"/>
    <col min="3082" max="3082" width="9.36328125" style="1148" bestFit="1" customWidth="1"/>
    <col min="3083" max="3083" width="4" style="1148" customWidth="1"/>
    <col min="3084" max="3084" width="5.08984375" style="1148" customWidth="1"/>
    <col min="3085" max="3085" width="13.7265625" style="1148" customWidth="1"/>
    <col min="3086" max="3328" width="9" style="1148"/>
    <col min="3329" max="3329" width="4.90625" style="1148" customWidth="1"/>
    <col min="3330" max="3330" width="13.26953125" style="1148" customWidth="1"/>
    <col min="3331" max="3331" width="15.6328125" style="1148" customWidth="1"/>
    <col min="3332" max="3332" width="9.36328125" style="1148" bestFit="1" customWidth="1"/>
    <col min="3333" max="3333" width="13.453125" style="1148" customWidth="1"/>
    <col min="3334" max="3334" width="9" style="1148"/>
    <col min="3335" max="3335" width="9.36328125" style="1148" bestFit="1" customWidth="1"/>
    <col min="3336" max="3337" width="9" style="1148"/>
    <col min="3338" max="3338" width="9.36328125" style="1148" bestFit="1" customWidth="1"/>
    <col min="3339" max="3339" width="4" style="1148" customWidth="1"/>
    <col min="3340" max="3340" width="5.08984375" style="1148" customWidth="1"/>
    <col min="3341" max="3341" width="13.7265625" style="1148" customWidth="1"/>
    <col min="3342" max="3584" width="9" style="1148"/>
    <col min="3585" max="3585" width="4.90625" style="1148" customWidth="1"/>
    <col min="3586" max="3586" width="13.26953125" style="1148" customWidth="1"/>
    <col min="3587" max="3587" width="15.6328125" style="1148" customWidth="1"/>
    <col min="3588" max="3588" width="9.36328125" style="1148" bestFit="1" customWidth="1"/>
    <col min="3589" max="3589" width="13.453125" style="1148" customWidth="1"/>
    <col min="3590" max="3590" width="9" style="1148"/>
    <col min="3591" max="3591" width="9.36328125" style="1148" bestFit="1" customWidth="1"/>
    <col min="3592" max="3593" width="9" style="1148"/>
    <col min="3594" max="3594" width="9.36328125" style="1148" bestFit="1" customWidth="1"/>
    <col min="3595" max="3595" width="4" style="1148" customWidth="1"/>
    <col min="3596" max="3596" width="5.08984375" style="1148" customWidth="1"/>
    <col min="3597" max="3597" width="13.7265625" style="1148" customWidth="1"/>
    <col min="3598" max="3840" width="9" style="1148"/>
    <col min="3841" max="3841" width="4.90625" style="1148" customWidth="1"/>
    <col min="3842" max="3842" width="13.26953125" style="1148" customWidth="1"/>
    <col min="3843" max="3843" width="15.6328125" style="1148" customWidth="1"/>
    <col min="3844" max="3844" width="9.36328125" style="1148" bestFit="1" customWidth="1"/>
    <col min="3845" max="3845" width="13.453125" style="1148" customWidth="1"/>
    <col min="3846" max="3846" width="9" style="1148"/>
    <col min="3847" max="3847" width="9.36328125" style="1148" bestFit="1" customWidth="1"/>
    <col min="3848" max="3849" width="9" style="1148"/>
    <col min="3850" max="3850" width="9.36328125" style="1148" bestFit="1" customWidth="1"/>
    <col min="3851" max="3851" width="4" style="1148" customWidth="1"/>
    <col min="3852" max="3852" width="5.08984375" style="1148" customWidth="1"/>
    <col min="3853" max="3853" width="13.7265625" style="1148" customWidth="1"/>
    <col min="3854" max="4096" width="9" style="1148"/>
    <col min="4097" max="4097" width="4.90625" style="1148" customWidth="1"/>
    <col min="4098" max="4098" width="13.26953125" style="1148" customWidth="1"/>
    <col min="4099" max="4099" width="15.6328125" style="1148" customWidth="1"/>
    <col min="4100" max="4100" width="9.36328125" style="1148" bestFit="1" customWidth="1"/>
    <col min="4101" max="4101" width="13.453125" style="1148" customWidth="1"/>
    <col min="4102" max="4102" width="9" style="1148"/>
    <col min="4103" max="4103" width="9.36328125" style="1148" bestFit="1" customWidth="1"/>
    <col min="4104" max="4105" width="9" style="1148"/>
    <col min="4106" max="4106" width="9.36328125" style="1148" bestFit="1" customWidth="1"/>
    <col min="4107" max="4107" width="4" style="1148" customWidth="1"/>
    <col min="4108" max="4108" width="5.08984375" style="1148" customWidth="1"/>
    <col min="4109" max="4109" width="13.7265625" style="1148" customWidth="1"/>
    <col min="4110" max="4352" width="9" style="1148"/>
    <col min="4353" max="4353" width="4.90625" style="1148" customWidth="1"/>
    <col min="4354" max="4354" width="13.26953125" style="1148" customWidth="1"/>
    <col min="4355" max="4355" width="15.6328125" style="1148" customWidth="1"/>
    <col min="4356" max="4356" width="9.36328125" style="1148" bestFit="1" customWidth="1"/>
    <col min="4357" max="4357" width="13.453125" style="1148" customWidth="1"/>
    <col min="4358" max="4358" width="9" style="1148"/>
    <col min="4359" max="4359" width="9.36328125" style="1148" bestFit="1" customWidth="1"/>
    <col min="4360" max="4361" width="9" style="1148"/>
    <col min="4362" max="4362" width="9.36328125" style="1148" bestFit="1" customWidth="1"/>
    <col min="4363" max="4363" width="4" style="1148" customWidth="1"/>
    <col min="4364" max="4364" width="5.08984375" style="1148" customWidth="1"/>
    <col min="4365" max="4365" width="13.7265625" style="1148" customWidth="1"/>
    <col min="4366" max="4608" width="9" style="1148"/>
    <col min="4609" max="4609" width="4.90625" style="1148" customWidth="1"/>
    <col min="4610" max="4610" width="13.26953125" style="1148" customWidth="1"/>
    <col min="4611" max="4611" width="15.6328125" style="1148" customWidth="1"/>
    <col min="4612" max="4612" width="9.36328125" style="1148" bestFit="1" customWidth="1"/>
    <col min="4613" max="4613" width="13.453125" style="1148" customWidth="1"/>
    <col min="4614" max="4614" width="9" style="1148"/>
    <col min="4615" max="4615" width="9.36328125" style="1148" bestFit="1" customWidth="1"/>
    <col min="4616" max="4617" width="9" style="1148"/>
    <col min="4618" max="4618" width="9.36328125" style="1148" bestFit="1" customWidth="1"/>
    <col min="4619" max="4619" width="4" style="1148" customWidth="1"/>
    <col min="4620" max="4620" width="5.08984375" style="1148" customWidth="1"/>
    <col min="4621" max="4621" width="13.7265625" style="1148" customWidth="1"/>
    <col min="4622" max="4864" width="9" style="1148"/>
    <col min="4865" max="4865" width="4.90625" style="1148" customWidth="1"/>
    <col min="4866" max="4866" width="13.26953125" style="1148" customWidth="1"/>
    <col min="4867" max="4867" width="15.6328125" style="1148" customWidth="1"/>
    <col min="4868" max="4868" width="9.36328125" style="1148" bestFit="1" customWidth="1"/>
    <col min="4869" max="4869" width="13.453125" style="1148" customWidth="1"/>
    <col min="4870" max="4870" width="9" style="1148"/>
    <col min="4871" max="4871" width="9.36328125" style="1148" bestFit="1" customWidth="1"/>
    <col min="4872" max="4873" width="9" style="1148"/>
    <col min="4874" max="4874" width="9.36328125" style="1148" bestFit="1" customWidth="1"/>
    <col min="4875" max="4875" width="4" style="1148" customWidth="1"/>
    <col min="4876" max="4876" width="5.08984375" style="1148" customWidth="1"/>
    <col min="4877" max="4877" width="13.7265625" style="1148" customWidth="1"/>
    <col min="4878" max="5120" width="9" style="1148"/>
    <col min="5121" max="5121" width="4.90625" style="1148" customWidth="1"/>
    <col min="5122" max="5122" width="13.26953125" style="1148" customWidth="1"/>
    <col min="5123" max="5123" width="15.6328125" style="1148" customWidth="1"/>
    <col min="5124" max="5124" width="9.36328125" style="1148" bestFit="1" customWidth="1"/>
    <col min="5125" max="5125" width="13.453125" style="1148" customWidth="1"/>
    <col min="5126" max="5126" width="9" style="1148"/>
    <col min="5127" max="5127" width="9.36328125" style="1148" bestFit="1" customWidth="1"/>
    <col min="5128" max="5129" width="9" style="1148"/>
    <col min="5130" max="5130" width="9.36328125" style="1148" bestFit="1" customWidth="1"/>
    <col min="5131" max="5131" width="4" style="1148" customWidth="1"/>
    <col min="5132" max="5132" width="5.08984375" style="1148" customWidth="1"/>
    <col min="5133" max="5133" width="13.7265625" style="1148" customWidth="1"/>
    <col min="5134" max="5376" width="9" style="1148"/>
    <col min="5377" max="5377" width="4.90625" style="1148" customWidth="1"/>
    <col min="5378" max="5378" width="13.26953125" style="1148" customWidth="1"/>
    <col min="5379" max="5379" width="15.6328125" style="1148" customWidth="1"/>
    <col min="5380" max="5380" width="9.36328125" style="1148" bestFit="1" customWidth="1"/>
    <col min="5381" max="5381" width="13.453125" style="1148" customWidth="1"/>
    <col min="5382" max="5382" width="9" style="1148"/>
    <col min="5383" max="5383" width="9.36328125" style="1148" bestFit="1" customWidth="1"/>
    <col min="5384" max="5385" width="9" style="1148"/>
    <col min="5386" max="5386" width="9.36328125" style="1148" bestFit="1" customWidth="1"/>
    <col min="5387" max="5387" width="4" style="1148" customWidth="1"/>
    <col min="5388" max="5388" width="5.08984375" style="1148" customWidth="1"/>
    <col min="5389" max="5389" width="13.7265625" style="1148" customWidth="1"/>
    <col min="5390" max="5632" width="9" style="1148"/>
    <col min="5633" max="5633" width="4.90625" style="1148" customWidth="1"/>
    <col min="5634" max="5634" width="13.26953125" style="1148" customWidth="1"/>
    <col min="5635" max="5635" width="15.6328125" style="1148" customWidth="1"/>
    <col min="5636" max="5636" width="9.36328125" style="1148" bestFit="1" customWidth="1"/>
    <col min="5637" max="5637" width="13.453125" style="1148" customWidth="1"/>
    <col min="5638" max="5638" width="9" style="1148"/>
    <col min="5639" max="5639" width="9.36328125" style="1148" bestFit="1" customWidth="1"/>
    <col min="5640" max="5641" width="9" style="1148"/>
    <col min="5642" max="5642" width="9.36328125" style="1148" bestFit="1" customWidth="1"/>
    <col min="5643" max="5643" width="4" style="1148" customWidth="1"/>
    <col min="5644" max="5644" width="5.08984375" style="1148" customWidth="1"/>
    <col min="5645" max="5645" width="13.7265625" style="1148" customWidth="1"/>
    <col min="5646" max="5888" width="9" style="1148"/>
    <col min="5889" max="5889" width="4.90625" style="1148" customWidth="1"/>
    <col min="5890" max="5890" width="13.26953125" style="1148" customWidth="1"/>
    <col min="5891" max="5891" width="15.6328125" style="1148" customWidth="1"/>
    <col min="5892" max="5892" width="9.36328125" style="1148" bestFit="1" customWidth="1"/>
    <col min="5893" max="5893" width="13.453125" style="1148" customWidth="1"/>
    <col min="5894" max="5894" width="9" style="1148"/>
    <col min="5895" max="5895" width="9.36328125" style="1148" bestFit="1" customWidth="1"/>
    <col min="5896" max="5897" width="9" style="1148"/>
    <col min="5898" max="5898" width="9.36328125" style="1148" bestFit="1" customWidth="1"/>
    <col min="5899" max="5899" width="4" style="1148" customWidth="1"/>
    <col min="5900" max="5900" width="5.08984375" style="1148" customWidth="1"/>
    <col min="5901" max="5901" width="13.7265625" style="1148" customWidth="1"/>
    <col min="5902" max="6144" width="9" style="1148"/>
    <col min="6145" max="6145" width="4.90625" style="1148" customWidth="1"/>
    <col min="6146" max="6146" width="13.26953125" style="1148" customWidth="1"/>
    <col min="6147" max="6147" width="15.6328125" style="1148" customWidth="1"/>
    <col min="6148" max="6148" width="9.36328125" style="1148" bestFit="1" customWidth="1"/>
    <col min="6149" max="6149" width="13.453125" style="1148" customWidth="1"/>
    <col min="6150" max="6150" width="9" style="1148"/>
    <col min="6151" max="6151" width="9.36328125" style="1148" bestFit="1" customWidth="1"/>
    <col min="6152" max="6153" width="9" style="1148"/>
    <col min="6154" max="6154" width="9.36328125" style="1148" bestFit="1" customWidth="1"/>
    <col min="6155" max="6155" width="4" style="1148" customWidth="1"/>
    <col min="6156" max="6156" width="5.08984375" style="1148" customWidth="1"/>
    <col min="6157" max="6157" width="13.7265625" style="1148" customWidth="1"/>
    <col min="6158" max="6400" width="9" style="1148"/>
    <col min="6401" max="6401" width="4.90625" style="1148" customWidth="1"/>
    <col min="6402" max="6402" width="13.26953125" style="1148" customWidth="1"/>
    <col min="6403" max="6403" width="15.6328125" style="1148" customWidth="1"/>
    <col min="6404" max="6404" width="9.36328125" style="1148" bestFit="1" customWidth="1"/>
    <col min="6405" max="6405" width="13.453125" style="1148" customWidth="1"/>
    <col min="6406" max="6406" width="9" style="1148"/>
    <col min="6407" max="6407" width="9.36328125" style="1148" bestFit="1" customWidth="1"/>
    <col min="6408" max="6409" width="9" style="1148"/>
    <col min="6410" max="6410" width="9.36328125" style="1148" bestFit="1" customWidth="1"/>
    <col min="6411" max="6411" width="4" style="1148" customWidth="1"/>
    <col min="6412" max="6412" width="5.08984375" style="1148" customWidth="1"/>
    <col min="6413" max="6413" width="13.7265625" style="1148" customWidth="1"/>
    <col min="6414" max="6656" width="9" style="1148"/>
    <col min="6657" max="6657" width="4.90625" style="1148" customWidth="1"/>
    <col min="6658" max="6658" width="13.26953125" style="1148" customWidth="1"/>
    <col min="6659" max="6659" width="15.6328125" style="1148" customWidth="1"/>
    <col min="6660" max="6660" width="9.36328125" style="1148" bestFit="1" customWidth="1"/>
    <col min="6661" max="6661" width="13.453125" style="1148" customWidth="1"/>
    <col min="6662" max="6662" width="9" style="1148"/>
    <col min="6663" max="6663" width="9.36328125" style="1148" bestFit="1" customWidth="1"/>
    <col min="6664" max="6665" width="9" style="1148"/>
    <col min="6666" max="6666" width="9.36328125" style="1148" bestFit="1" customWidth="1"/>
    <col min="6667" max="6667" width="4" style="1148" customWidth="1"/>
    <col min="6668" max="6668" width="5.08984375" style="1148" customWidth="1"/>
    <col min="6669" max="6669" width="13.7265625" style="1148" customWidth="1"/>
    <col min="6670" max="6912" width="9" style="1148"/>
    <col min="6913" max="6913" width="4.90625" style="1148" customWidth="1"/>
    <col min="6914" max="6914" width="13.26953125" style="1148" customWidth="1"/>
    <col min="6915" max="6915" width="15.6328125" style="1148" customWidth="1"/>
    <col min="6916" max="6916" width="9.36328125" style="1148" bestFit="1" customWidth="1"/>
    <col min="6917" max="6917" width="13.453125" style="1148" customWidth="1"/>
    <col min="6918" max="6918" width="9" style="1148"/>
    <col min="6919" max="6919" width="9.36328125" style="1148" bestFit="1" customWidth="1"/>
    <col min="6920" max="6921" width="9" style="1148"/>
    <col min="6922" max="6922" width="9.36328125" style="1148" bestFit="1" customWidth="1"/>
    <col min="6923" max="6923" width="4" style="1148" customWidth="1"/>
    <col min="6924" max="6924" width="5.08984375" style="1148" customWidth="1"/>
    <col min="6925" max="6925" width="13.7265625" style="1148" customWidth="1"/>
    <col min="6926" max="7168" width="9" style="1148"/>
    <col min="7169" max="7169" width="4.90625" style="1148" customWidth="1"/>
    <col min="7170" max="7170" width="13.26953125" style="1148" customWidth="1"/>
    <col min="7171" max="7171" width="15.6328125" style="1148" customWidth="1"/>
    <col min="7172" max="7172" width="9.36328125" style="1148" bestFit="1" customWidth="1"/>
    <col min="7173" max="7173" width="13.453125" style="1148" customWidth="1"/>
    <col min="7174" max="7174" width="9" style="1148"/>
    <col min="7175" max="7175" width="9.36328125" style="1148" bestFit="1" customWidth="1"/>
    <col min="7176" max="7177" width="9" style="1148"/>
    <col min="7178" max="7178" width="9.36328125" style="1148" bestFit="1" customWidth="1"/>
    <col min="7179" max="7179" width="4" style="1148" customWidth="1"/>
    <col min="7180" max="7180" width="5.08984375" style="1148" customWidth="1"/>
    <col min="7181" max="7181" width="13.7265625" style="1148" customWidth="1"/>
    <col min="7182" max="7424" width="9" style="1148"/>
    <col min="7425" max="7425" width="4.90625" style="1148" customWidth="1"/>
    <col min="7426" max="7426" width="13.26953125" style="1148" customWidth="1"/>
    <col min="7427" max="7427" width="15.6328125" style="1148" customWidth="1"/>
    <col min="7428" max="7428" width="9.36328125" style="1148" bestFit="1" customWidth="1"/>
    <col min="7429" max="7429" width="13.453125" style="1148" customWidth="1"/>
    <col min="7430" max="7430" width="9" style="1148"/>
    <col min="7431" max="7431" width="9.36328125" style="1148" bestFit="1" customWidth="1"/>
    <col min="7432" max="7433" width="9" style="1148"/>
    <col min="7434" max="7434" width="9.36328125" style="1148" bestFit="1" customWidth="1"/>
    <col min="7435" max="7435" width="4" style="1148" customWidth="1"/>
    <col min="7436" max="7436" width="5.08984375" style="1148" customWidth="1"/>
    <col min="7437" max="7437" width="13.7265625" style="1148" customWidth="1"/>
    <col min="7438" max="7680" width="9" style="1148"/>
    <col min="7681" max="7681" width="4.90625" style="1148" customWidth="1"/>
    <col min="7682" max="7682" width="13.26953125" style="1148" customWidth="1"/>
    <col min="7683" max="7683" width="15.6328125" style="1148" customWidth="1"/>
    <col min="7684" max="7684" width="9.36328125" style="1148" bestFit="1" customWidth="1"/>
    <col min="7685" max="7685" width="13.453125" style="1148" customWidth="1"/>
    <col min="7686" max="7686" width="9" style="1148"/>
    <col min="7687" max="7687" width="9.36328125" style="1148" bestFit="1" customWidth="1"/>
    <col min="7688" max="7689" width="9" style="1148"/>
    <col min="7690" max="7690" width="9.36328125" style="1148" bestFit="1" customWidth="1"/>
    <col min="7691" max="7691" width="4" style="1148" customWidth="1"/>
    <col min="7692" max="7692" width="5.08984375" style="1148" customWidth="1"/>
    <col min="7693" max="7693" width="13.7265625" style="1148" customWidth="1"/>
    <col min="7694" max="7936" width="9" style="1148"/>
    <col min="7937" max="7937" width="4.90625" style="1148" customWidth="1"/>
    <col min="7938" max="7938" width="13.26953125" style="1148" customWidth="1"/>
    <col min="7939" max="7939" width="15.6328125" style="1148" customWidth="1"/>
    <col min="7940" max="7940" width="9.36328125" style="1148" bestFit="1" customWidth="1"/>
    <col min="7941" max="7941" width="13.453125" style="1148" customWidth="1"/>
    <col min="7942" max="7942" width="9" style="1148"/>
    <col min="7943" max="7943" width="9.36328125" style="1148" bestFit="1" customWidth="1"/>
    <col min="7944" max="7945" width="9" style="1148"/>
    <col min="7946" max="7946" width="9.36328125" style="1148" bestFit="1" customWidth="1"/>
    <col min="7947" max="7947" width="4" style="1148" customWidth="1"/>
    <col min="7948" max="7948" width="5.08984375" style="1148" customWidth="1"/>
    <col min="7949" max="7949" width="13.7265625" style="1148" customWidth="1"/>
    <col min="7950" max="8192" width="9" style="1148"/>
    <col min="8193" max="8193" width="4.90625" style="1148" customWidth="1"/>
    <col min="8194" max="8194" width="13.26953125" style="1148" customWidth="1"/>
    <col min="8195" max="8195" width="15.6328125" style="1148" customWidth="1"/>
    <col min="8196" max="8196" width="9.36328125" style="1148" bestFit="1" customWidth="1"/>
    <col min="8197" max="8197" width="13.453125" style="1148" customWidth="1"/>
    <col min="8198" max="8198" width="9" style="1148"/>
    <col min="8199" max="8199" width="9.36328125" style="1148" bestFit="1" customWidth="1"/>
    <col min="8200" max="8201" width="9" style="1148"/>
    <col min="8202" max="8202" width="9.36328125" style="1148" bestFit="1" customWidth="1"/>
    <col min="8203" max="8203" width="4" style="1148" customWidth="1"/>
    <col min="8204" max="8204" width="5.08984375" style="1148" customWidth="1"/>
    <col min="8205" max="8205" width="13.7265625" style="1148" customWidth="1"/>
    <col min="8206" max="8448" width="9" style="1148"/>
    <col min="8449" max="8449" width="4.90625" style="1148" customWidth="1"/>
    <col min="8450" max="8450" width="13.26953125" style="1148" customWidth="1"/>
    <col min="8451" max="8451" width="15.6328125" style="1148" customWidth="1"/>
    <col min="8452" max="8452" width="9.36328125" style="1148" bestFit="1" customWidth="1"/>
    <col min="8453" max="8453" width="13.453125" style="1148" customWidth="1"/>
    <col min="8454" max="8454" width="9" style="1148"/>
    <col min="8455" max="8455" width="9.36328125" style="1148" bestFit="1" customWidth="1"/>
    <col min="8456" max="8457" width="9" style="1148"/>
    <col min="8458" max="8458" width="9.36328125" style="1148" bestFit="1" customWidth="1"/>
    <col min="8459" max="8459" width="4" style="1148" customWidth="1"/>
    <col min="8460" max="8460" width="5.08984375" style="1148" customWidth="1"/>
    <col min="8461" max="8461" width="13.7265625" style="1148" customWidth="1"/>
    <col min="8462" max="8704" width="9" style="1148"/>
    <col min="8705" max="8705" width="4.90625" style="1148" customWidth="1"/>
    <col min="8706" max="8706" width="13.26953125" style="1148" customWidth="1"/>
    <col min="8707" max="8707" width="15.6328125" style="1148" customWidth="1"/>
    <col min="8708" max="8708" width="9.36328125" style="1148" bestFit="1" customWidth="1"/>
    <col min="8709" max="8709" width="13.453125" style="1148" customWidth="1"/>
    <col min="8710" max="8710" width="9" style="1148"/>
    <col min="8711" max="8711" width="9.36328125" style="1148" bestFit="1" customWidth="1"/>
    <col min="8712" max="8713" width="9" style="1148"/>
    <col min="8714" max="8714" width="9.36328125" style="1148" bestFit="1" customWidth="1"/>
    <col min="8715" max="8715" width="4" style="1148" customWidth="1"/>
    <col min="8716" max="8716" width="5.08984375" style="1148" customWidth="1"/>
    <col min="8717" max="8717" width="13.7265625" style="1148" customWidth="1"/>
    <col min="8718" max="8960" width="9" style="1148"/>
    <col min="8961" max="8961" width="4.90625" style="1148" customWidth="1"/>
    <col min="8962" max="8962" width="13.26953125" style="1148" customWidth="1"/>
    <col min="8963" max="8963" width="15.6328125" style="1148" customWidth="1"/>
    <col min="8964" max="8964" width="9.36328125" style="1148" bestFit="1" customWidth="1"/>
    <col min="8965" max="8965" width="13.453125" style="1148" customWidth="1"/>
    <col min="8966" max="8966" width="9" style="1148"/>
    <col min="8967" max="8967" width="9.36328125" style="1148" bestFit="1" customWidth="1"/>
    <col min="8968" max="8969" width="9" style="1148"/>
    <col min="8970" max="8970" width="9.36328125" style="1148" bestFit="1" customWidth="1"/>
    <col min="8971" max="8971" width="4" style="1148" customWidth="1"/>
    <col min="8972" max="8972" width="5.08984375" style="1148" customWidth="1"/>
    <col min="8973" max="8973" width="13.7265625" style="1148" customWidth="1"/>
    <col min="8974" max="9216" width="9" style="1148"/>
    <col min="9217" max="9217" width="4.90625" style="1148" customWidth="1"/>
    <col min="9218" max="9218" width="13.26953125" style="1148" customWidth="1"/>
    <col min="9219" max="9219" width="15.6328125" style="1148" customWidth="1"/>
    <col min="9220" max="9220" width="9.36328125" style="1148" bestFit="1" customWidth="1"/>
    <col min="9221" max="9221" width="13.453125" style="1148" customWidth="1"/>
    <col min="9222" max="9222" width="9" style="1148"/>
    <col min="9223" max="9223" width="9.36328125" style="1148" bestFit="1" customWidth="1"/>
    <col min="9224" max="9225" width="9" style="1148"/>
    <col min="9226" max="9226" width="9.36328125" style="1148" bestFit="1" customWidth="1"/>
    <col min="9227" max="9227" width="4" style="1148" customWidth="1"/>
    <col min="9228" max="9228" width="5.08984375" style="1148" customWidth="1"/>
    <col min="9229" max="9229" width="13.7265625" style="1148" customWidth="1"/>
    <col min="9230" max="9472" width="9" style="1148"/>
    <col min="9473" max="9473" width="4.90625" style="1148" customWidth="1"/>
    <col min="9474" max="9474" width="13.26953125" style="1148" customWidth="1"/>
    <col min="9475" max="9475" width="15.6328125" style="1148" customWidth="1"/>
    <col min="9476" max="9476" width="9.36328125" style="1148" bestFit="1" customWidth="1"/>
    <col min="9477" max="9477" width="13.453125" style="1148" customWidth="1"/>
    <col min="9478" max="9478" width="9" style="1148"/>
    <col min="9479" max="9479" width="9.36328125" style="1148" bestFit="1" customWidth="1"/>
    <col min="9480" max="9481" width="9" style="1148"/>
    <col min="9482" max="9482" width="9.36328125" style="1148" bestFit="1" customWidth="1"/>
    <col min="9483" max="9483" width="4" style="1148" customWidth="1"/>
    <col min="9484" max="9484" width="5.08984375" style="1148" customWidth="1"/>
    <col min="9485" max="9485" width="13.7265625" style="1148" customWidth="1"/>
    <col min="9486" max="9728" width="9" style="1148"/>
    <col min="9729" max="9729" width="4.90625" style="1148" customWidth="1"/>
    <col min="9730" max="9730" width="13.26953125" style="1148" customWidth="1"/>
    <col min="9731" max="9731" width="15.6328125" style="1148" customWidth="1"/>
    <col min="9732" max="9732" width="9.36328125" style="1148" bestFit="1" customWidth="1"/>
    <col min="9733" max="9733" width="13.453125" style="1148" customWidth="1"/>
    <col min="9734" max="9734" width="9" style="1148"/>
    <col min="9735" max="9735" width="9.36328125" style="1148" bestFit="1" customWidth="1"/>
    <col min="9736" max="9737" width="9" style="1148"/>
    <col min="9738" max="9738" width="9.36328125" style="1148" bestFit="1" customWidth="1"/>
    <col min="9739" max="9739" width="4" style="1148" customWidth="1"/>
    <col min="9740" max="9740" width="5.08984375" style="1148" customWidth="1"/>
    <col min="9741" max="9741" width="13.7265625" style="1148" customWidth="1"/>
    <col min="9742" max="9984" width="9" style="1148"/>
    <col min="9985" max="9985" width="4.90625" style="1148" customWidth="1"/>
    <col min="9986" max="9986" width="13.26953125" style="1148" customWidth="1"/>
    <col min="9987" max="9987" width="15.6328125" style="1148" customWidth="1"/>
    <col min="9988" max="9988" width="9.36328125" style="1148" bestFit="1" customWidth="1"/>
    <col min="9989" max="9989" width="13.453125" style="1148" customWidth="1"/>
    <col min="9990" max="9990" width="9" style="1148"/>
    <col min="9991" max="9991" width="9.36328125" style="1148" bestFit="1" customWidth="1"/>
    <col min="9992" max="9993" width="9" style="1148"/>
    <col min="9994" max="9994" width="9.36328125" style="1148" bestFit="1" customWidth="1"/>
    <col min="9995" max="9995" width="4" style="1148" customWidth="1"/>
    <col min="9996" max="9996" width="5.08984375" style="1148" customWidth="1"/>
    <col min="9997" max="9997" width="13.7265625" style="1148" customWidth="1"/>
    <col min="9998" max="10240" width="9" style="1148"/>
    <col min="10241" max="10241" width="4.90625" style="1148" customWidth="1"/>
    <col min="10242" max="10242" width="13.26953125" style="1148" customWidth="1"/>
    <col min="10243" max="10243" width="15.6328125" style="1148" customWidth="1"/>
    <col min="10244" max="10244" width="9.36328125" style="1148" bestFit="1" customWidth="1"/>
    <col min="10245" max="10245" width="13.453125" style="1148" customWidth="1"/>
    <col min="10246" max="10246" width="9" style="1148"/>
    <col min="10247" max="10247" width="9.36328125" style="1148" bestFit="1" customWidth="1"/>
    <col min="10248" max="10249" width="9" style="1148"/>
    <col min="10250" max="10250" width="9.36328125" style="1148" bestFit="1" customWidth="1"/>
    <col min="10251" max="10251" width="4" style="1148" customWidth="1"/>
    <col min="10252" max="10252" width="5.08984375" style="1148" customWidth="1"/>
    <col min="10253" max="10253" width="13.7265625" style="1148" customWidth="1"/>
    <col min="10254" max="10496" width="9" style="1148"/>
    <col min="10497" max="10497" width="4.90625" style="1148" customWidth="1"/>
    <col min="10498" max="10498" width="13.26953125" style="1148" customWidth="1"/>
    <col min="10499" max="10499" width="15.6328125" style="1148" customWidth="1"/>
    <col min="10500" max="10500" width="9.36328125" style="1148" bestFit="1" customWidth="1"/>
    <col min="10501" max="10501" width="13.453125" style="1148" customWidth="1"/>
    <col min="10502" max="10502" width="9" style="1148"/>
    <col min="10503" max="10503" width="9.36328125" style="1148" bestFit="1" customWidth="1"/>
    <col min="10504" max="10505" width="9" style="1148"/>
    <col min="10506" max="10506" width="9.36328125" style="1148" bestFit="1" customWidth="1"/>
    <col min="10507" max="10507" width="4" style="1148" customWidth="1"/>
    <col min="10508" max="10508" width="5.08984375" style="1148" customWidth="1"/>
    <col min="10509" max="10509" width="13.7265625" style="1148" customWidth="1"/>
    <col min="10510" max="10752" width="9" style="1148"/>
    <col min="10753" max="10753" width="4.90625" style="1148" customWidth="1"/>
    <col min="10754" max="10754" width="13.26953125" style="1148" customWidth="1"/>
    <col min="10755" max="10755" width="15.6328125" style="1148" customWidth="1"/>
    <col min="10756" max="10756" width="9.36328125" style="1148" bestFit="1" customWidth="1"/>
    <col min="10757" max="10757" width="13.453125" style="1148" customWidth="1"/>
    <col min="10758" max="10758" width="9" style="1148"/>
    <col min="10759" max="10759" width="9.36328125" style="1148" bestFit="1" customWidth="1"/>
    <col min="10760" max="10761" width="9" style="1148"/>
    <col min="10762" max="10762" width="9.36328125" style="1148" bestFit="1" customWidth="1"/>
    <col min="10763" max="10763" width="4" style="1148" customWidth="1"/>
    <col min="10764" max="10764" width="5.08984375" style="1148" customWidth="1"/>
    <col min="10765" max="10765" width="13.7265625" style="1148" customWidth="1"/>
    <col min="10766" max="11008" width="9" style="1148"/>
    <col min="11009" max="11009" width="4.90625" style="1148" customWidth="1"/>
    <col min="11010" max="11010" width="13.26953125" style="1148" customWidth="1"/>
    <col min="11011" max="11011" width="15.6328125" style="1148" customWidth="1"/>
    <col min="11012" max="11012" width="9.36328125" style="1148" bestFit="1" customWidth="1"/>
    <col min="11013" max="11013" width="13.453125" style="1148" customWidth="1"/>
    <col min="11014" max="11014" width="9" style="1148"/>
    <col min="11015" max="11015" width="9.36328125" style="1148" bestFit="1" customWidth="1"/>
    <col min="11016" max="11017" width="9" style="1148"/>
    <col min="11018" max="11018" width="9.36328125" style="1148" bestFit="1" customWidth="1"/>
    <col min="11019" max="11019" width="4" style="1148" customWidth="1"/>
    <col min="11020" max="11020" width="5.08984375" style="1148" customWidth="1"/>
    <col min="11021" max="11021" width="13.7265625" style="1148" customWidth="1"/>
    <col min="11022" max="11264" width="9" style="1148"/>
    <col min="11265" max="11265" width="4.90625" style="1148" customWidth="1"/>
    <col min="11266" max="11266" width="13.26953125" style="1148" customWidth="1"/>
    <col min="11267" max="11267" width="15.6328125" style="1148" customWidth="1"/>
    <col min="11268" max="11268" width="9.36328125" style="1148" bestFit="1" customWidth="1"/>
    <col min="11269" max="11269" width="13.453125" style="1148" customWidth="1"/>
    <col min="11270" max="11270" width="9" style="1148"/>
    <col min="11271" max="11271" width="9.36328125" style="1148" bestFit="1" customWidth="1"/>
    <col min="11272" max="11273" width="9" style="1148"/>
    <col min="11274" max="11274" width="9.36328125" style="1148" bestFit="1" customWidth="1"/>
    <col min="11275" max="11275" width="4" style="1148" customWidth="1"/>
    <col min="11276" max="11276" width="5.08984375" style="1148" customWidth="1"/>
    <col min="11277" max="11277" width="13.7265625" style="1148" customWidth="1"/>
    <col min="11278" max="11520" width="9" style="1148"/>
    <col min="11521" max="11521" width="4.90625" style="1148" customWidth="1"/>
    <col min="11522" max="11522" width="13.26953125" style="1148" customWidth="1"/>
    <col min="11523" max="11523" width="15.6328125" style="1148" customWidth="1"/>
    <col min="11524" max="11524" width="9.36328125" style="1148" bestFit="1" customWidth="1"/>
    <col min="11525" max="11525" width="13.453125" style="1148" customWidth="1"/>
    <col min="11526" max="11526" width="9" style="1148"/>
    <col min="11527" max="11527" width="9.36328125" style="1148" bestFit="1" customWidth="1"/>
    <col min="11528" max="11529" width="9" style="1148"/>
    <col min="11530" max="11530" width="9.36328125" style="1148" bestFit="1" customWidth="1"/>
    <col min="11531" max="11531" width="4" style="1148" customWidth="1"/>
    <col min="11532" max="11532" width="5.08984375" style="1148" customWidth="1"/>
    <col min="11533" max="11533" width="13.7265625" style="1148" customWidth="1"/>
    <col min="11534" max="11776" width="9" style="1148"/>
    <col min="11777" max="11777" width="4.90625" style="1148" customWidth="1"/>
    <col min="11778" max="11778" width="13.26953125" style="1148" customWidth="1"/>
    <col min="11779" max="11779" width="15.6328125" style="1148" customWidth="1"/>
    <col min="11780" max="11780" width="9.36328125" style="1148" bestFit="1" customWidth="1"/>
    <col min="11781" max="11781" width="13.453125" style="1148" customWidth="1"/>
    <col min="11782" max="11782" width="9" style="1148"/>
    <col min="11783" max="11783" width="9.36328125" style="1148" bestFit="1" customWidth="1"/>
    <col min="11784" max="11785" width="9" style="1148"/>
    <col min="11786" max="11786" width="9.36328125" style="1148" bestFit="1" customWidth="1"/>
    <col min="11787" max="11787" width="4" style="1148" customWidth="1"/>
    <col min="11788" max="11788" width="5.08984375" style="1148" customWidth="1"/>
    <col min="11789" max="11789" width="13.7265625" style="1148" customWidth="1"/>
    <col min="11790" max="12032" width="9" style="1148"/>
    <col min="12033" max="12033" width="4.90625" style="1148" customWidth="1"/>
    <col min="12034" max="12034" width="13.26953125" style="1148" customWidth="1"/>
    <col min="12035" max="12035" width="15.6328125" style="1148" customWidth="1"/>
    <col min="12036" max="12036" width="9.36328125" style="1148" bestFit="1" customWidth="1"/>
    <col min="12037" max="12037" width="13.453125" style="1148" customWidth="1"/>
    <col min="12038" max="12038" width="9" style="1148"/>
    <col min="12039" max="12039" width="9.36328125" style="1148" bestFit="1" customWidth="1"/>
    <col min="12040" max="12041" width="9" style="1148"/>
    <col min="12042" max="12042" width="9.36328125" style="1148" bestFit="1" customWidth="1"/>
    <col min="12043" max="12043" width="4" style="1148" customWidth="1"/>
    <col min="12044" max="12044" width="5.08984375" style="1148" customWidth="1"/>
    <col min="12045" max="12045" width="13.7265625" style="1148" customWidth="1"/>
    <col min="12046" max="12288" width="9" style="1148"/>
    <col min="12289" max="12289" width="4.90625" style="1148" customWidth="1"/>
    <col min="12290" max="12290" width="13.26953125" style="1148" customWidth="1"/>
    <col min="12291" max="12291" width="15.6328125" style="1148" customWidth="1"/>
    <col min="12292" max="12292" width="9.36328125" style="1148" bestFit="1" customWidth="1"/>
    <col min="12293" max="12293" width="13.453125" style="1148" customWidth="1"/>
    <col min="12294" max="12294" width="9" style="1148"/>
    <col min="12295" max="12295" width="9.36328125" style="1148" bestFit="1" customWidth="1"/>
    <col min="12296" max="12297" width="9" style="1148"/>
    <col min="12298" max="12298" width="9.36328125" style="1148" bestFit="1" customWidth="1"/>
    <col min="12299" max="12299" width="4" style="1148" customWidth="1"/>
    <col min="12300" max="12300" width="5.08984375" style="1148" customWidth="1"/>
    <col min="12301" max="12301" width="13.7265625" style="1148" customWidth="1"/>
    <col min="12302" max="12544" width="9" style="1148"/>
    <col min="12545" max="12545" width="4.90625" style="1148" customWidth="1"/>
    <col min="12546" max="12546" width="13.26953125" style="1148" customWidth="1"/>
    <col min="12547" max="12547" width="15.6328125" style="1148" customWidth="1"/>
    <col min="12548" max="12548" width="9.36328125" style="1148" bestFit="1" customWidth="1"/>
    <col min="12549" max="12549" width="13.453125" style="1148" customWidth="1"/>
    <col min="12550" max="12550" width="9" style="1148"/>
    <col min="12551" max="12551" width="9.36328125" style="1148" bestFit="1" customWidth="1"/>
    <col min="12552" max="12553" width="9" style="1148"/>
    <col min="12554" max="12554" width="9.36328125" style="1148" bestFit="1" customWidth="1"/>
    <col min="12555" max="12555" width="4" style="1148" customWidth="1"/>
    <col min="12556" max="12556" width="5.08984375" style="1148" customWidth="1"/>
    <col min="12557" max="12557" width="13.7265625" style="1148" customWidth="1"/>
    <col min="12558" max="12800" width="9" style="1148"/>
    <col min="12801" max="12801" width="4.90625" style="1148" customWidth="1"/>
    <col min="12802" max="12802" width="13.26953125" style="1148" customWidth="1"/>
    <col min="12803" max="12803" width="15.6328125" style="1148" customWidth="1"/>
    <col min="12804" max="12804" width="9.36328125" style="1148" bestFit="1" customWidth="1"/>
    <col min="12805" max="12805" width="13.453125" style="1148" customWidth="1"/>
    <col min="12806" max="12806" width="9" style="1148"/>
    <col min="12807" max="12807" width="9.36328125" style="1148" bestFit="1" customWidth="1"/>
    <col min="12808" max="12809" width="9" style="1148"/>
    <col min="12810" max="12810" width="9.36328125" style="1148" bestFit="1" customWidth="1"/>
    <col min="12811" max="12811" width="4" style="1148" customWidth="1"/>
    <col min="12812" max="12812" width="5.08984375" style="1148" customWidth="1"/>
    <col min="12813" max="12813" width="13.7265625" style="1148" customWidth="1"/>
    <col min="12814" max="13056" width="9" style="1148"/>
    <col min="13057" max="13057" width="4.90625" style="1148" customWidth="1"/>
    <col min="13058" max="13058" width="13.26953125" style="1148" customWidth="1"/>
    <col min="13059" max="13059" width="15.6328125" style="1148" customWidth="1"/>
    <col min="13060" max="13060" width="9.36328125" style="1148" bestFit="1" customWidth="1"/>
    <col min="13061" max="13061" width="13.453125" style="1148" customWidth="1"/>
    <col min="13062" max="13062" width="9" style="1148"/>
    <col min="13063" max="13063" width="9.36328125" style="1148" bestFit="1" customWidth="1"/>
    <col min="13064" max="13065" width="9" style="1148"/>
    <col min="13066" max="13066" width="9.36328125" style="1148" bestFit="1" customWidth="1"/>
    <col min="13067" max="13067" width="4" style="1148" customWidth="1"/>
    <col min="13068" max="13068" width="5.08984375" style="1148" customWidth="1"/>
    <col min="13069" max="13069" width="13.7265625" style="1148" customWidth="1"/>
    <col min="13070" max="13312" width="9" style="1148"/>
    <col min="13313" max="13313" width="4.90625" style="1148" customWidth="1"/>
    <col min="13314" max="13314" width="13.26953125" style="1148" customWidth="1"/>
    <col min="13315" max="13315" width="15.6328125" style="1148" customWidth="1"/>
    <col min="13316" max="13316" width="9.36328125" style="1148" bestFit="1" customWidth="1"/>
    <col min="13317" max="13317" width="13.453125" style="1148" customWidth="1"/>
    <col min="13318" max="13318" width="9" style="1148"/>
    <col min="13319" max="13319" width="9.36328125" style="1148" bestFit="1" customWidth="1"/>
    <col min="13320" max="13321" width="9" style="1148"/>
    <col min="13322" max="13322" width="9.36328125" style="1148" bestFit="1" customWidth="1"/>
    <col min="13323" max="13323" width="4" style="1148" customWidth="1"/>
    <col min="13324" max="13324" width="5.08984375" style="1148" customWidth="1"/>
    <col min="13325" max="13325" width="13.7265625" style="1148" customWidth="1"/>
    <col min="13326" max="13568" width="9" style="1148"/>
    <col min="13569" max="13569" width="4.90625" style="1148" customWidth="1"/>
    <col min="13570" max="13570" width="13.26953125" style="1148" customWidth="1"/>
    <col min="13571" max="13571" width="15.6328125" style="1148" customWidth="1"/>
    <col min="13572" max="13572" width="9.36328125" style="1148" bestFit="1" customWidth="1"/>
    <col min="13573" max="13573" width="13.453125" style="1148" customWidth="1"/>
    <col min="13574" max="13574" width="9" style="1148"/>
    <col min="13575" max="13575" width="9.36328125" style="1148" bestFit="1" customWidth="1"/>
    <col min="13576" max="13577" width="9" style="1148"/>
    <col min="13578" max="13578" width="9.36328125" style="1148" bestFit="1" customWidth="1"/>
    <col min="13579" max="13579" width="4" style="1148" customWidth="1"/>
    <col min="13580" max="13580" width="5.08984375" style="1148" customWidth="1"/>
    <col min="13581" max="13581" width="13.7265625" style="1148" customWidth="1"/>
    <col min="13582" max="13824" width="9" style="1148"/>
    <col min="13825" max="13825" width="4.90625" style="1148" customWidth="1"/>
    <col min="13826" max="13826" width="13.26953125" style="1148" customWidth="1"/>
    <col min="13827" max="13827" width="15.6328125" style="1148" customWidth="1"/>
    <col min="13828" max="13828" width="9.36328125" style="1148" bestFit="1" customWidth="1"/>
    <col min="13829" max="13829" width="13.453125" style="1148" customWidth="1"/>
    <col min="13830" max="13830" width="9" style="1148"/>
    <col min="13831" max="13831" width="9.36328125" style="1148" bestFit="1" customWidth="1"/>
    <col min="13832" max="13833" width="9" style="1148"/>
    <col min="13834" max="13834" width="9.36328125" style="1148" bestFit="1" customWidth="1"/>
    <col min="13835" max="13835" width="4" style="1148" customWidth="1"/>
    <col min="13836" max="13836" width="5.08984375" style="1148" customWidth="1"/>
    <col min="13837" max="13837" width="13.7265625" style="1148" customWidth="1"/>
    <col min="13838" max="14080" width="9" style="1148"/>
    <col min="14081" max="14081" width="4.90625" style="1148" customWidth="1"/>
    <col min="14082" max="14082" width="13.26953125" style="1148" customWidth="1"/>
    <col min="14083" max="14083" width="15.6328125" style="1148" customWidth="1"/>
    <col min="14084" max="14084" width="9.36328125" style="1148" bestFit="1" customWidth="1"/>
    <col min="14085" max="14085" width="13.453125" style="1148" customWidth="1"/>
    <col min="14086" max="14086" width="9" style="1148"/>
    <col min="14087" max="14087" width="9.36328125" style="1148" bestFit="1" customWidth="1"/>
    <col min="14088" max="14089" width="9" style="1148"/>
    <col min="14090" max="14090" width="9.36328125" style="1148" bestFit="1" customWidth="1"/>
    <col min="14091" max="14091" width="4" style="1148" customWidth="1"/>
    <col min="14092" max="14092" width="5.08984375" style="1148" customWidth="1"/>
    <col min="14093" max="14093" width="13.7265625" style="1148" customWidth="1"/>
    <col min="14094" max="14336" width="9" style="1148"/>
    <col min="14337" max="14337" width="4.90625" style="1148" customWidth="1"/>
    <col min="14338" max="14338" width="13.26953125" style="1148" customWidth="1"/>
    <col min="14339" max="14339" width="15.6328125" style="1148" customWidth="1"/>
    <col min="14340" max="14340" width="9.36328125" style="1148" bestFit="1" customWidth="1"/>
    <col min="14341" max="14341" width="13.453125" style="1148" customWidth="1"/>
    <col min="14342" max="14342" width="9" style="1148"/>
    <col min="14343" max="14343" width="9.36328125" style="1148" bestFit="1" customWidth="1"/>
    <col min="14344" max="14345" width="9" style="1148"/>
    <col min="14346" max="14346" width="9.36328125" style="1148" bestFit="1" customWidth="1"/>
    <col min="14347" max="14347" width="4" style="1148" customWidth="1"/>
    <col min="14348" max="14348" width="5.08984375" style="1148" customWidth="1"/>
    <col min="14349" max="14349" width="13.7265625" style="1148" customWidth="1"/>
    <col min="14350" max="14592" width="9" style="1148"/>
    <col min="14593" max="14593" width="4.90625" style="1148" customWidth="1"/>
    <col min="14594" max="14594" width="13.26953125" style="1148" customWidth="1"/>
    <col min="14595" max="14595" width="15.6328125" style="1148" customWidth="1"/>
    <col min="14596" max="14596" width="9.36328125" style="1148" bestFit="1" customWidth="1"/>
    <col min="14597" max="14597" width="13.453125" style="1148" customWidth="1"/>
    <col min="14598" max="14598" width="9" style="1148"/>
    <col min="14599" max="14599" width="9.36328125" style="1148" bestFit="1" customWidth="1"/>
    <col min="14600" max="14601" width="9" style="1148"/>
    <col min="14602" max="14602" width="9.36328125" style="1148" bestFit="1" customWidth="1"/>
    <col min="14603" max="14603" width="4" style="1148" customWidth="1"/>
    <col min="14604" max="14604" width="5.08984375" style="1148" customWidth="1"/>
    <col min="14605" max="14605" width="13.7265625" style="1148" customWidth="1"/>
    <col min="14606" max="14848" width="9" style="1148"/>
    <col min="14849" max="14849" width="4.90625" style="1148" customWidth="1"/>
    <col min="14850" max="14850" width="13.26953125" style="1148" customWidth="1"/>
    <col min="14851" max="14851" width="15.6328125" style="1148" customWidth="1"/>
    <col min="14852" max="14852" width="9.36328125" style="1148" bestFit="1" customWidth="1"/>
    <col min="14853" max="14853" width="13.453125" style="1148" customWidth="1"/>
    <col min="14854" max="14854" width="9" style="1148"/>
    <col min="14855" max="14855" width="9.36328125" style="1148" bestFit="1" customWidth="1"/>
    <col min="14856" max="14857" width="9" style="1148"/>
    <col min="14858" max="14858" width="9.36328125" style="1148" bestFit="1" customWidth="1"/>
    <col min="14859" max="14859" width="4" style="1148" customWidth="1"/>
    <col min="14860" max="14860" width="5.08984375" style="1148" customWidth="1"/>
    <col min="14861" max="14861" width="13.7265625" style="1148" customWidth="1"/>
    <col min="14862" max="15104" width="9" style="1148"/>
    <col min="15105" max="15105" width="4.90625" style="1148" customWidth="1"/>
    <col min="15106" max="15106" width="13.26953125" style="1148" customWidth="1"/>
    <col min="15107" max="15107" width="15.6328125" style="1148" customWidth="1"/>
    <col min="15108" max="15108" width="9.36328125" style="1148" bestFit="1" customWidth="1"/>
    <col min="15109" max="15109" width="13.453125" style="1148" customWidth="1"/>
    <col min="15110" max="15110" width="9" style="1148"/>
    <col min="15111" max="15111" width="9.36328125" style="1148" bestFit="1" customWidth="1"/>
    <col min="15112" max="15113" width="9" style="1148"/>
    <col min="15114" max="15114" width="9.36328125" style="1148" bestFit="1" customWidth="1"/>
    <col min="15115" max="15115" width="4" style="1148" customWidth="1"/>
    <col min="15116" max="15116" width="5.08984375" style="1148" customWidth="1"/>
    <col min="15117" max="15117" width="13.7265625" style="1148" customWidth="1"/>
    <col min="15118" max="15360" width="9" style="1148"/>
    <col min="15361" max="15361" width="4.90625" style="1148" customWidth="1"/>
    <col min="15362" max="15362" width="13.26953125" style="1148" customWidth="1"/>
    <col min="15363" max="15363" width="15.6328125" style="1148" customWidth="1"/>
    <col min="15364" max="15364" width="9.36328125" style="1148" bestFit="1" customWidth="1"/>
    <col min="15365" max="15365" width="13.453125" style="1148" customWidth="1"/>
    <col min="15366" max="15366" width="9" style="1148"/>
    <col min="15367" max="15367" width="9.36328125" style="1148" bestFit="1" customWidth="1"/>
    <col min="15368" max="15369" width="9" style="1148"/>
    <col min="15370" max="15370" width="9.36328125" style="1148" bestFit="1" customWidth="1"/>
    <col min="15371" max="15371" width="4" style="1148" customWidth="1"/>
    <col min="15372" max="15372" width="5.08984375" style="1148" customWidth="1"/>
    <col min="15373" max="15373" width="13.7265625" style="1148" customWidth="1"/>
    <col min="15374" max="15616" width="9" style="1148"/>
    <col min="15617" max="15617" width="4.90625" style="1148" customWidth="1"/>
    <col min="15618" max="15618" width="13.26953125" style="1148" customWidth="1"/>
    <col min="15619" max="15619" width="15.6328125" style="1148" customWidth="1"/>
    <col min="15620" max="15620" width="9.36328125" style="1148" bestFit="1" customWidth="1"/>
    <col min="15621" max="15621" width="13.453125" style="1148" customWidth="1"/>
    <col min="15622" max="15622" width="9" style="1148"/>
    <col min="15623" max="15623" width="9.36328125" style="1148" bestFit="1" customWidth="1"/>
    <col min="15624" max="15625" width="9" style="1148"/>
    <col min="15626" max="15626" width="9.36328125" style="1148" bestFit="1" customWidth="1"/>
    <col min="15627" max="15627" width="4" style="1148" customWidth="1"/>
    <col min="15628" max="15628" width="5.08984375" style="1148" customWidth="1"/>
    <col min="15629" max="15629" width="13.7265625" style="1148" customWidth="1"/>
    <col min="15630" max="15872" width="9" style="1148"/>
    <col min="15873" max="15873" width="4.90625" style="1148" customWidth="1"/>
    <col min="15874" max="15874" width="13.26953125" style="1148" customWidth="1"/>
    <col min="15875" max="15875" width="15.6328125" style="1148" customWidth="1"/>
    <col min="15876" max="15876" width="9.36328125" style="1148" bestFit="1" customWidth="1"/>
    <col min="15877" max="15877" width="13.453125" style="1148" customWidth="1"/>
    <col min="15878" max="15878" width="9" style="1148"/>
    <col min="15879" max="15879" width="9.36328125" style="1148" bestFit="1" customWidth="1"/>
    <col min="15880" max="15881" width="9" style="1148"/>
    <col min="15882" max="15882" width="9.36328125" style="1148" bestFit="1" customWidth="1"/>
    <col min="15883" max="15883" width="4" style="1148" customWidth="1"/>
    <col min="15884" max="15884" width="5.08984375" style="1148" customWidth="1"/>
    <col min="15885" max="15885" width="13.7265625" style="1148" customWidth="1"/>
    <col min="15886" max="16128" width="9" style="1148"/>
    <col min="16129" max="16129" width="4.90625" style="1148" customWidth="1"/>
    <col min="16130" max="16130" width="13.26953125" style="1148" customWidth="1"/>
    <col min="16131" max="16131" width="15.6328125" style="1148" customWidth="1"/>
    <col min="16132" max="16132" width="9.36328125" style="1148" bestFit="1" customWidth="1"/>
    <col min="16133" max="16133" width="13.453125" style="1148" customWidth="1"/>
    <col min="16134" max="16134" width="9" style="1148"/>
    <col min="16135" max="16135" width="9.36328125" style="1148" bestFit="1" customWidth="1"/>
    <col min="16136" max="16137" width="9" style="1148"/>
    <col min="16138" max="16138" width="9.36328125" style="1148" bestFit="1" customWidth="1"/>
    <col min="16139" max="16139" width="4" style="1148" customWidth="1"/>
    <col min="16140" max="16140" width="5.08984375" style="1148" customWidth="1"/>
    <col min="16141" max="16141" width="13.7265625" style="1148" customWidth="1"/>
    <col min="16142" max="16384" width="9" style="1148"/>
  </cols>
  <sheetData>
    <row r="1" spans="1:257" s="1208" customFormat="1" ht="14.5" thickBot="1">
      <c r="A1" s="1202"/>
      <c r="B1" s="1209" t="s">
        <v>602</v>
      </c>
      <c r="C1" s="1203">
        <f>项目基本情况!D3</f>
        <v>45238</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1">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3">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0">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6.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34" customWidth="1"/>
    <col min="2" max="9" width="12.08984375" style="634" customWidth="1"/>
    <col min="10" max="16384" width="9" style="634"/>
  </cols>
  <sheetData>
    <row r="1" spans="1:9" ht="18.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6">
      <c r="A3" s="3182"/>
      <c r="B3" s="3182"/>
      <c r="C3" s="3182"/>
      <c r="D3" s="794" t="s">
        <v>925</v>
      </c>
      <c r="E3" s="794" t="s">
        <v>931</v>
      </c>
      <c r="F3" s="794" t="s">
        <v>925</v>
      </c>
      <c r="G3" s="794" t="s">
        <v>926</v>
      </c>
      <c r="H3" s="794" t="s">
        <v>925</v>
      </c>
      <c r="I3" s="794" t="s">
        <v>926</v>
      </c>
    </row>
    <row r="4" spans="1:9" ht="15.5">
      <c r="A4" s="1395" t="str">
        <f>项目基本情况!S2</f>
        <v>北京市房地产</v>
      </c>
      <c r="B4" s="794">
        <f>项目基本情况!C17</f>
        <v>41819.959999999992</v>
      </c>
      <c r="C4" s="794">
        <f>项目基本情况!C18</f>
        <v>0</v>
      </c>
      <c r="D4" s="794">
        <f ca="1">结果表!D118</f>
        <v>11803</v>
      </c>
      <c r="E4" s="794">
        <f ca="1">结果表!E118</f>
        <v>2823</v>
      </c>
      <c r="F4" s="794">
        <f ca="1">结果表!F118</f>
        <v>57629</v>
      </c>
      <c r="G4" s="794">
        <f ca="1">结果表!G118</f>
        <v>13780</v>
      </c>
      <c r="H4" s="794">
        <f ca="1">结果表!H118</f>
        <v>69432</v>
      </c>
      <c r="I4" s="794">
        <f ca="1">结果表!I118</f>
        <v>16603</v>
      </c>
    </row>
    <row r="5" spans="1:9" ht="30" customHeight="1">
      <c r="A5" s="3182" t="s">
        <v>927</v>
      </c>
      <c r="B5" s="3182"/>
      <c r="C5" s="3182"/>
      <c r="D5" s="3182" t="str">
        <f ca="1">结果表!D119</f>
        <v>壹亿壹仟捌佰零叁万元整</v>
      </c>
      <c r="E5" s="3182"/>
      <c r="F5" s="3182" t="str">
        <f ca="1">结果表!F119</f>
        <v>伍亿柒仟陆佰贰拾玖万元整</v>
      </c>
      <c r="G5" s="3182"/>
      <c r="H5" s="3182" t="str">
        <f ca="1">结果表!H119</f>
        <v>陆亿玖仟肆佰叁拾贰万元整</v>
      </c>
      <c r="I5" s="3182"/>
    </row>
    <row r="6" spans="1:9" ht="15.5">
      <c r="A6" s="3183" t="str">
        <f>结果表!A120</f>
        <v>估价师知悉的法定优先受偿款</v>
      </c>
      <c r="B6" s="3183"/>
      <c r="C6" s="3183"/>
      <c r="D6" s="3183">
        <f>结果表!D120</f>
        <v>0</v>
      </c>
      <c r="E6" s="3183"/>
      <c r="F6" s="3183"/>
      <c r="G6" s="3183"/>
      <c r="H6" s="3183"/>
      <c r="I6" s="3183"/>
    </row>
    <row r="7" spans="1:9" ht="15.5">
      <c r="A7" s="3182" t="s">
        <v>927</v>
      </c>
      <c r="B7" s="3182"/>
      <c r="C7" s="3182"/>
      <c r="D7" s="3184" t="str">
        <f>结果表!D121</f>
        <v>零元整</v>
      </c>
      <c r="E7" s="3185"/>
      <c r="F7" s="3185"/>
      <c r="G7" s="3185"/>
      <c r="H7" s="3185"/>
      <c r="I7" s="3186"/>
    </row>
    <row r="8" spans="1:9" ht="15.5">
      <c r="A8" s="3183" t="str">
        <f>结果表!A122</f>
        <v>房地产抵押价值</v>
      </c>
      <c r="B8" s="3183"/>
      <c r="C8" s="3183"/>
      <c r="D8" s="3183">
        <f ca="1">结果表!D122</f>
        <v>69432</v>
      </c>
      <c r="E8" s="3183"/>
      <c r="F8" s="3183"/>
      <c r="G8" s="3183"/>
      <c r="H8" s="3183"/>
      <c r="I8" s="3183"/>
    </row>
    <row r="9" spans="1:9" ht="15.5">
      <c r="A9" s="3182" t="s">
        <v>927</v>
      </c>
      <c r="B9" s="3182"/>
      <c r="C9" s="3182"/>
      <c r="D9" s="3182" t="str">
        <f ca="1">结果表!D123</f>
        <v>陆亿玖仟肆佰叁拾贰万元整</v>
      </c>
      <c r="E9" s="3182"/>
      <c r="F9" s="3182"/>
      <c r="G9" s="3182"/>
      <c r="H9" s="3182"/>
      <c r="I9" s="3182"/>
    </row>
    <row r="10" spans="1:9" ht="15.5">
      <c r="A10" s="3183" t="str">
        <f>结果表!A124</f>
        <v/>
      </c>
      <c r="B10" s="3183"/>
      <c r="C10" s="3183"/>
      <c r="D10" s="3183" t="str">
        <f>结果表!D124</f>
        <v>——</v>
      </c>
      <c r="E10" s="3183"/>
      <c r="F10" s="3183"/>
      <c r="G10" s="3183"/>
      <c r="H10" s="3183"/>
      <c r="I10" s="3183"/>
    </row>
    <row r="11" spans="1:9" ht="15.5">
      <c r="A11" s="3182" t="s">
        <v>927</v>
      </c>
      <c r="B11" s="3182"/>
      <c r="C11" s="3182"/>
      <c r="D11" s="3182" t="e">
        <f>结果表!D125</f>
        <v>#VALUE!</v>
      </c>
      <c r="E11" s="3182"/>
      <c r="F11" s="3182"/>
      <c r="G11" s="3182"/>
      <c r="H11" s="3182"/>
      <c r="I11" s="3182"/>
    </row>
    <row r="12" spans="1:9" ht="15.5">
      <c r="A12" s="3183" t="str">
        <f>结果表!A126</f>
        <v/>
      </c>
      <c r="B12" s="3183"/>
      <c r="C12" s="3183"/>
      <c r="D12" s="3183" t="str">
        <f>结果表!D126</f>
        <v>——</v>
      </c>
      <c r="E12" s="3183"/>
      <c r="F12" s="3183"/>
      <c r="G12" s="3183"/>
      <c r="H12" s="3183"/>
      <c r="I12" s="3183"/>
    </row>
    <row r="13" spans="1:9" ht="16" thickBot="1">
      <c r="A13" s="3187" t="s">
        <v>927</v>
      </c>
      <c r="B13" s="3187"/>
      <c r="C13" s="3187"/>
      <c r="D13" s="3187" t="e">
        <f>结果表!D127</f>
        <v>#VALUE!</v>
      </c>
      <c r="E13" s="3187"/>
      <c r="F13" s="3187"/>
      <c r="G13" s="3187"/>
      <c r="H13" s="3187"/>
      <c r="I13" s="3187"/>
    </row>
    <row r="14" spans="1:9" ht="14.5" thickTop="1">
      <c r="A14" s="3188" t="s">
        <v>932</v>
      </c>
      <c r="B14" s="3188"/>
      <c r="C14" s="3188"/>
      <c r="D14" s="3188"/>
      <c r="E14" s="3188"/>
      <c r="F14" s="3188"/>
      <c r="G14" s="3188"/>
      <c r="H14" s="3188"/>
      <c r="I14" s="3188"/>
    </row>
    <row r="16" spans="1:9" ht="1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34" customWidth="1"/>
    <col min="2" max="3" width="22.36328125" style="634" customWidth="1"/>
    <col min="4" max="4" width="23" style="634" customWidth="1"/>
    <col min="5" max="16384" width="9" style="634"/>
  </cols>
  <sheetData>
    <row r="1" spans="1:4" ht="18">
      <c r="A1" s="3189" t="s">
        <v>949</v>
      </c>
      <c r="B1" s="3189"/>
      <c r="C1" s="3189"/>
      <c r="D1" s="3189"/>
    </row>
    <row r="2" spans="1:4" ht="18">
      <c r="A2" s="3190" t="s">
        <v>933</v>
      </c>
      <c r="B2" s="3190"/>
      <c r="C2" s="3190"/>
      <c r="D2" s="3190"/>
    </row>
    <row r="3" spans="1:4" ht="17.5">
      <c r="A3" s="1399" t="s">
        <v>934</v>
      </c>
      <c r="B3" s="1399" t="s">
        <v>935</v>
      </c>
      <c r="C3" s="1399" t="s">
        <v>936</v>
      </c>
      <c r="D3" s="1399" t="s">
        <v>937</v>
      </c>
    </row>
    <row r="4" spans="1:4" ht="56.25" customHeight="1">
      <c r="A4" s="1400">
        <f>项目基本情况!B4</f>
        <v>0</v>
      </c>
      <c r="B4" s="1401">
        <f>项目基本情况!C4</f>
        <v>0</v>
      </c>
      <c r="C4" s="1402"/>
      <c r="D4" s="1403" t="s">
        <v>938</v>
      </c>
    </row>
    <row r="5" spans="1:4" ht="56.25" customHeight="1">
      <c r="A5" s="1400">
        <f>项目基本情况!D4</f>
        <v>0</v>
      </c>
      <c r="B5" s="1401">
        <f>项目基本情况!E4</f>
        <v>0</v>
      </c>
      <c r="C5" s="1404"/>
      <c r="D5" s="1403" t="s">
        <v>938</v>
      </c>
    </row>
    <row r="6" spans="1:4" ht="18">
      <c r="A6" s="3190" t="s">
        <v>939</v>
      </c>
      <c r="B6" s="3190"/>
      <c r="C6" s="3190"/>
      <c r="D6" s="3190"/>
    </row>
    <row r="7" spans="1:4" ht="17.5">
      <c r="A7" s="1399" t="s">
        <v>934</v>
      </c>
      <c r="B7" s="1401" t="s">
        <v>940</v>
      </c>
      <c r="C7" s="1399" t="s">
        <v>936</v>
      </c>
      <c r="D7" s="1399" t="s">
        <v>937</v>
      </c>
    </row>
    <row r="8" spans="1:4" ht="56.25" customHeight="1">
      <c r="A8" s="1405" t="s">
        <v>390</v>
      </c>
      <c r="B8" s="1405" t="s">
        <v>0</v>
      </c>
      <c r="C8" s="1402"/>
      <c r="D8" s="1403" t="s">
        <v>938</v>
      </c>
    </row>
    <row r="10" spans="1:4" ht="18">
      <c r="A10" s="1406" t="s">
        <v>941</v>
      </c>
    </row>
    <row r="11" spans="1:4" ht="30" customHeight="1">
      <c r="A11" s="3191" t="s">
        <v>942</v>
      </c>
      <c r="B11" s="3192"/>
      <c r="C11" s="3192"/>
      <c r="D11" s="3192"/>
    </row>
    <row r="12" spans="1:4" ht="15.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07"/>
      <c r="B23" s="453"/>
      <c r="C23" s="453"/>
      <c r="D23" s="453"/>
    </row>
    <row r="24" spans="1:4">
      <c r="A24" s="1407"/>
      <c r="B24" s="453"/>
      <c r="C24" s="453"/>
      <c r="D24" s="453"/>
    </row>
    <row r="25" spans="1:4" ht="17.5">
      <c r="A25" s="1408" t="s">
        <v>946</v>
      </c>
    </row>
    <row r="26" spans="1:4" ht="17.5">
      <c r="A26" s="1379"/>
    </row>
    <row r="27" spans="1:4" ht="17.5">
      <c r="A27" s="1379" t="s">
        <v>947</v>
      </c>
    </row>
    <row r="30" spans="1:4" ht="17.5">
      <c r="D30" s="1408"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1" customWidth="1"/>
    <col min="3" max="10" width="12.453125" style="1371" customWidth="1"/>
    <col min="11" max="16384" width="9" style="1371"/>
  </cols>
  <sheetData>
    <row r="1" spans="1:1" ht="17.5">
      <c r="A1" s="1398" t="s">
        <v>391</v>
      </c>
    </row>
    <row r="2" spans="1:1" ht="1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14" customWidth="1"/>
    <col min="2" max="16384" width="14.453125" style="1397"/>
  </cols>
  <sheetData>
    <row r="1" spans="1:7" s="1411" customFormat="1" ht="1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4">
      <c r="A15" s="3203" t="s">
        <v>956</v>
      </c>
      <c r="B15" s="3198" t="s">
        <v>109</v>
      </c>
      <c r="C15" s="3199"/>
    </row>
    <row r="16" spans="1:7" ht="14">
      <c r="A16" s="3204"/>
      <c r="B16" s="3198" t="s">
        <v>42</v>
      </c>
      <c r="C16" s="3199"/>
    </row>
    <row r="17" spans="1:3" ht="14">
      <c r="A17" s="3204"/>
      <c r="B17" s="3201" t="s">
        <v>957</v>
      </c>
      <c r="C17" s="1421" t="s">
        <v>956</v>
      </c>
    </row>
    <row r="18" spans="1:3" ht="14">
      <c r="A18" s="3204"/>
      <c r="B18" s="3201"/>
      <c r="C18" s="1421" t="s">
        <v>958</v>
      </c>
    </row>
    <row r="19" spans="1:3" ht="14">
      <c r="A19" s="3204"/>
      <c r="B19" s="3201"/>
      <c r="C19" s="1421" t="s">
        <v>959</v>
      </c>
    </row>
    <row r="20" spans="1:3" ht="14">
      <c r="A20" s="3205"/>
      <c r="B20" s="3200" t="s">
        <v>960</v>
      </c>
      <c r="C20" s="3199"/>
    </row>
    <row r="21" spans="1:3" ht="14">
      <c r="A21" s="1422" t="s">
        <v>961</v>
      </c>
      <c r="B21" s="1423"/>
      <c r="C21" s="1424"/>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1" t="s">
        <v>967</v>
      </c>
    </row>
    <row r="26" spans="1:3" ht="14">
      <c r="A26" s="3202"/>
      <c r="B26" s="3201"/>
      <c r="C26" s="1421" t="s">
        <v>968</v>
      </c>
    </row>
    <row r="27" spans="1:3" ht="14">
      <c r="A27" s="3202"/>
      <c r="B27" s="3201"/>
      <c r="C27" s="1421" t="s">
        <v>969</v>
      </c>
    </row>
    <row r="28" spans="1:3" ht="14">
      <c r="A28" s="3202"/>
      <c r="B28" s="3201"/>
      <c r="C28" s="1421" t="s">
        <v>970</v>
      </c>
    </row>
    <row r="29" spans="1:3" ht="14">
      <c r="A29" s="3202"/>
      <c r="B29" s="3201"/>
      <c r="C29" s="1421" t="s">
        <v>971</v>
      </c>
    </row>
    <row r="30" spans="1:3" ht="14">
      <c r="A30" s="3202"/>
      <c r="B30" s="3201"/>
      <c r="C30" s="1421" t="s">
        <v>972</v>
      </c>
    </row>
    <row r="31" spans="1:3" ht="14">
      <c r="A31" s="3202"/>
      <c r="B31" s="3201"/>
      <c r="C31" s="1421" t="s">
        <v>973</v>
      </c>
    </row>
    <row r="32" spans="1:3" ht="14">
      <c r="A32" s="3202"/>
      <c r="B32" s="3201"/>
      <c r="C32" s="1421" t="s">
        <v>974</v>
      </c>
    </row>
    <row r="33" spans="1:3" ht="14">
      <c r="A33" s="3202"/>
      <c r="B33" s="3201"/>
      <c r="C33" s="1421" t="s">
        <v>975</v>
      </c>
    </row>
    <row r="34" spans="1:3">
      <c r="A34" s="1425" t="s">
        <v>49</v>
      </c>
    </row>
    <row r="37" spans="1:3">
      <c r="A37" s="1425" t="s">
        <v>976</v>
      </c>
    </row>
    <row r="38" spans="1:3" ht="14">
      <c r="A38" s="1426" t="s">
        <v>50</v>
      </c>
    </row>
    <row r="39" spans="1:3" ht="14">
      <c r="A39" s="1426" t="s">
        <v>51</v>
      </c>
    </row>
    <row r="40" spans="1:3" ht="14">
      <c r="A40" s="1426" t="s">
        <v>52</v>
      </c>
    </row>
    <row r="41" spans="1:3" ht="14">
      <c r="A41" s="1427" t="s">
        <v>53</v>
      </c>
    </row>
    <row r="42" spans="1:3" ht="14">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46" customWidth="1"/>
    <col min="2" max="2" width="38.6328125" style="2146" customWidth="1"/>
    <col min="3" max="3" width="26" style="2146" customWidth="1"/>
    <col min="4" max="4" width="35" style="2146" hidden="1" customWidth="1"/>
    <col min="5" max="5" width="30.08984375" style="2146" customWidth="1"/>
    <col min="6" max="6" width="35.453125" style="2146" customWidth="1"/>
    <col min="7" max="7" width="31" style="2146" customWidth="1"/>
    <col min="8" max="8" width="37.453125" style="2146" hidden="1" customWidth="1"/>
    <col min="9" max="16384" width="22.6328125" style="2146"/>
  </cols>
  <sheetData>
    <row r="1" spans="1:8" ht="24" customHeight="1">
      <c r="A1" s="2145"/>
      <c r="B1" s="2145"/>
      <c r="C1" s="2145"/>
      <c r="D1" s="2145"/>
      <c r="E1" s="2145"/>
      <c r="F1" s="2145"/>
      <c r="G1" s="2145"/>
      <c r="H1" s="2145"/>
    </row>
    <row r="2" spans="1:8" ht="24" customHeight="1">
      <c r="A2" s="2147" t="s">
        <v>2139</v>
      </c>
      <c r="B2" s="2148">
        <f ca="1">TODAY()</f>
        <v>45258</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f ca="1">IF(C13&lt;B2,"已过期",1120020033)</f>
        <v>1120020033</v>
      </c>
      <c r="C13" s="2153">
        <v>45375</v>
      </c>
      <c r="D13" s="2154" t="str">
        <f t="shared" ca="1" si="0"/>
        <v>刘敬东（注册号：1120020033）</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1"/>
      <c r="E18" s="3208" t="s">
        <v>2162</v>
      </c>
      <c r="F18" s="3207"/>
      <c r="G18" s="3207"/>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2023-11-28T08:29:48Z</dcterms:modified>
</cp:coreProperties>
</file>