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商业" sheetId="33"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 i="43" l="1"/>
  <c r="U2" i="43"/>
  <c r="V2" i="43" s="1"/>
  <c r="U3" i="43"/>
  <c r="V3" i="43" s="1"/>
  <c r="X22" i="1"/>
  <c r="X21" i="1"/>
  <c r="X23" i="1" s="1"/>
  <c r="V27" i="1"/>
  <c r="V22" i="1"/>
  <c r="V23" i="1"/>
  <c r="V21" i="1"/>
  <c r="V20" i="1"/>
  <c r="G24" i="4"/>
  <c r="G23" i="4" l="1"/>
  <c r="AL13" i="3" l="1"/>
  <c r="E104" i="33" l="1"/>
  <c r="F104" i="33"/>
  <c r="G104" i="33"/>
  <c r="D104" i="33"/>
  <c r="D33" i="43"/>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W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H9" i="33"/>
  <c r="U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1" i="43" s="1"/>
  <c r="G2" i="43"/>
  <c r="N21" i="43" s="1"/>
  <c r="P74" i="15"/>
  <c r="Q72" i="15"/>
  <c r="F62" i="15"/>
  <c r="P61" i="15"/>
  <c r="F61" i="15"/>
  <c r="Q59" i="15"/>
  <c r="K59" i="15"/>
  <c r="F59" i="15"/>
  <c r="Q58" i="15"/>
  <c r="J52" i="15"/>
  <c r="Q51" i="15"/>
  <c r="J50" i="15"/>
  <c r="M47" i="15"/>
  <c r="D46" i="15"/>
  <c r="F34" i="15"/>
  <c r="F33" i="15"/>
  <c r="F31" i="15"/>
  <c r="F23" i="15"/>
  <c r="D23"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34" i="11" s="1"/>
  <c r="B23" i="1"/>
  <c r="B22" i="1"/>
  <c r="G27" i="12" s="1"/>
  <c r="N17" i="1"/>
  <c r="J49" i="15" s="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R8" i="1"/>
  <c r="P8" i="1"/>
  <c r="O8" i="1"/>
  <c r="K8" i="1"/>
  <c r="M8" i="1" s="1"/>
  <c r="F8" i="1"/>
  <c r="G8" i="1" s="1"/>
  <c r="E8" i="1"/>
  <c r="D8" i="1"/>
  <c r="B8" i="1"/>
  <c r="A8" i="1"/>
  <c r="AP7" i="1"/>
  <c r="AG7" i="1"/>
  <c r="AE7" i="1"/>
  <c r="S7" i="1"/>
  <c r="R7" i="1"/>
  <c r="P7" i="1"/>
  <c r="O7" i="1"/>
  <c r="K7" i="1"/>
  <c r="M7" i="1" s="1"/>
  <c r="F7" i="1"/>
  <c r="E7" i="1"/>
  <c r="D7" i="1"/>
  <c r="B7" i="1"/>
  <c r="A7" i="1"/>
  <c r="AP6" i="1"/>
  <c r="AG6" i="1"/>
  <c r="P6" i="1"/>
  <c r="O6" i="1"/>
  <c r="D6" i="1"/>
  <c r="B6" i="1"/>
  <c r="E6" i="1" s="1"/>
  <c r="A6" i="1"/>
  <c r="G1" i="67" s="1"/>
  <c r="T4" i="1"/>
  <c r="E32"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T5" i="3" s="1"/>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L13" i="3" s="1"/>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H37" i="43" s="1"/>
  <c r="J5" i="3"/>
  <c r="I5" i="3"/>
  <c r="F19" i="6" s="1"/>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F38" i="67"/>
  <c r="E9" i="76"/>
  <c r="M8" i="67"/>
  <c r="F37" i="67"/>
  <c r="E13" i="76"/>
  <c r="AO9" i="1"/>
  <c r="F26" i="67"/>
  <c r="B9" i="76"/>
  <c r="M26" i="67"/>
  <c r="F42" i="67"/>
  <c r="E7" i="76"/>
  <c r="B12" i="76"/>
  <c r="D2" i="21"/>
  <c r="E12" i="76"/>
  <c r="M28" i="67"/>
  <c r="M27" i="67"/>
  <c r="B10" i="76"/>
  <c r="F8" i="67"/>
  <c r="M23" i="67"/>
  <c r="M22" i="67"/>
  <c r="AO13" i="1"/>
  <c r="AO8" i="1"/>
  <c r="D2" i="36"/>
  <c r="E11" i="76"/>
  <c r="F6" i="67"/>
  <c r="L47" i="67"/>
  <c r="AO7" i="1"/>
  <c r="C76" i="67"/>
  <c r="M9" i="67"/>
  <c r="B7" i="76"/>
  <c r="E10" i="76"/>
  <c r="F36" i="67"/>
  <c r="B11" i="76"/>
  <c r="D2" i="33"/>
  <c r="AO11" i="1"/>
  <c r="B8" i="76"/>
  <c r="F40" i="67"/>
  <c r="D2" i="37"/>
  <c r="E2" i="69"/>
  <c r="B13" i="76"/>
  <c r="M24" i="67"/>
  <c r="J15" i="67"/>
  <c r="D2" i="34"/>
  <c r="F20" i="31"/>
  <c r="M6" i="67"/>
  <c r="D2" i="35"/>
  <c r="AO12" i="1"/>
  <c r="AO10" i="1"/>
  <c r="E2" i="68"/>
  <c r="E8" i="76"/>
  <c r="F9" i="67"/>
  <c r="F16" i="67"/>
  <c r="S28" i="33" l="1"/>
  <c r="U28" i="33"/>
  <c r="W28" i="33"/>
  <c r="D24" i="15"/>
  <c r="D22" i="15"/>
  <c r="G10" i="1"/>
  <c r="G7" i="1"/>
  <c r="AR7" i="1"/>
  <c r="D1" i="43"/>
  <c r="G27" i="6"/>
  <c r="BA14" i="3"/>
  <c r="AZ14" i="3" s="1"/>
  <c r="BH5" i="3"/>
  <c r="BL14" i="3"/>
  <c r="BA13" i="3"/>
  <c r="AZ13" i="3" s="1"/>
  <c r="A18" i="51"/>
  <c r="B13" i="72" s="1"/>
  <c r="C53" i="10"/>
  <c r="D15" i="4"/>
  <c r="A15" i="51"/>
  <c r="B12" i="72" s="1"/>
  <c r="J25" i="33"/>
  <c r="AC25" i="33" s="1"/>
  <c r="H25" i="33"/>
  <c r="AB25" i="33" s="1"/>
  <c r="F25" i="33"/>
  <c r="AA25" i="33" s="1"/>
  <c r="F87" i="33"/>
  <c r="G87" i="33" s="1"/>
  <c r="H87" i="33" s="1"/>
  <c r="I87" i="33" s="1"/>
  <c r="J87" i="33" s="1"/>
  <c r="K87" i="33" s="1"/>
  <c r="L87" i="33" s="1"/>
  <c r="M87" i="33" s="1"/>
  <c r="C18" i="9"/>
  <c r="D18" i="9" s="1"/>
  <c r="G18" i="43"/>
  <c r="E17" i="43" s="1"/>
  <c r="E44" i="43"/>
  <c r="C44" i="43" s="1"/>
  <c r="M10" i="4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BL21" i="3"/>
  <c r="BL26" i="3"/>
  <c r="BC5" i="3"/>
  <c r="BG5" i="3"/>
  <c r="BK5" i="3"/>
  <c r="BL20" i="3"/>
  <c r="BL5" i="3" s="1"/>
  <c r="BA21" i="3"/>
  <c r="AZ21" i="3" s="1"/>
  <c r="BL25" i="3"/>
  <c r="BQ5" i="3"/>
  <c r="AZ25" i="3"/>
  <c r="AZ16" i="3"/>
  <c r="BN5" i="3"/>
  <c r="G29" i="6" s="1"/>
  <c r="BR5" i="3"/>
  <c r="G28" i="6" s="1"/>
  <c r="G30" i="6" s="1"/>
  <c r="BE5" i="3"/>
  <c r="BI5" i="3"/>
  <c r="BA20" i="3"/>
  <c r="AZ20" i="3" s="1"/>
  <c r="N2" i="43"/>
  <c r="M6" i="43"/>
  <c r="M21" i="43"/>
  <c r="F39" i="43"/>
  <c r="N1" i="43"/>
  <c r="S4" i="43"/>
  <c r="M5" i="43"/>
  <c r="I21" i="43"/>
  <c r="C27" i="43"/>
  <c r="F41" i="43"/>
  <c r="G9" i="1"/>
  <c r="G12" i="1"/>
  <c r="G11" i="1"/>
  <c r="B2" i="1"/>
  <c r="M47" i="9" s="1"/>
  <c r="M7" i="43"/>
  <c r="M11" i="43"/>
  <c r="N3" i="43"/>
  <c r="H65" i="43"/>
  <c r="G65" i="43" s="1"/>
  <c r="M65" i="43" s="1"/>
  <c r="N65" i="43" s="1"/>
  <c r="D21" i="43"/>
  <c r="F37" i="43"/>
  <c r="H64" i="43"/>
  <c r="G64" i="43" s="1"/>
  <c r="M64" i="43" s="1"/>
  <c r="N64" i="43" s="1"/>
  <c r="D78" i="9"/>
  <c r="B41" i="1"/>
  <c r="AZ26" i="3"/>
  <c r="BA18" i="3"/>
  <c r="AZ18" i="3" s="1"/>
  <c r="AZ19" i="3"/>
  <c r="BM5" i="3"/>
  <c r="F29" i="6" s="1"/>
  <c r="BA22" i="3"/>
  <c r="AZ22" i="3" s="1"/>
  <c r="BA23" i="3"/>
  <c r="AZ23" i="3" s="1"/>
  <c r="BA24" i="3"/>
  <c r="AZ24" i="3" s="1"/>
  <c r="L27" i="6"/>
  <c r="P16" i="1"/>
  <c r="C11" i="12" s="1"/>
  <c r="C12" i="12" s="1"/>
  <c r="T10" i="1"/>
  <c r="AQ10" i="1"/>
  <c r="C36" i="69"/>
  <c r="T7" i="1"/>
  <c r="B3" i="36"/>
  <c r="G13" i="3"/>
  <c r="H5" i="3"/>
  <c r="BB5" i="3"/>
  <c r="I4" i="6"/>
  <c r="T9" i="1"/>
  <c r="AR11" i="1"/>
  <c r="T12" i="1"/>
  <c r="D9" i="68"/>
  <c r="C9" i="68" s="1"/>
  <c r="T13" i="1"/>
  <c r="D9" i="69"/>
  <c r="C9" i="69" s="1"/>
  <c r="D9" i="11"/>
  <c r="C9" i="11" s="1"/>
  <c r="O16" i="1"/>
  <c r="T8" i="1"/>
  <c r="T11" i="1"/>
  <c r="B3" i="35"/>
  <c r="M63" i="43"/>
  <c r="N63" i="43" s="1"/>
  <c r="K63" i="43"/>
  <c r="M4" i="43"/>
  <c r="S5" i="43"/>
  <c r="S6" i="43"/>
  <c r="X7" i="43"/>
  <c r="N8" i="43"/>
  <c r="N9" i="43"/>
  <c r="M12" i="43"/>
  <c r="K21" i="43"/>
  <c r="O21" i="43"/>
  <c r="F38" i="43"/>
  <c r="F40" i="43"/>
  <c r="F42" i="43"/>
  <c r="H75" i="43"/>
  <c r="H78" i="43"/>
  <c r="H93" i="43"/>
  <c r="H96" i="43"/>
  <c r="H99" i="43"/>
  <c r="M1" i="43"/>
  <c r="M2" i="43"/>
  <c r="M3" i="43"/>
  <c r="N4" i="43"/>
  <c r="N12" i="43"/>
  <c r="C21" i="43"/>
  <c r="H21" i="43"/>
  <c r="L21" i="43"/>
  <c r="H66" i="43"/>
  <c r="G66" i="43" s="1"/>
  <c r="H67" i="43"/>
  <c r="G67" i="43" s="1"/>
  <c r="H68" i="43"/>
  <c r="G68" i="43" s="1"/>
  <c r="H69" i="43"/>
  <c r="G69" i="43" s="1"/>
  <c r="H74" i="43"/>
  <c r="H80" i="43"/>
  <c r="H98" i="43"/>
  <c r="H73" i="43"/>
  <c r="H77" i="43"/>
  <c r="H95" i="43"/>
  <c r="H101" i="43"/>
  <c r="H116" i="43"/>
  <c r="S2" i="43"/>
  <c r="S3" i="43"/>
  <c r="N5" i="43"/>
  <c r="N6" i="43"/>
  <c r="N7" i="43"/>
  <c r="M8" i="43"/>
  <c r="C6" i="43" s="1"/>
  <c r="M9" i="43"/>
  <c r="N10" i="43"/>
  <c r="F83" i="43" s="1"/>
  <c r="E21" i="43"/>
  <c r="J21" i="43"/>
  <c r="H61" i="43"/>
  <c r="G61" i="43" s="1"/>
  <c r="H62" i="43"/>
  <c r="G62" i="43" s="1"/>
  <c r="H72" i="43"/>
  <c r="H76" i="43"/>
  <c r="H94" i="43"/>
  <c r="H97" i="43"/>
  <c r="N18" i="1"/>
  <c r="N20" i="1" s="1"/>
  <c r="N6" i="1" s="1"/>
  <c r="AR13" i="1" s="1"/>
  <c r="J49" i="67"/>
  <c r="J51" i="67" s="1"/>
  <c r="B10" i="49"/>
  <c r="D10" i="49" s="1"/>
  <c r="C10" i="40"/>
  <c r="F6" i="1"/>
  <c r="C7" i="40"/>
  <c r="C63" i="40" s="1"/>
  <c r="C7" i="35"/>
  <c r="C48" i="35" s="1"/>
  <c r="C7" i="34"/>
  <c r="C59" i="34" s="1"/>
  <c r="C7" i="33"/>
  <c r="G23" i="43"/>
  <c r="F11" i="49"/>
  <c r="H11" i="49" s="1"/>
  <c r="L1" i="73"/>
  <c r="J1" i="73"/>
  <c r="B6" i="49"/>
  <c r="D6" i="49" s="1"/>
  <c r="B14" i="49"/>
  <c r="D14" i="49" s="1"/>
  <c r="B3" i="78"/>
  <c r="F7" i="49"/>
  <c r="H7" i="49" s="1"/>
  <c r="B3" i="74"/>
  <c r="B7" i="70"/>
  <c r="B10" i="70"/>
  <c r="B13" i="70"/>
  <c r="C27" i="67"/>
  <c r="B9" i="70"/>
  <c r="B12" i="70"/>
  <c r="B8" i="70"/>
  <c r="F65" i="67"/>
  <c r="B11" i="70"/>
  <c r="F51" i="67"/>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5" i="73"/>
  <c r="F16" i="15"/>
  <c r="L47" i="15"/>
  <c r="D7" i="73"/>
  <c r="M8" i="15"/>
  <c r="F26" i="15"/>
  <c r="M23" i="15"/>
  <c r="F7" i="73"/>
  <c r="D6" i="73"/>
  <c r="F5" i="73"/>
  <c r="F6" i="15"/>
  <c r="M22" i="15"/>
  <c r="F8" i="15"/>
  <c r="D3" i="73"/>
  <c r="M6" i="15"/>
  <c r="F38" i="15"/>
  <c r="M9" i="15"/>
  <c r="F37" i="15"/>
  <c r="M28" i="15"/>
  <c r="D4" i="73"/>
  <c r="L48" i="15"/>
  <c r="J15" i="15"/>
  <c r="F4" i="73"/>
  <c r="L48" i="67"/>
  <c r="F42" i="15"/>
  <c r="F3" i="73"/>
  <c r="M24" i="15"/>
  <c r="M26" i="15"/>
  <c r="F9" i="15"/>
  <c r="F36" i="15"/>
  <c r="F40" i="15"/>
  <c r="M27" i="15"/>
  <c r="C76" i="15"/>
  <c r="F6" i="73"/>
  <c r="K65" i="43" l="1"/>
  <c r="J65" i="43" s="1"/>
  <c r="AQ9" i="1"/>
  <c r="AQ7" i="1"/>
  <c r="AR12" i="1"/>
  <c r="AR9" i="1"/>
  <c r="AQ12" i="1"/>
  <c r="AQ8" i="1"/>
  <c r="AR10" i="1"/>
  <c r="AQ13" i="1"/>
  <c r="AR8" i="1"/>
  <c r="AQ11" i="1"/>
  <c r="G31" i="6"/>
  <c r="F50" i="43"/>
  <c r="H54" i="43" s="1"/>
  <c r="G54" i="43" s="1"/>
  <c r="C42" i="1"/>
  <c r="C7" i="37"/>
  <c r="C52" i="37" s="1"/>
  <c r="C7" i="36"/>
  <c r="C46" i="36" s="1"/>
  <c r="J51" i="15"/>
  <c r="M59" i="15" s="1"/>
  <c r="C7" i="21"/>
  <c r="C58" i="21" s="1"/>
  <c r="C7" i="39"/>
  <c r="C67" i="39" s="1"/>
  <c r="U25" i="33"/>
  <c r="S25" i="33"/>
  <c r="W25" i="33"/>
  <c r="AC9" i="33"/>
  <c r="W9" i="33"/>
  <c r="F51" i="15"/>
  <c r="C27" i="15"/>
  <c r="F68" i="15"/>
  <c r="F64" i="15"/>
  <c r="F66" i="15"/>
  <c r="F65" i="15"/>
  <c r="Q71" i="15"/>
  <c r="AZ5" i="3"/>
  <c r="E3" i="6" s="1"/>
  <c r="E29" i="6"/>
  <c r="K15" i="1" s="1"/>
  <c r="F28" i="6"/>
  <c r="K64" i="43"/>
  <c r="J64" i="43" s="1"/>
  <c r="M59" i="67"/>
  <c r="N59" i="67"/>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D3" i="33" s="1"/>
  <c r="E14" i="6"/>
  <c r="E10" i="6"/>
  <c r="E13" i="6"/>
  <c r="E8" i="6"/>
  <c r="E12" i="6"/>
  <c r="E15" i="6"/>
  <c r="E11" i="6"/>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L59" i="67"/>
  <c r="Q61" i="67" s="1"/>
  <c r="Y6" i="1"/>
  <c r="I1" i="73"/>
  <c r="B39" i="1" s="1"/>
  <c r="M11" i="15" s="1"/>
  <c r="J10" i="15" s="1"/>
  <c r="L58" i="67"/>
  <c r="Q60" i="67" s="1"/>
  <c r="L57" i="67"/>
  <c r="L60" i="67"/>
  <c r="Q66" i="67" s="1"/>
  <c r="J57" i="67"/>
  <c r="J55" i="67" s="1"/>
  <c r="J58" i="67" s="1"/>
  <c r="Q50" i="67" s="1"/>
  <c r="J53" i="67"/>
  <c r="Q52" i="67" s="1"/>
  <c r="L56" i="67"/>
  <c r="I54" i="67"/>
  <c r="L58" i="15"/>
  <c r="Q60" i="15" s="1"/>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G1" i="73"/>
  <c r="F13" i="15"/>
  <c r="D64" i="43" l="1"/>
  <c r="H57" i="43"/>
  <c r="G57" i="43" s="1"/>
  <c r="H52" i="43"/>
  <c r="G52" i="43" s="1"/>
  <c r="M52" i="43" s="1"/>
  <c r="N52" i="43" s="1"/>
  <c r="H51" i="43"/>
  <c r="G51" i="43" s="1"/>
  <c r="K51" i="43" s="1"/>
  <c r="H53" i="43"/>
  <c r="G53" i="43" s="1"/>
  <c r="H56" i="43"/>
  <c r="G56" i="43" s="1"/>
  <c r="H58" i="43"/>
  <c r="G58" i="43" s="1"/>
  <c r="M58" i="43" s="1"/>
  <c r="N58" i="43" s="1"/>
  <c r="H55" i="43"/>
  <c r="G55" i="43" s="1"/>
  <c r="H50" i="43"/>
  <c r="G50" i="43" s="1"/>
  <c r="K50" i="43" s="1"/>
  <c r="J53" i="15"/>
  <c r="Q52" i="15" s="1"/>
  <c r="J7" i="34"/>
  <c r="W7" i="34" s="1"/>
  <c r="J57" i="15"/>
  <c r="J55" i="15" s="1"/>
  <c r="J58" i="15" s="1"/>
  <c r="Q50" i="15" s="1"/>
  <c r="L59" i="15"/>
  <c r="Q74" i="15" s="1"/>
  <c r="F7" i="34"/>
  <c r="S7" i="34" s="1"/>
  <c r="H7" i="34"/>
  <c r="AB7" i="34" s="1"/>
  <c r="T49" i="34" s="1"/>
  <c r="G49" i="34" s="1"/>
  <c r="I54" i="15"/>
  <c r="N59" i="15"/>
  <c r="K54" i="43"/>
  <c r="J54" i="43" s="1"/>
  <c r="M54" i="43"/>
  <c r="C48" i="69"/>
  <c r="C30" i="69"/>
  <c r="F30" i="6"/>
  <c r="E28" i="6"/>
  <c r="F7" i="37"/>
  <c r="H7" i="37"/>
  <c r="AB7" i="37" s="1"/>
  <c r="T42" i="37" s="1"/>
  <c r="G42" i="37" s="1"/>
  <c r="C30" i="68"/>
  <c r="C48" i="11"/>
  <c r="C30" i="11"/>
  <c r="C48" i="68"/>
  <c r="Q73" i="67"/>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B29" i="1" s="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66" i="43"/>
  <c r="J66" i="43"/>
  <c r="C5" i="43"/>
  <c r="M83" i="43"/>
  <c r="N83" i="43" s="1"/>
  <c r="K83" i="43"/>
  <c r="M87" i="43"/>
  <c r="N87" i="43" s="1"/>
  <c r="K87" i="43"/>
  <c r="M84" i="43"/>
  <c r="N84" i="43" s="1"/>
  <c r="K84" i="43"/>
  <c r="M88" i="43"/>
  <c r="N88" i="43" s="1"/>
  <c r="K88" i="43"/>
  <c r="J88" i="43" s="1"/>
  <c r="D69" i="43"/>
  <c r="J69" i="43"/>
  <c r="Q57" i="67"/>
  <c r="B40" i="1"/>
  <c r="F22" i="11" s="1"/>
  <c r="F7" i="33"/>
  <c r="G7" i="33"/>
  <c r="F7" i="36"/>
  <c r="F7" i="35"/>
  <c r="J7" i="37"/>
  <c r="D65" i="40"/>
  <c r="E63" i="40"/>
  <c r="J7" i="21"/>
  <c r="H7" i="36"/>
  <c r="AC7" i="34"/>
  <c r="V49" i="34" s="1"/>
  <c r="I49" i="34" s="1"/>
  <c r="H7" i="35"/>
  <c r="F7" i="21"/>
  <c r="J7" i="36"/>
  <c r="AA7" i="34"/>
  <c r="R49" i="34" s="1"/>
  <c r="D69" i="39"/>
  <c r="E67" i="39"/>
  <c r="J7" i="35"/>
  <c r="S7" i="37"/>
  <c r="AA7" i="37"/>
  <c r="R42" i="37" s="1"/>
  <c r="H7" i="21"/>
  <c r="M29" i="15"/>
  <c r="F7" i="15"/>
  <c r="M29" i="67"/>
  <c r="F43" i="15"/>
  <c r="F43" i="67"/>
  <c r="F7" i="67"/>
  <c r="K58" i="43" l="1"/>
  <c r="U7" i="34"/>
  <c r="L56" i="15"/>
  <c r="K57" i="43"/>
  <c r="J57" i="43" s="1"/>
  <c r="D57" i="43" s="1"/>
  <c r="M57" i="43"/>
  <c r="N57" i="43" s="1"/>
  <c r="M50" i="43"/>
  <c r="N50" i="43" s="1"/>
  <c r="M51" i="43"/>
  <c r="N51" i="43" s="1"/>
  <c r="K52" i="43"/>
  <c r="J52" i="43" s="1"/>
  <c r="M56" i="43"/>
  <c r="N56" i="43" s="1"/>
  <c r="K56" i="43"/>
  <c r="M53" i="43"/>
  <c r="K53" i="43"/>
  <c r="J53" i="43" s="1"/>
  <c r="BJ6" i="3"/>
  <c r="AY186" i="3"/>
  <c r="AY482" i="3"/>
  <c r="F31" i="6"/>
  <c r="AY98" i="3"/>
  <c r="AY349" i="3"/>
  <c r="AY41" i="3"/>
  <c r="AY438" i="3"/>
  <c r="G16" i="1"/>
  <c r="J10" i="40" s="1"/>
  <c r="AC10" i="40" s="1"/>
  <c r="Q61" i="15"/>
  <c r="M55" i="43"/>
  <c r="N55" i="43" s="1"/>
  <c r="K55" i="43"/>
  <c r="F1" i="15"/>
  <c r="U7" i="37"/>
  <c r="N54" i="43"/>
  <c r="D54" i="43" s="1"/>
  <c r="J51" i="43"/>
  <c r="D51" i="43"/>
  <c r="J50" i="43"/>
  <c r="D50" i="43"/>
  <c r="AY19" i="3"/>
  <c r="AY60" i="3"/>
  <c r="AY190" i="3"/>
  <c r="AY106" i="3"/>
  <c r="AY491" i="3"/>
  <c r="AY543" i="3"/>
  <c r="K14" i="1"/>
  <c r="M14" i="1" s="1"/>
  <c r="E30" i="6"/>
  <c r="N86" i="43"/>
  <c r="D86" i="4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D17" i="12"/>
  <c r="C17" i="12" s="1"/>
  <c r="C14" i="12"/>
  <c r="C16" i="12" s="1"/>
  <c r="D10" i="69"/>
  <c r="D10" i="68"/>
  <c r="D10" i="11"/>
  <c r="C10" i="11" s="1"/>
  <c r="D20" i="12"/>
  <c r="C20" i="12" s="1"/>
  <c r="E61" i="40"/>
  <c r="M6" i="1"/>
  <c r="C8" i="68"/>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S7" i="33"/>
  <c r="C44" i="11"/>
  <c r="D41" i="11" s="1"/>
  <c r="C26" i="11"/>
  <c r="D22" i="11" s="1"/>
  <c r="C23" i="11"/>
  <c r="C24" i="11"/>
  <c r="C16" i="67"/>
  <c r="C16" i="15"/>
  <c r="AE6" i="1"/>
  <c r="F41" i="67" s="1"/>
  <c r="F41" i="15"/>
  <c r="D58" i="43" l="1"/>
  <c r="J58" i="43"/>
  <c r="D52" i="43"/>
  <c r="N53" i="43"/>
  <c r="D53" i="43"/>
  <c r="D56" i="43"/>
  <c r="J56" i="43"/>
  <c r="D25" i="6"/>
  <c r="F69" i="15"/>
  <c r="F69" i="67"/>
  <c r="H10" i="40"/>
  <c r="U10" i="40" s="1"/>
  <c r="H10" i="39"/>
  <c r="U10" i="39" s="1"/>
  <c r="F10" i="40"/>
  <c r="S10" i="40" s="1"/>
  <c r="J10" i="39"/>
  <c r="AC10" i="39" s="1"/>
  <c r="D26" i="6"/>
  <c r="K16" i="1"/>
  <c r="C34" i="69"/>
  <c r="C38" i="69" s="1"/>
  <c r="F10" i="39"/>
  <c r="S10" i="39" s="1"/>
  <c r="J33" i="33"/>
  <c r="H33" i="33"/>
  <c r="F33" i="33"/>
  <c r="D55" i="43"/>
  <c r="J55" i="43"/>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W10" i="40"/>
  <c r="C18" i="12"/>
  <c r="C21" i="12" s="1"/>
  <c r="C22" i="12" s="1"/>
  <c r="J24" i="67"/>
  <c r="J26" i="67"/>
  <c r="J29" i="67" s="1"/>
  <c r="C25" i="11"/>
  <c r="C22" i="11" s="1"/>
  <c r="F27" i="69"/>
  <c r="F27" i="68"/>
  <c r="F27" i="11"/>
  <c r="C28" i="11" s="1"/>
  <c r="C27" i="11" s="1"/>
  <c r="F28" i="12"/>
  <c r="C29" i="12" s="1"/>
  <c r="D28" i="12" s="1"/>
  <c r="M16" i="1"/>
  <c r="N16" i="1" s="1"/>
  <c r="J18" i="15"/>
  <c r="J19" i="15"/>
  <c r="J5" i="15"/>
  <c r="C10" i="68"/>
  <c r="D19" i="68"/>
  <c r="D37" i="68" s="1"/>
  <c r="C37" i="68" s="1"/>
  <c r="C32" i="67"/>
  <c r="C33" i="67"/>
  <c r="C10" i="67"/>
  <c r="C5" i="67" s="1"/>
  <c r="C38" i="67" s="1"/>
  <c r="C33" i="15"/>
  <c r="C32" i="15"/>
  <c r="C10" i="15"/>
  <c r="C5" i="15" s="1"/>
  <c r="C38" i="15" s="1"/>
  <c r="C10" i="69"/>
  <c r="C8" i="69" s="1"/>
  <c r="D19" i="69"/>
  <c r="D37" i="69" s="1"/>
  <c r="C37" i="69" s="1"/>
  <c r="J19" i="67"/>
  <c r="J18" i="67"/>
  <c r="C61" i="15"/>
  <c r="C48" i="15"/>
  <c r="L37" i="43"/>
  <c r="O37" i="43" s="1"/>
  <c r="C24" i="69"/>
  <c r="E83" i="43"/>
  <c r="B81" i="43" s="1"/>
  <c r="M36" i="43"/>
  <c r="C26" i="68"/>
  <c r="D22" i="68" s="1"/>
  <c r="Q36" i="43"/>
  <c r="O36" i="43"/>
  <c r="C44" i="69"/>
  <c r="D41" i="69" s="1"/>
  <c r="F41" i="68"/>
  <c r="N36" i="43"/>
  <c r="F41" i="69"/>
  <c r="C44" i="68"/>
  <c r="D41" i="68" s="1"/>
  <c r="I52" i="21"/>
  <c r="J52" i="21" s="1"/>
  <c r="C43" i="37"/>
  <c r="C42" i="37"/>
  <c r="E38" i="35"/>
  <c r="I43" i="35" s="1"/>
  <c r="J43" i="35" s="1"/>
  <c r="R39" i="35"/>
  <c r="I40" i="36"/>
  <c r="J40" i="36" s="1"/>
  <c r="E48" i="21"/>
  <c r="R49" i="21"/>
  <c r="F65" i="40"/>
  <c r="G63" i="40"/>
  <c r="F69" i="39"/>
  <c r="G67" i="39"/>
  <c r="W7" i="33"/>
  <c r="AC7" i="33"/>
  <c r="C50" i="34"/>
  <c r="C49" i="34"/>
  <c r="I47" i="37"/>
  <c r="J47" i="37" s="1"/>
  <c r="I46" i="37"/>
  <c r="J46" i="37" s="1"/>
  <c r="E54" i="34"/>
  <c r="F54" i="34" s="1"/>
  <c r="E53" i="34"/>
  <c r="F53" i="34" s="1"/>
  <c r="E36" i="36"/>
  <c r="R37" i="36"/>
  <c r="G41" i="36"/>
  <c r="H41" i="36" s="1"/>
  <c r="G40" i="36"/>
  <c r="H40" i="36" s="1"/>
  <c r="G43" i="35"/>
  <c r="H43" i="35" s="1"/>
  <c r="G42" i="35"/>
  <c r="H42" i="35" s="1"/>
  <c r="AB7" i="33"/>
  <c r="U7" i="33"/>
  <c r="I42" i="35"/>
  <c r="J42" i="35" s="1"/>
  <c r="E47" i="37"/>
  <c r="F47" i="37" s="1"/>
  <c r="E46" i="37"/>
  <c r="F46" i="37" s="1"/>
  <c r="G52" i="21"/>
  <c r="H52" i="21" s="1"/>
  <c r="G53" i="21"/>
  <c r="H53" i="21" s="1"/>
  <c r="E50" i="43" l="1"/>
  <c r="B48" i="43" s="1"/>
  <c r="AA10" i="40"/>
  <c r="C28" i="43"/>
  <c r="T13" i="43" s="1"/>
  <c r="V13" i="43" s="1"/>
  <c r="J34" i="40"/>
  <c r="AC34" i="40" s="1"/>
  <c r="AB10" i="40"/>
  <c r="AB10" i="39"/>
  <c r="W10" i="39"/>
  <c r="A10" i="51"/>
  <c r="B9" i="72" s="1"/>
  <c r="AA10" i="39"/>
  <c r="C4" i="52"/>
  <c r="B45" i="72" s="1"/>
  <c r="C35" i="69"/>
  <c r="C33" i="69" s="1"/>
  <c r="C39" i="69" s="1"/>
  <c r="AC33" i="33"/>
  <c r="V48" i="33" s="1"/>
  <c r="I48" i="33" s="1"/>
  <c r="I52" i="33" s="1"/>
  <c r="J52" i="33" s="1"/>
  <c r="W33" i="33"/>
  <c r="AA33" i="33"/>
  <c r="R48" i="33" s="1"/>
  <c r="E48" i="33" s="1"/>
  <c r="E52" i="33" s="1"/>
  <c r="F52" i="33" s="1"/>
  <c r="S33" i="33"/>
  <c r="AB33" i="33"/>
  <c r="T48" i="33" s="1"/>
  <c r="U33" i="33"/>
  <c r="D27" i="6"/>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F50" i="69"/>
  <c r="F50" i="11"/>
  <c r="F50" i="68"/>
  <c r="C27" i="12"/>
  <c r="C25" i="12" s="1"/>
  <c r="C60" i="15"/>
  <c r="C66" i="15"/>
  <c r="C47" i="11"/>
  <c r="D45" i="11" s="1"/>
  <c r="C29" i="11"/>
  <c r="D27" i="11" s="1"/>
  <c r="C31" i="11" s="1"/>
  <c r="AB34" i="40"/>
  <c r="U34" i="40"/>
  <c r="F45" i="68"/>
  <c r="C47" i="68"/>
  <c r="D45" i="68" s="1"/>
  <c r="C29" i="68"/>
  <c r="D27" i="68" s="1"/>
  <c r="J26" i="15"/>
  <c r="J29" i="15" s="1"/>
  <c r="J24" i="15"/>
  <c r="L16" i="1"/>
  <c r="C34" i="68"/>
  <c r="C34" i="11"/>
  <c r="C47" i="69"/>
  <c r="D45" i="69" s="1"/>
  <c r="C29" i="69"/>
  <c r="D27" i="69" s="1"/>
  <c r="F45" i="69"/>
  <c r="P37" i="43"/>
  <c r="Q37" i="43"/>
  <c r="M37" i="43"/>
  <c r="C37" i="36"/>
  <c r="C36" i="36"/>
  <c r="E52" i="21"/>
  <c r="F52" i="21" s="1"/>
  <c r="E53" i="21"/>
  <c r="F53" i="21" s="1"/>
  <c r="E40" i="36"/>
  <c r="F40" i="36" s="1"/>
  <c r="E41" i="36"/>
  <c r="F41" i="36" s="1"/>
  <c r="G65" i="40"/>
  <c r="H63" i="40"/>
  <c r="I41" i="36"/>
  <c r="J41" i="36" s="1"/>
  <c r="I53" i="21"/>
  <c r="J53" i="21" s="1"/>
  <c r="G69" i="39"/>
  <c r="H67" i="39"/>
  <c r="C49" i="21"/>
  <c r="C48" i="21"/>
  <c r="C39" i="35"/>
  <c r="M3" i="35" s="1"/>
  <c r="C38" i="35"/>
  <c r="E42" i="35"/>
  <c r="F42" i="35" s="1"/>
  <c r="E43" i="35"/>
  <c r="F43" i="35" s="1"/>
  <c r="C14" i="67"/>
  <c r="C17" i="15"/>
  <c r="C17" i="67"/>
  <c r="T9" i="43" l="1"/>
  <c r="V9" i="43" s="1"/>
  <c r="T11" i="43"/>
  <c r="V11" i="43" s="1"/>
  <c r="C40" i="43"/>
  <c r="G40" i="43" s="1"/>
  <c r="I40" i="43" s="1"/>
  <c r="T7" i="43"/>
  <c r="V7" i="43" s="1"/>
  <c r="T10" i="43"/>
  <c r="V10" i="43" s="1"/>
  <c r="T14" i="43"/>
  <c r="V14" i="43" s="1"/>
  <c r="T5" i="43"/>
  <c r="V5" i="43" s="1"/>
  <c r="C42" i="43"/>
  <c r="E42" i="43" s="1"/>
  <c r="T4" i="43"/>
  <c r="V4" i="43" s="1"/>
  <c r="C6" i="68" s="1"/>
  <c r="T12" i="43"/>
  <c r="V12" i="43" s="1"/>
  <c r="T3" i="43"/>
  <c r="T8" i="43"/>
  <c r="V8" i="43" s="1"/>
  <c r="C38" i="43"/>
  <c r="E38" i="43" s="1"/>
  <c r="T6" i="43"/>
  <c r="V6" i="43" s="1"/>
  <c r="T16" i="43"/>
  <c r="V16" i="43" s="1"/>
  <c r="T2" i="43"/>
  <c r="T15" i="43"/>
  <c r="V15" i="43" s="1"/>
  <c r="C39" i="43"/>
  <c r="E39" i="43" s="1"/>
  <c r="C41" i="43"/>
  <c r="E41" i="43" s="1"/>
  <c r="C37" i="43"/>
  <c r="E37" i="43" s="1"/>
  <c r="W34" i="40"/>
  <c r="I53" i="33"/>
  <c r="J53" i="33" s="1"/>
  <c r="G48" i="33"/>
  <c r="E53" i="33" s="1"/>
  <c r="F53" i="33" s="1"/>
  <c r="R49" i="33"/>
  <c r="C48" i="33" s="1"/>
  <c r="S34" i="40"/>
  <c r="D31" i="6"/>
  <c r="C32" i="12"/>
  <c r="B2" i="12" s="1"/>
  <c r="B3" i="12" s="1"/>
  <c r="C15" i="67"/>
  <c r="C18" i="67"/>
  <c r="E6" i="70"/>
  <c r="E2" i="70" s="1"/>
  <c r="T6" i="1"/>
  <c r="S16" i="1"/>
  <c r="AQ6" i="1"/>
  <c r="AR6" i="1"/>
  <c r="M27" i="6"/>
  <c r="I19" i="6"/>
  <c r="C42" i="69"/>
  <c r="C46" i="69"/>
  <c r="C45" i="69" s="1"/>
  <c r="C43" i="69"/>
  <c r="C35" i="11"/>
  <c r="C38" i="11"/>
  <c r="C38" i="68"/>
  <c r="C35" i="68"/>
  <c r="G42" i="43"/>
  <c r="I42" i="43" s="1"/>
  <c r="H69" i="39"/>
  <c r="I67" i="39"/>
  <c r="H65" i="40"/>
  <c r="I63" i="40"/>
  <c r="C14" i="15"/>
  <c r="G41" i="43" l="1"/>
  <c r="I41" i="43" s="1"/>
  <c r="C49" i="33"/>
  <c r="B2" i="33" s="1"/>
  <c r="C34" i="43"/>
  <c r="E34" i="43" s="1"/>
  <c r="G38" i="43"/>
  <c r="I38" i="43" s="1"/>
  <c r="G37" i="43"/>
  <c r="I37" i="43" s="1"/>
  <c r="G39" i="43"/>
  <c r="I39" i="43" s="1"/>
  <c r="E40" i="43"/>
  <c r="G52" i="33"/>
  <c r="H52" i="33" s="1"/>
  <c r="G53" i="33"/>
  <c r="H53" i="33" s="1"/>
  <c r="C19" i="67"/>
  <c r="C20" i="67" s="1"/>
  <c r="C26" i="67" s="1"/>
  <c r="I6" i="6"/>
  <c r="G3" i="43" s="1"/>
  <c r="I5" i="6"/>
  <c r="C11" i="40" s="1"/>
  <c r="C41" i="69"/>
  <c r="C49" i="69" s="1"/>
  <c r="C51" i="69" s="1"/>
  <c r="C18" i="15"/>
  <c r="C15" i="15"/>
  <c r="H19" i="6"/>
  <c r="I27" i="6"/>
  <c r="S19" i="6"/>
  <c r="S27" i="6" s="1"/>
  <c r="T16" i="1"/>
  <c r="C33" i="68"/>
  <c r="C39" i="68" s="1"/>
  <c r="C43" i="68" s="1"/>
  <c r="C33" i="11"/>
  <c r="I69" i="39"/>
  <c r="J67" i="39"/>
  <c r="I65" i="40"/>
  <c r="J63" i="40"/>
  <c r="B3" i="33" l="1"/>
  <c r="B116" i="43"/>
  <c r="F26" i="43"/>
  <c r="E26" i="43"/>
  <c r="G26" i="43"/>
  <c r="H26" i="43"/>
  <c r="J26" i="43"/>
  <c r="N370" i="46"/>
  <c r="N94" i="46"/>
  <c r="Z7" i="43"/>
  <c r="C31" i="43"/>
  <c r="C30" i="43"/>
  <c r="B2" i="43" s="1"/>
  <c r="C23" i="67"/>
  <c r="C29" i="67" s="1"/>
  <c r="Q49" i="67" s="1"/>
  <c r="C19" i="15"/>
  <c r="C20" i="15" s="1"/>
  <c r="F11" i="40"/>
  <c r="J11" i="40"/>
  <c r="H11" i="40"/>
  <c r="R19" i="6"/>
  <c r="H27" i="6"/>
  <c r="C42" i="68"/>
  <c r="C41" i="68" s="1"/>
  <c r="C46" i="68"/>
  <c r="C45" i="68" s="1"/>
  <c r="C39" i="11"/>
  <c r="C42" i="11"/>
  <c r="J69" i="39"/>
  <c r="K67" i="39"/>
  <c r="J65" i="40"/>
  <c r="K63" i="40"/>
  <c r="B6" i="76"/>
  <c r="D26" i="43" l="1"/>
  <c r="C25" i="43" s="1"/>
  <c r="D122" i="43"/>
  <c r="E122" i="43" s="1"/>
  <c r="F122" i="43" s="1"/>
  <c r="G122" i="43" s="1"/>
  <c r="H122" i="43" s="1"/>
  <c r="D118" i="43"/>
  <c r="E118" i="43" s="1"/>
  <c r="F118" i="43" s="1"/>
  <c r="G118" i="43" s="1"/>
  <c r="H118" i="43" s="1"/>
  <c r="B120" i="43"/>
  <c r="C120" i="43" s="1"/>
  <c r="I121" i="43"/>
  <c r="J121" i="43" s="1"/>
  <c r="K121" i="43" s="1"/>
  <c r="L121" i="43" s="1"/>
  <c r="M121" i="43" s="1"/>
  <c r="D121" i="43"/>
  <c r="E121" i="43" s="1"/>
  <c r="F121" i="43" s="1"/>
  <c r="G121" i="43"/>
  <c r="H121" i="43" s="1"/>
  <c r="B119" i="43"/>
  <c r="C119" i="43" s="1"/>
  <c r="I120" i="43"/>
  <c r="J120" i="43" s="1"/>
  <c r="K120" i="43" s="1"/>
  <c r="L120" i="43" s="1"/>
  <c r="M120" i="43" s="1"/>
  <c r="D120" i="43"/>
  <c r="E120" i="43" s="1"/>
  <c r="F120" i="43" s="1"/>
  <c r="G120" i="43" s="1"/>
  <c r="H120" i="43" s="1"/>
  <c r="B122" i="43"/>
  <c r="C122" i="43" s="1"/>
  <c r="B118" i="43"/>
  <c r="I119" i="43"/>
  <c r="J119" i="43" s="1"/>
  <c r="K119" i="43" s="1"/>
  <c r="L119" i="43" s="1"/>
  <c r="M119" i="43" s="1"/>
  <c r="D119" i="43"/>
  <c r="E119" i="43" s="1"/>
  <c r="F119" i="43" s="1"/>
  <c r="G119" i="43" s="1"/>
  <c r="H119" i="43" s="1"/>
  <c r="B121" i="43"/>
  <c r="C121" i="43" s="1"/>
  <c r="I122" i="43"/>
  <c r="J122" i="43" s="1"/>
  <c r="K122" i="43" s="1"/>
  <c r="L122" i="43" s="1"/>
  <c r="M122" i="43" s="1"/>
  <c r="I118" i="43"/>
  <c r="J118" i="43" s="1"/>
  <c r="K118" i="43" s="1"/>
  <c r="L118" i="43" s="1"/>
  <c r="M118" i="43" s="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7" i="68"/>
  <c r="C5" i="68" s="1"/>
  <c r="B3" i="43"/>
  <c r="K69" i="39"/>
  <c r="L67" i="39"/>
  <c r="K65" i="40"/>
  <c r="L63" i="40"/>
  <c r="M21" i="15"/>
  <c r="F35" i="67"/>
  <c r="M21" i="67"/>
  <c r="F35" i="15"/>
  <c r="C33" i="43" l="1"/>
  <c r="C118" i="43"/>
  <c r="D116" i="43"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E6" i="76"/>
  <c r="E2" i="76" l="1"/>
  <c r="B3" i="76" s="1"/>
  <c r="E33" i="43"/>
  <c r="C13" i="15"/>
  <c r="C75" i="15" s="1"/>
  <c r="Q49" i="15"/>
  <c r="C57" i="15"/>
  <c r="C64" i="15" s="1"/>
  <c r="J59" i="15"/>
  <c r="J60" i="15" s="1"/>
  <c r="J14" i="15"/>
  <c r="J22" i="15" s="1"/>
  <c r="J16" i="67"/>
  <c r="J25" i="67" s="1"/>
  <c r="C30" i="67"/>
  <c r="C39" i="67" s="1"/>
  <c r="Q69" i="67" s="1"/>
  <c r="Q68" i="67" s="1"/>
  <c r="C56" i="11"/>
  <c r="C57" i="11" s="1"/>
  <c r="C25" i="68"/>
  <c r="C22" i="68" s="1"/>
  <c r="C28" i="68"/>
  <c r="C27" i="68" s="1"/>
  <c r="M69" i="39"/>
  <c r="N67" i="39"/>
  <c r="M65" i="40"/>
  <c r="N63" i="40"/>
  <c r="Q48" i="15" l="1"/>
  <c r="J13" i="15"/>
  <c r="J23" i="15" s="1"/>
  <c r="J16" i="15" s="1"/>
  <c r="J25" i="15" s="1"/>
  <c r="C56" i="15"/>
  <c r="C65" i="15" s="1"/>
  <c r="C58" i="15" s="1"/>
  <c r="C67" i="15" s="1"/>
  <c r="C68" i="15" s="1"/>
  <c r="C71" i="15" s="1"/>
  <c r="Q70" i="15"/>
  <c r="C37" i="15"/>
  <c r="C30" i="15" s="1"/>
  <c r="C39" i="15" s="1"/>
  <c r="C40" i="15" s="1"/>
  <c r="Q56" i="15" s="1"/>
  <c r="C31" i="68"/>
  <c r="C52" i="68" s="1"/>
  <c r="B2" i="68" s="1"/>
  <c r="C80" i="67"/>
  <c r="C79" i="67" s="1"/>
  <c r="C40" i="67"/>
  <c r="D2" i="67" s="1"/>
  <c r="B3" i="67" s="1"/>
  <c r="H39" i="67"/>
  <c r="N69" i="39"/>
  <c r="O67" i="39"/>
  <c r="O69" i="39" s="1"/>
  <c r="N65" i="40"/>
  <c r="O63" i="40"/>
  <c r="O65" i="40" s="1"/>
  <c r="L51" i="67"/>
  <c r="C19" i="9"/>
  <c r="L57" i="15" l="1"/>
  <c r="L60" i="15" s="1"/>
  <c r="C80" i="15"/>
  <c r="C79" i="15" s="1"/>
  <c r="Q69" i="15"/>
  <c r="Q68" i="15" s="1"/>
  <c r="Q67" i="67"/>
  <c r="C43" i="67"/>
  <c r="C57" i="68"/>
  <c r="C56" i="68" s="1"/>
  <c r="B2" i="67"/>
  <c r="C45" i="67"/>
  <c r="C46" i="67" s="1"/>
  <c r="Q56" i="67"/>
  <c r="Q62" i="67" s="1"/>
  <c r="C102" i="9"/>
  <c r="C21" i="9"/>
  <c r="B3" i="68"/>
  <c r="C83" i="67"/>
  <c r="C82" i="67" s="1"/>
  <c r="Q47" i="67"/>
  <c r="Q53" i="67" s="1"/>
  <c r="Q65" i="67"/>
  <c r="Q75" i="67" s="1"/>
  <c r="C83" i="15"/>
  <c r="C82" i="15" s="1"/>
  <c r="Q65" i="15"/>
  <c r="Q47" i="15"/>
  <c r="Q53" i="15" s="1"/>
  <c r="C43" i="15"/>
  <c r="C46" i="15"/>
  <c r="H7" i="40"/>
  <c r="J7" i="40"/>
  <c r="F7" i="40"/>
  <c r="H7" i="39"/>
  <c r="J7" i="39"/>
  <c r="F7" i="39"/>
  <c r="L51" i="15"/>
  <c r="C20" i="9"/>
  <c r="Q67" i="15" l="1"/>
  <c r="Q57" i="15"/>
  <c r="Q62" i="15" s="1"/>
  <c r="Q66" i="15"/>
  <c r="Q75" i="15" s="1"/>
  <c r="L46" i="15"/>
  <c r="B2" i="15" s="1"/>
  <c r="B3" i="15" s="1"/>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AO6" i="1"/>
  <c r="D20" i="9"/>
  <c r="D19" i="9"/>
  <c r="B6" i="70" l="1"/>
  <c r="B2" i="70" s="1"/>
  <c r="B3" i="70" s="1"/>
  <c r="D102" i="9"/>
  <c r="G19" i="9"/>
  <c r="G21" i="9" s="1"/>
  <c r="D21" i="9"/>
  <c r="D22" i="9"/>
  <c r="C6" i="69"/>
  <c r="C7" i="69" s="1"/>
  <c r="C5" i="69" s="1"/>
  <c r="G20" i="9"/>
  <c r="G26" i="9" s="1"/>
  <c r="D103" i="9"/>
  <c r="I51" i="39"/>
  <c r="J51" i="39" s="1"/>
  <c r="G46" i="40"/>
  <c r="H46" i="40" s="1"/>
  <c r="G47" i="40"/>
  <c r="H47" i="40" s="1"/>
  <c r="E42" i="40"/>
  <c r="I47" i="40" s="1"/>
  <c r="J47" i="40" s="1"/>
  <c r="R43" i="40"/>
  <c r="G51" i="39"/>
  <c r="H51" i="39" s="1"/>
  <c r="G52" i="39"/>
  <c r="H52" i="39" s="1"/>
  <c r="I46" i="40"/>
  <c r="J46" i="40" s="1"/>
  <c r="E47" i="39"/>
  <c r="I52" i="39" s="1"/>
  <c r="J52" i="39" s="1"/>
  <c r="R48" i="39"/>
  <c r="C23" i="69" l="1"/>
  <c r="C20" i="69"/>
  <c r="C25" i="69" s="1"/>
  <c r="C32" i="9"/>
  <c r="C43" i="40"/>
  <c r="C42" i="40"/>
  <c r="E47" i="40"/>
  <c r="F47" i="40" s="1"/>
  <c r="E46" i="40"/>
  <c r="F46" i="40" s="1"/>
  <c r="C48" i="39"/>
  <c r="C47" i="39"/>
  <c r="E52" i="39"/>
  <c r="F52" i="39" s="1"/>
  <c r="E51" i="39"/>
  <c r="F51" i="39" s="1"/>
  <c r="C22" i="69" l="1"/>
  <c r="C28" i="69"/>
  <c r="C27" i="69" s="1"/>
  <c r="I118" i="9"/>
  <c r="H118" i="9" s="1"/>
  <c r="H4" i="52"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5" i="9"/>
  <c r="D34" i="9"/>
  <c r="C31" i="69" l="1"/>
  <c r="C52" i="69" s="1"/>
  <c r="B2" i="69" s="1"/>
  <c r="B3" i="69" s="1"/>
  <c r="C35" i="9"/>
  <c r="H101" i="9"/>
  <c r="D5" i="53" s="1"/>
  <c r="D14" i="74"/>
  <c r="E14" i="74" s="1"/>
  <c r="H119" i="9"/>
  <c r="H5" i="52" s="1"/>
  <c r="C104" i="9"/>
  <c r="H102" i="9"/>
  <c r="D7" i="53" s="1"/>
  <c r="B21" i="72" s="1"/>
  <c r="I4" i="52"/>
  <c r="C105" i="9"/>
  <c r="F61" i="40"/>
  <c r="B2" i="40" s="1"/>
  <c r="B3" i="40" s="1"/>
  <c r="C57" i="69" l="1"/>
  <c r="C56" i="69" s="1"/>
  <c r="G118" i="9"/>
  <c r="C34" i="9"/>
  <c r="M48" i="9"/>
  <c r="H107" i="9"/>
  <c r="D122" i="9" s="1"/>
  <c r="G14" i="74"/>
  <c r="B6" i="74" s="1"/>
  <c r="D6" i="74" s="1"/>
  <c r="F14" i="74"/>
  <c r="D45" i="9"/>
  <c r="C78" i="9" s="1"/>
  <c r="C73" i="9" s="1"/>
  <c r="B5" i="74"/>
  <c r="C5" i="74" s="1"/>
  <c r="D6" i="53"/>
  <c r="B22" i="72" s="1"/>
  <c r="B20" i="72"/>
  <c r="G4" i="52" l="1"/>
  <c r="B52" i="72" s="1"/>
  <c r="E118" i="9"/>
  <c r="F118" i="9"/>
  <c r="D13" i="53"/>
  <c r="B30" i="72" s="1"/>
  <c r="M49" i="9"/>
  <c r="L68" i="9" s="1"/>
  <c r="M68" i="9" s="1"/>
  <c r="H108" i="9"/>
  <c r="D15" i="53" s="1"/>
  <c r="B31" i="72" s="1"/>
  <c r="C93" i="9"/>
  <c r="C86" i="9" s="1"/>
  <c r="D52" i="9"/>
  <c r="C64" i="9"/>
  <c r="C63" i="9" s="1"/>
  <c r="C67" i="9" s="1"/>
  <c r="D59" i="9" s="1"/>
  <c r="M55" i="9" s="1"/>
  <c r="C72" i="9"/>
  <c r="C79" i="9" s="1"/>
  <c r="D55" i="9"/>
  <c r="M53" i="9" s="1"/>
  <c r="C85" i="9"/>
  <c r="D53" i="9"/>
  <c r="D5" i="74"/>
  <c r="D8" i="52"/>
  <c r="D123" i="9"/>
  <c r="D9" i="52" s="1"/>
  <c r="F119" i="9" l="1"/>
  <c r="F5" i="52" s="1"/>
  <c r="B53" i="72" s="1"/>
  <c r="F4" i="52"/>
  <c r="B51" i="72" s="1"/>
  <c r="E4" i="52"/>
  <c r="B48" i="72" s="1"/>
  <c r="D118" i="9"/>
  <c r="L63" i="9"/>
  <c r="M63" i="9" s="1"/>
  <c r="C68" i="9"/>
  <c r="D54" i="9" s="1"/>
  <c r="D14" i="53"/>
  <c r="B32" i="72" s="1"/>
  <c r="L64" i="9"/>
  <c r="M64" i="9" s="1"/>
  <c r="L67" i="9"/>
  <c r="M67" i="9" s="1"/>
  <c r="L65" i="9"/>
  <c r="M65" i="9" s="1"/>
  <c r="C6" i="74"/>
  <c r="L66" i="9"/>
  <c r="M66" i="9" s="1"/>
  <c r="C95" i="9"/>
  <c r="C96" i="9" s="1"/>
  <c r="E96" i="9" s="1"/>
  <c r="E97" i="9" s="1"/>
  <c r="C80" i="9"/>
  <c r="E80" i="9" s="1"/>
  <c r="E81" i="9" s="1"/>
  <c r="D4" i="52" l="1"/>
  <c r="B47" i="72" s="1"/>
  <c r="D119" i="9"/>
  <c r="D5" i="52" s="1"/>
  <c r="B49" i="72" s="1"/>
  <c r="M69" i="9"/>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<sst xmlns="http://schemas.openxmlformats.org/spreadsheetml/2006/main" count="8218" uniqueCount="2872">
  <si>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</si>
  <si>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</si>
  <si>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</si>
  <si>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</si>
  <si>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</si>
  <si>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</si>
  <si>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</si>
  <si>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</si>
  <si>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</si>
  <si>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</si>
  <si>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</si>
  <si>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</si>
  <si>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</si>
  <si>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</si>
  <si>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</si>
  <si>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</si>
  <si>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</si>
  <si>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</si>
  <si>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</si>
  <si>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</si>
  <si>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</si>
  <si>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</si>
  <si>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</si>
  <si>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</si>
  <si>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</si>
  <si>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</si>
  <si>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</si>
  <si>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</si>
  <si>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</si>
  <si>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</si>
  <si>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</si>
  <si>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</si>
  <si>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</si>
  <si>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</si>
  <si>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</si>
  <si>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</si>
  <si>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</si>
  <si>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</si>
  <si>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</si>
  <si>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</si>
  <si>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</si>
  <si>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</si>
  <si>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</si>
  <si>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</si>
  <si>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</si>
  <si>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</si>
  <si>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</si>
  <si>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</si>
  <si>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</si>
  <si>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</si>
  <si>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</si>
  <si>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</si>
  <si>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</si>
  <si>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</si>
  <si>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</si>
  <si>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</si>
  <si>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</si>
  <si>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</si>
  <si>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</si>
  <si>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</si>
  <si>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</si>
  <si>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</si>
  <si>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</si>
  <si>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</si>
  <si>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</si>
  <si>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</si>
  <si>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</si>
  <si>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</si>
  <si>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</si>
  <si>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</si>
  <si>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</si>
  <si>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</si>
  <si>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</si>
  <si>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</si>
  <si>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</si>
  <si>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</si>
  <si>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</si>
  <si>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</si>
  <si>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</si>
  <si>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</si>
  <si>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</si>
  <si>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</si>
  <si>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</si>
  <si>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</si>
  <si>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</si>
  <si>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</si>
  <si>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</si>
  <si>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</si>
  <si>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</si>
  <si>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</si>
  <si>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</si>
  <si>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</si>
  <si>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</si>
  <si>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</si>
  <si>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</si>
  <si>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</si>
  <si>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</si>
  <si>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</si>
  <si>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</si>
  <si>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</si>
  <si>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</si>
  <si>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</si>
  <si>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</si>
  <si>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</si>
  <si>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</si>
  <si>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</si>
  <si>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</si>
  <si>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</si>
  <si>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</si>
  <si>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</si>
  <si>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</si>
  <si>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</si>
  <si>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</si>
  <si>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</si>
  <si>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</si>
  <si>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</si>
  <si>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</si>
  <si>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</si>
  <si>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</si>
  <si>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</si>
  <si>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</si>
  <si>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</si>
  <si>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</si>
  <si>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</si>
  <si>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</si>
  <si>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</si>
  <si>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</si>
  <si>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</si>
  <si>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</si>
  <si>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</si>
  <si>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</si>
  <si>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</si>
  <si>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</si>
  <si>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</si>
  <si>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</si>
  <si>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</si>
  <si>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</si>
  <si>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</si>
  <si>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</si>
  <si>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</si>
  <si>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</si>
  <si>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</si>
  <si>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</si>
  <si>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</si>
  <si>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</si>
  <si>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</si>
  <si>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</si>
  <si>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</si>
  <si>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</si>
  <si>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</si>
  <si>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</si>
  <si>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</si>
  <si>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</si>
  <si>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</si>
  <si>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</si>
  <si>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</si>
  <si>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</si>
  <si>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</si>
  <si>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</si>
  <si>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</si>
  <si>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</si>
  <si>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</si>
  <si>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</si>
  <si>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</si>
  <si>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</si>
  <si>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</si>
  <si>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</si>
  <si>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</si>
  <si>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</si>
  <si>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</si>
  <si>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</si>
  <si>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</si>
  <si>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</si>
  <si>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</si>
  <si>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</si>
  <si>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</si>
  <si>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</si>
  <si>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</si>
  <si>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</si>
  <si>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</si>
  <si>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</si>
  <si>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</si>
  <si>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</si>
  <si>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</si>
  <si>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</si>
  <si>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</si>
  <si>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</si>
  <si>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</si>
  <si>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</si>
  <si>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</si>
  <si>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</si>
  <si>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</si>
  <si>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</si>
  <si>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</si>
  <si>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</si>
  <si>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</si>
  <si>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</si>
  <si>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</si>
  <si>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</si>
  <si>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</si>
  <si>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</si>
  <si>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</si>
  <si>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</si>
  <si>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</si>
  <si>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</si>
  <si>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</si>
  <si>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</si>
  <si>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</si>
  <si>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</si>
  <si>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</si>
  <si>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</si>
  <si>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</si>
  <si>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</si>
  <si>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</si>
  <si>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</si>
  <si>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</si>
  <si>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</si>
  <si>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</si>
  <si>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</si>
  <si>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</si>
  <si>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</si>
  <si>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</si>
  <si>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</si>
  <si>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</si>
  <si>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</si>
  <si>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</si>
  <si>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</si>
  <si>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</si>
  <si>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</si>
  <si>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</si>
  <si>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</si>
  <si>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</si>
  <si>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</si>
  <si>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</si>
  <si>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</si>
  <si>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</si>
  <si>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</si>
  <si>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</si>
  <si>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</si>
  <si>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</si>
  <si>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</si>
  <si>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</si>
  <si>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</si>
  <si>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</si>
  <si>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</si>
  <si>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</si>
  <si>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</si>
  <si>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</si>
  <si>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</si>
  <si>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</si>
  <si>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</si>
  <si>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</si>
  <si>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</si>
  <si>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</si>
  <si>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</si>
  <si>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</si>
  <si>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</si>
  <si>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</si>
  <si>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</si>
  <si>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</si>
  <si>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</si>
  <si>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</si>
  <si>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</si>
  <si>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</si>
  <si>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</si>
  <si>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</si>
  <si>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</si>
  <si>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</si>
  <si>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</si>
  <si>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</si>
  <si>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</si>
  <si>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</si>
  <si>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</si>
  <si>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</si>
  <si>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</si>
  <si>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</si>
  <si>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</si>
  <si>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</si>
  <si>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</si>
  <si>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</si>
  <si>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</si>
  <si>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</si>
  <si>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</si>
  <si>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</si>
  <si>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</si>
  <si>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</si>
  <si>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</si>
  <si>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</si>
  <si>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</si>
  <si>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</si>
  <si>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</si>
  <si>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</si>
  <si>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</si>
  <si>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</si>
  <si>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</si>
  <si>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</si>
  <si>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</si>
  <si>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</si>
  <si>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</si>
  <si>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</si>
  <si>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</si>
  <si>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</si>
  <si>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</si>
  <si>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</si>
  <si>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</si>
  <si>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</si>
  <si>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</si>
  <si>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</si>
  <si>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</si>
  <si>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</si>
  <si>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</si>
  <si>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</si>
  <si>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</si>
  <si>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</si>
  <si>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</si>
  <si>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</si>
  <si>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</si>
  <si>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</si>
  <si>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</si>
  <si>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</si>
  <si>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</si>
  <si>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</si>
  <si>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</si>
  <si>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</si>
  <si>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</si>
  <si>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</si>
  <si>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</si>
  <si>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</si>
  <si>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</si>
  <si>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</si>
  <si>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</si>
  <si>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</si>
  <si>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</si>
  <si>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</si>
  <si>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</si>
  <si>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</si>
  <si>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</si>
  <si>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</si>
  <si>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</si>
  <si>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</si>
  <si>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</si>
  <si>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</si>
  <si>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</si>
  <si>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</si>
  <si>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</si>
  <si>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</si>
  <si>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</si>
  <si>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</si>
  <si>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</si>
  <si>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</si>
  <si>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</si>
  <si>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</si>
  <si>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</si>
  <si>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</si>
  <si>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</si>
  <si>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</si>
  <si>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</si>
  <si>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</si>
  <si>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</si>
  <si>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</si>
  <si>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</si>
  <si>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</si>
  <si>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</si>
  <si>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</si>
  <si>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</si>
  <si>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</si>
  <si>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</si>
  <si>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</si>
  <si>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</si>
  <si>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</si>
  <si>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</si>
  <si>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</si>
  <si>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</si>
  <si>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</si>
  <si>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</si>
  <si>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</si>
  <si>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</si>
  <si>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</si>
  <si>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</si>
  <si>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</si>
  <si>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</si>
  <si>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</si>
  <si>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</si>
  <si>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</si>
  <si>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</si>
  <si>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</si>
  <si>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</si>
  <si>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</si>
  <si>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</si>
  <si>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</si>
  <si>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</si>
  <si>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</si>
  <si>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</si>
  <si>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</si>
  <si>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</si>
  <si>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</si>
  <si>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</si>
  <si>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</si>
  <si>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</si>
  <si>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</si>
  <si>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</si>
  <si>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</si>
  <si>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</si>
  <si>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</si>
  <si>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</si>
  <si>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</si>
  <si>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</si>
  <si>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</si>
  <si>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</si>
  <si>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</si>
  <si>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</si>
  <si>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</si>
  <si>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</si>
  <si>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</si>
  <si>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</si>
  <si>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</si>
  <si>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</si>
  <si>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</si>
  <si>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</si>
  <si>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</si>
  <si>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</si>
  <si>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</si>
  <si>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</si>
  <si>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</si>
  <si>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</si>
  <si>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</si>
  <si>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</si>
  <si>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</si>
  <si>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</si>
  <si>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</si>
  <si>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</si>
  <si>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</si>
  <si>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</si>
  <si>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</si>
  <si>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</si>
  <si>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</si>
  <si>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</si>
  <si>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</si>
  <si>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</si>
  <si>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</si>
  <si>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</si>
  <si>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</si>
  <si>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</si>
  <si>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</si>
  <si>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</si>
  <si>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</si>
  <si>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</si>
  <si>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</si>
  <si>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</si>
  <si>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</si>
  <si>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</si>
  <si>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</si>
  <si>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</si>
  <si>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</si>
  <si>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</si>
  <si>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</si>
  <si>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</si>
  <si>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</si>
  <si>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</si>
  <si>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</si>
  <si>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</si>
  <si>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</si>
  <si>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</si>
  <si>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</si>
  <si>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</si>
  <si>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</si>
  <si>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</si>
  <si>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</si>
  <si>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</si>
  <si>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</si>
  <si>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</si>
  <si>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</si>
  <si>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</si>
  <si>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</si>
  <si>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</si>
  <si>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</si>
  <si>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</si>
  <si>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</si>
  <si>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</si>
  <si>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</si>
  <si>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</si>
  <si>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</si>
  <si>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</si>
  <si>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</si>
  <si>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</si>
  <si>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</si>
  <si>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</si>
  <si>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</si>
  <si>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</si>
  <si>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</si>
  <si>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</si>
  <si>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</si>
  <si>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</si>
  <si>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</si>
  <si>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</si>
  <si>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</si>
  <si>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</si>
  <si>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</si>
  <si>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</si>
  <si>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</si>
  <si>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</si>
  <si>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</si>
  <si>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</si>
  <si>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</si>
  <si>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</si>
  <si>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</si>
  <si>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</si>
  <si>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</si>
  <si>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</si>
  <si>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</si>
  <si>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</si>
  <si>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</si>
  <si>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</si>
  <si>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</si>
  <si>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</si>
  <si>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</si>
  <si>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</si>
  <si>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</si>
  <si>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</si>
  <si>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</si>
  <si>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</si>
  <si>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</si>
  <si>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</si>
  <si>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</si>
  <si>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</si>
  <si>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</si>
  <si>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</si>
  <si>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</si>
  <si>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</si>
  <si>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</si>
  <si>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</si>
  <si>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</si>
  <si>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</si>
  <si>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</si>
  <si>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</si>
  <si>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</si>
  <si>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</si>
  <si>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</si>
  <si>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</si>
  <si>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</si>
  <si>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</si>
  <si>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</si>
  <si>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</si>
  <si>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</si>
  <si>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</si>
  <si>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</si>
  <si>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</si>
  <si>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</si>
  <si>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</si>
  <si>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</si>
  <si>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</si>
  <si>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</si>
  <si>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</si>
  <si>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</si>
  <si>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</si>
  <si>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</si>
  <si>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</si>
  <si>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</si>
  <si>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</si>
  <si>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</si>
  <si>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</si>
  <si>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</si>
  <si>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</si>
  <si>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</si>
  <si>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</si>
  <si>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</si>
  <si>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</si>
  <si>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</si>
  <si>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</si>
  <si>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</si>
  <si>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</si>
  <si>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</si>
  <si>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</si>
  <si>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</si>
  <si>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</si>
  <si>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</si>
  <si>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</si>
  <si>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</si>
  <si>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</si>
  <si>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</si>
  <si>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</si>
  <si>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</si>
  <si>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</si>
  <si>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</si>
  <si>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</si>
  <si>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</si>
  <si>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</si>
  <si>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</si>
  <si>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</si>
  <si>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</si>
  <si>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</si>
  <si>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</si>
  <si>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</si>
  <si>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</si>
  <si>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</si>
  <si>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</si>
  <si>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</si>
  <si>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</si>
  <si>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</si>
  <si>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</si>
  <si>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</si>
  <si>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</si>
  <si>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</si>
  <si>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</si>
  <si>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</si>
  <si>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</si>
  <si>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</si>
  <si>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</si>
  <si>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</si>
  <si>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</si>
  <si>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</si>
  <si>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</si>
  <si>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</si>
  <si>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</si>
  <si>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</si>
  <si>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</si>
  <si>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</si>
  <si>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</si>
  <si>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</si>
  <si>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</si>
  <si>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</si>
  <si>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</si>
  <si>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</si>
  <si>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</si>
  <si>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</si>
  <si>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</si>
  <si>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</si>
  <si>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</si>
  <si>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</si>
  <si>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</si>
  <si>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</si>
  <si>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</si>
  <si>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</si>
  <si>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</si>
  <si>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</si>
  <si>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</si>
  <si>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</si>
  <si>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</si>
  <si>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</si>
  <si>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</si>
  <si>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</si>
  <si>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</si>
  <si>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</si>
  <si>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</si>
  <si>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</si>
  <si>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</si>
  <si>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</si>
  <si>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</si>
  <si>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</si>
  <si>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</si>
  <si>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</si>
  <si>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</si>
  <si>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</si>
  <si>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</si>
  <si>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</si>
  <si>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</si>
  <si>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</si>
  <si>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</si>
  <si>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</si>
  <si>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</si>
  <si>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</si>
  <si>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</si>
  <si>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</si>
  <si>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</si>
  <si>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</si>
  <si>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</si>
  <si>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</si>
  <si>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</si>
  <si>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</si>
  <si>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</si>
  <si>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</si>
  <si>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</si>
  <si>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</si>
  <si>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</si>
  <si>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</si>
  <si>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</si>
  <si>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</si>
  <si>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</si>
  <si>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</si>
  <si>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</si>
  <si>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</si>
  <si>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</si>
  <si>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</si>
  <si>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</si>
  <si>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</si>
  <si>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</si>
  <si>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</si>
  <si>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</si>
  <si>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</si>
  <si>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</si>
  <si>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</si>
  <si>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</si>
  <si>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</si>
  <si>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</si>
  <si>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</si>
  <si>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</si>
  <si>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</si>
  <si>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</si>
  <si>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</si>
  <si>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</si>
  <si>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</si>
  <si>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</si>
  <si>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</si>
  <si>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</si>
  <si>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</si>
  <si>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</si>
  <si>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</si>
  <si>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</si>
  <si>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</si>
  <si>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</si>
  <si>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</si>
  <si>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</si>
  <si>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</si>
  <si>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</si>
  <si>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</si>
  <si>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</si>
  <si>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</si>
  <si>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</si>
  <si>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</si>
  <si>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</si>
  <si>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</si>
  <si>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</si>
  <si>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</si>
  <si>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</si>
  <si>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</si>
  <si>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</si>
  <si>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</si>
  <si>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</si>
  <si>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</si>
  <si>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</si>
  <si>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</si>
  <si>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</si>
  <si>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</si>
  <si>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</si>
  <si>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</si>
  <si>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</si>
  <si>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</si>
  <si>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</si>
  <si>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</si>
  <si>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</si>
  <si>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</si>
  <si>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</si>
  <si>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</si>
  <si>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</si>
  <si>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</si>
  <si>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</si>
  <si>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</si>
  <si>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</si>
  <si>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</si>
  <si>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</si>
  <si>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</si>
  <si>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</si>
  <si>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</si>
  <si>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</si>
  <si>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</si>
  <si>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</si>
  <si>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</si>
  <si>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</si>
  <si>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</si>
  <si>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</si>
  <si>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</si>
  <si>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</si>
  <si>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</si>
  <si>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</si>
  <si>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</si>
  <si>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</si>
  <si>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</si>
  <si>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</si>
  <si>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</si>
  <si>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</si>
  <si>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</si>
  <si>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</si>
  <si>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</si>
  <si>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</si>
  <si>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</si>
  <si>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</si>
  <si>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</si>
  <si>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</si>
  <si>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</si>
  <si>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</si>
  <si>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</si>
  <si>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</si>
  <si>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</si>
  <si>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</si>
  <si>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</si>
  <si>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</si>
  <si>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</si>
  <si>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</si>
  <si>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</si>
  <si>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</si>
  <si>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</si>
  <si>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</si>
  <si>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</si>
  <si>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</si>
  <si>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</si>
  <si>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</si>
  <si>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</si>
  <si>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</si>
  <si>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</si>
  <si>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</si>
  <si>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</si>
  <si>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</si>
  <si>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</si>
  <si>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</si>
  <si>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</si>
  <si>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</si>
  <si>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</si>
  <si>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</si>
  <si>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</si>
  <si>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</si>
  <si>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</si>
  <si>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</si>
  <si>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</si>
  <si>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</si>
  <si>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</si>
  <si>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</si>
  <si>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</si>
  <si>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</si>
  <si>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</si>
  <si>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</si>
  <si>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</si>
  <si>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</si>
  <si>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</si>
  <si>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</si>
  <si>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</si>
  <si>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</si>
  <si>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</si>
  <si>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</si>
  <si>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</si>
  <si>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</si>
  <si>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</si>
  <si>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</si>
  <si>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</si>
  <si>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</si>
  <si>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</si>
  <si>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</si>
  <si>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</si>
  <si>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</si>
  <si>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</si>
  <si>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</si>
  <si>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</si>
  <si>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</si>
  <si>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</si>
  <si>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</si>
  <si>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</si>
  <si>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</si>
  <si>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</si>
  <si>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</si>
  <si>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</si>
  <si>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</si>
  <si>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</si>
  <si>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</si>
  <si>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</si>
  <si>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</si>
  <si>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</si>
  <si>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</si>
  <si>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</si>
  <si>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</si>
  <si>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</si>
  <si>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</si>
  <si>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</si>
  <si>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</si>
  <si>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</si>
  <si>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</si>
  <si>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</si>
  <si>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</si>
  <si>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</si>
  <si>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</si>
  <si>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</si>
  <si>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</si>
  <si>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</si>
  <si>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</si>
  <si>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</si>
  <si>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</si>
  <si>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</si>
  <si>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</si>
  <si>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</si>
  <si>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</si>
  <si>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</si>
  <si>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</si>
  <si>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</si>
  <si>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</si>
  <si>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</si>
  <si>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</si>
  <si>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</si>
  <si>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</si>
  <si>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</si>
  <si>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</si>
  <si>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</si>
  <si>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</si>
  <si>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</si>
  <si>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</si>
  <si>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</si>
  <si>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</si>
  <si>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</si>
  <si>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</si>
  <si>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</si>
  <si>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</si>
  <si>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</si>
  <si>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</si>
  <si>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</si>
  <si>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</si>
  <si>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</si>
  <si>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</si>
  <si>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</si>
  <si>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</si>
  <si>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</si>
  <si>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</si>
  <si>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</si>
  <si>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</si>
  <si>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</si>
  <si>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</si>
  <si>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</si>
  <si>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</si>
  <si>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</si>
  <si>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</si>
  <si>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</si>
  <si>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</si>
  <si>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</si>
  <si>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</si>
  <si>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</si>
  <si>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</si>
  <si>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</si>
  <si>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</si>
  <si>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</si>
  <si>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</si>
  <si>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</si>
  <si>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</si>
  <si>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</si>
  <si>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</si>
  <si>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</si>
  <si>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</si>
  <si>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</si>
  <si>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</si>
  <si>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</si>
  <si>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</si>
  <si>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</si>
  <si>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</si>
  <si>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</si>
  <si>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</si>
  <si>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</si>
  <si>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</si>
  <si>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</si>
  <si>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</si>
  <si>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</si>
  <si>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</si>
  <si>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</si>
  <si>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</si>
  <si>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</si>
  <si>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</si>
  <si>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</si>
  <si>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</si>
  <si>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</si>
  <si>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</si>
  <si>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</si>
  <si>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</si>
  <si>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</si>
  <si>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</si>
  <si>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</si>
  <si>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</si>
  <si>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</si>
  <si>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</si>
  <si>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</si>
  <si>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</si>
  <si>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</si>
  <si>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</si>
  <si>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</si>
  <si>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</si>
  <si>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</si>
  <si>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</si>
  <si>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</si>
  <si>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</si>
  <si>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</si>
  <si>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</si>
  <si>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</si>
  <si>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</si>
  <si>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</si>
  <si>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</si>
  <si>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</si>
  <si>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</si>
  <si>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</si>
  <si>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</si>
  <si>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</si>
  <si>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</si>
  <si>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</si>
  <si>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</si>
  <si>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</si>
  <si>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</si>
  <si>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</si>
  <si>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</si>
  <si>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</si>
  <si>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</si>
  <si>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</si>
  <si>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</si>
  <si>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</si>
  <si>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</si>
  <si>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</si>
  <si>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</si>
  <si>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</si>
  <si>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</si>
  <si>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</si>
  <si>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</si>
  <si>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</si>
  <si>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</si>
  <si>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</si>
  <si>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</si>
  <si>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</si>
  <si>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</si>
  <si>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</si>
  <si>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</si>
  <si>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</si>
  <si>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</si>
  <si>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</si>
  <si>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</si>
  <si>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</si>
  <si>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</si>
  <si>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</si>
  <si>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</si>
  <si>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</si>
  <si>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</si>
  <si>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</si>
  <si>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</si>
  <si>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</si>
  <si>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</si>
  <si>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</si>
  <si>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</si>
  <si>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</si>
  <si>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</si>
  <si>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</si>
  <si>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</si>
  <si>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</si>
  <si>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</si>
  <si>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</si>
  <si>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</si>
  <si>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</si>
  <si>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</si>
  <si>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</si>
  <si>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</si>
  <si>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</si>
  <si>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</si>
  <si>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</si>
  <si>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</si>
  <si>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</si>
  <si>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</si>
  <si>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</si>
  <si>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</si>
  <si>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</si>
  <si>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</si>
  <si>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</si>
  <si>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</si>
  <si>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</si>
  <si>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</si>
  <si>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</si>
  <si>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</si>
  <si>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</si>
  <si>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</si>
  <si>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</si>
  <si>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</si>
  <si>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</si>
  <si>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</si>
  <si>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</si>
  <si>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</si>
  <si>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</si>
  <si>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</si>
  <si>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</si>
  <si>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</si>
  <si>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</si>
  <si>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</si>
  <si>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</si>
  <si>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</si>
  <si>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</si>
  <si>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</si>
  <si>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</si>
  <si>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</si>
  <si>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</si>
  <si>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</si>
  <si>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</si>
  <si>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</si>
  <si>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</si>
  <si>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</si>
  <si>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</si>
  <si>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</si>
  <si>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</si>
  <si>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</si>
  <si>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</si>
  <si>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</si>
  <si>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</si>
  <si>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</si>
  <si>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</si>
  <si>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</si>
  <si>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</si>
  <si>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</si>
  <si>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</si>
  <si>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</si>
  <si>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</si>
  <si>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</si>
  <si>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</si>
  <si>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</si>
  <si>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</si>
  <si>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</si>
  <si>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</si>
  <si>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</si>
  <si>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</si>
  <si>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</si>
  <si>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</si>
  <si>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</si>
  <si>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</si>
  <si>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</si>
  <si>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</si>
  <si>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</si>
  <si>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</si>
  <si>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</si>
  <si>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</si>
  <si>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</si>
  <si>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</si>
  <si>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</si>
  <si>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</si>
  <si>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</si>
  <si>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</si>
  <si>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</si>
  <si>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</si>
  <si>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</si>
  <si>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</si>
  <si>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</si>
  <si>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</si>
  <si>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</si>
  <si>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</si>
  <si>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</si>
  <si>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</si>
  <si>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</si>
  <si>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</si>
  <si>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</si>
  <si>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</si>
  <si>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</si>
  <si>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</si>
  <si>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</si>
  <si>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</si>
  <si>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</si>
  <si>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</si>
  <si>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</si>
  <si>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</si>
  <si>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</si>
  <si>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</si>
  <si>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</si>
  <si>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</si>
  <si>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</si>
  <si>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</si>
  <si>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</si>
  <si>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</si>
  <si>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</si>
  <si>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</si>
  <si>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</si>
  <si>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</si>
  <si>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</si>
  <si>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</si>
  <si>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</si>
  <si>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</si>
  <si>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</si>
  <si>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</si>
  <si>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</si>
  <si>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</si>
  <si>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</si>
  <si>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</si>
  <si>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</si>
  <si>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</si>
  <si>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</si>
  <si>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</si>
  <si>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</si>
  <si>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</si>
  <si>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</si>
  <si>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</si>
  <si>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</si>
  <si>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</si>
  <si>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</si>
  <si>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</si>
  <si>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</si>
  <si>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</si>
  <si>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</si>
  <si>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</si>
  <si>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</si>
  <si>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</si>
  <si>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</si>
  <si>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</si>
  <si>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</si>
  <si>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</si>
  <si>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</si>
  <si>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</si>
  <si>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</si>
  <si>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</si>
  <si>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</si>
  <si>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</si>
  <si>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</si>
  <si>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</si>
  <si>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</si>
  <si>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</si>
  <si>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</si>
  <si>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</si>
  <si>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</si>
  <si>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</si>
  <si>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</si>
  <si>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</si>
  <si>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</si>
  <si>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</si>
  <si>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</si>
  <si>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</si>
  <si>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</si>
  <si>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</si>
  <si>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</si>
  <si>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</si>
  <si>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</si>
  <si>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</si>
  <si>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</si>
  <si>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</si>
  <si>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</si>
  <si>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</si>
  <si>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</si>
  <si>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</si>
  <si>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</si>
  <si>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</si>
  <si>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</si>
  <si>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</si>
  <si>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</si>
  <si>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</si>
  <si>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</si>
  <si>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</si>
  <si>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</si>
  <si>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</si>
  <si>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</si>
  <si>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</si>
  <si>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</si>
  <si>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</si>
  <si>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</si>
  <si>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</si>
  <si>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</si>
  <si>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</si>
  <si>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</si>
  <si>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</si>
  <si>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</si>
  <si>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</si>
  <si>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</si>
  <si>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</si>
  <si>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</si>
  <si>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</si>
  <si>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</si>
  <si>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</si>
  <si>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</si>
  <si>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</si>
  <si>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</si>
  <si>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</si>
  <si>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</si>
  <si>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</si>
  <si>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</si>
  <si>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</si>
  <si>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</si>
  <si>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</si>
  <si>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</si>
  <si>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</si>
  <si>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</si>
  <si>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</si>
  <si>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</si>
  <si>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</si>
  <si>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</si>
  <si>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</si>
  <si>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</si>
  <si>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</si>
  <si>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</si>
  <si>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</si>
  <si>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</si>
  <si>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</si>
  <si>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</si>
  <si>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</si>
  <si>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</si>
  <si>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</si>
  <si>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</si>
  <si>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</si>
  <si>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</si>
  <si>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</si>
  <si>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</si>
  <si>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</si>
  <si>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</si>
  <si>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</si>
  <si>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</si>
  <si>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</si>
  <si>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</si>
  <si>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</si>
  <si>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</si>
  <si>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</si>
  <si>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</si>
  <si>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</si>
  <si>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</si>
  <si>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</si>
  <si>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</si>
  <si>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</si>
  <si>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</si>
  <si>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</si>
  <si>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</si>
  <si>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</si>
  <si>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</si>
  <si>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</si>
  <si>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</si>
  <si>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</si>
  <si>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</si>
  <si>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</si>
  <si>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</si>
  <si>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</si>
  <si>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</si>
  <si>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</si>
  <si>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</si>
  <si>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</si>
  <si>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</si>
  <si>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</si>
  <si>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</si>
  <si>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</si>
  <si>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</si>
  <si>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</si>
  <si>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</si>
  <si>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</si>
  <si>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</si>
  <si>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</si>
  <si>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</si>
  <si>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</si>
  <si>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</si>
  <si>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</si>
  <si>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</si>
  <si>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</si>
  <si>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</si>
  <si>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</si>
  <si>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</si>
  <si>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</si>
  <si>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</si>
  <si>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</si>
  <si>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</si>
  <si>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</si>
  <si>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</si>
  <si>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</si>
  <si>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</si>
  <si>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</si>
  <si>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</si>
  <si>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</si>
  <si>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</si>
  <si>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</si>
  <si>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</si>
  <si>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</si>
  <si>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</si>
  <si>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</si>
  <si>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</si>
  <si>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</si>
  <si>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</si>
  <si>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</si>
  <si>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</si>
  <si>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</si>
  <si>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</si>
  <si>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</si>
  <si>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</si>
  <si>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</si>
  <si>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</si>
  <si>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</si>
  <si>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</si>
  <si>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</si>
  <si>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</si>
  <si>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</si>
  <si>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</si>
  <si>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</si>
  <si>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</si>
  <si>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</si>
  <si>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</si>
  <si>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</si>
  <si>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</si>
  <si>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</si>
  <si>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</si>
  <si>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</si>
  <si>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</si>
  <si>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</si>
  <si>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</si>
  <si>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</si>
  <si>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</si>
  <si>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</si>
  <si>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</si>
  <si>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</si>
  <si>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</si>
  <si>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</si>
  <si>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</si>
  <si>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</si>
  <si>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</si>
  <si>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</si>
  <si>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</si>
  <si>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</si>
  <si>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</si>
  <si>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</si>
  <si>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</si>
  <si>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</si>
  <si>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</si>
  <si>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</si>
  <si>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</si>
  <si>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</si>
  <si>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</si>
  <si>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</si>
  <si>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</si>
  <si>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</si>
  <si>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</si>
  <si>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</si>
  <si>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</si>
  <si>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</si>
  <si>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</si>
  <si>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</si>
  <si>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</si>
  <si>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</si>
  <si>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</si>
  <si>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</si>
  <si>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</si>
  <si>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</si>
  <si>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</si>
  <si>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</si>
  <si>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</si>
  <si>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</si>
  <si>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</si>
  <si>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</si>
  <si>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</si>
  <si>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</si>
  <si>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</si>
  <si>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</si>
  <si>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</si>
  <si>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</si>
  <si>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</si>
  <si>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</si>
  <si>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</si>
  <si>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</si>
  <si>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</si>
  <si>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</si>
  <si>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</si>
  <si>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</si>
  <si>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</si>
  <si>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</si>
  <si>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</si>
  <si>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</si>
  <si>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</si>
  <si>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</si>
  <si>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</si>
  <si>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</si>
  <si>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</si>
  <si>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</si>
  <si>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</si>
  <si>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</si>
  <si>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</si>
  <si>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</si>
  <si>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</si>
  <si>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</si>
  <si>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</si>
  <si>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</si>
  <si>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</si>
  <si>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</si>
  <si>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</si>
  <si>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</si>
  <si>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</si>
  <si>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</si>
  <si>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</si>
  <si>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</si>
  <si>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</si>
  <si>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</si>
  <si>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</si>
  <si>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</si>
  <si>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</si>
  <si>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</si>
  <si>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</si>
  <si>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</si>
  <si>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</si>
  <si>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</si>
  <si>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</si>
  <si>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</si>
  <si>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</si>
  <si>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</si>
  <si>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</si>
  <si>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</si>
  <si>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</si>
  <si>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</si>
  <si>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</si>
  <si>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</si>
  <si>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</si>
  <si>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</si>
  <si>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</si>
  <si>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</si>
  <si>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</si>
  <si>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</si>
  <si>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</si>
  <si>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</si>
  <si>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</si>
  <si>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</si>
  <si>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</si>
  <si>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</si>
  <si>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</si>
  <si>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</si>
  <si>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</si>
  <si>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</si>
  <si>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</si>
  <si>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</si>
  <si>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</si>
  <si>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</si>
  <si>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</si>
  <si>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</si>
  <si>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</si>
  <si>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</si>
  <si>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</si>
  <si>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</si>
  <si>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</si>
  <si>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</si>
  <si>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</si>
  <si>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</si>
  <si>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</si>
  <si>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</si>
  <si>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</si>
  <si>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</si>
  <si>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</si>
  <si>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</si>
  <si>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</si>
  <si>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</si>
  <si>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</si>
  <si>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</si>
  <si>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</si>
  <si>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</si>
  <si>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</si>
  <si>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</si>
  <si>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</si>
  <si>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</si>
  <si>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</si>
  <si>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</si>
  <si>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</si>
  <si>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</si>
  <si>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</si>
  <si>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</si>
  <si>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</si>
  <si>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</si>
  <si>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</si>
  <si>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</si>
  <si>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</si>
  <si>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</si>
  <si>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</si>
  <si>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</si>
  <si>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</si>
  <si>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</si>
  <si>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</si>
  <si>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</si>
  <si>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</si>
  <si>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</si>
  <si>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</si>
  <si>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</si>
  <si>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</si>
  <si>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</si>
  <si>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</si>
  <si>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</si>
  <si>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</si>
  <si>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</si>
  <si>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</si>
  <si>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</si>
  <si>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</si>
  <si>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</si>
  <si>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</si>
  <si>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</si>
  <si>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</si>
  <si>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</si>
  <si>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</si>
  <si>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</si>
  <si>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</si>
  <si>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</si>
  <si>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</si>
  <si>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</si>
  <si>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</si>
  <si>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</si>
  <si>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</si>
  <si>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</si>
  <si>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</si>
  <si>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</si>
  <si>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</si>
  <si>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</si>
  <si>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</si>
  <si>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</si>
  <si>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</si>
  <si>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</si>
  <si>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</si>
  <si>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</si>
  <si>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</si>
  <si>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</si>
  <si>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</si>
  <si>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</si>
  <si>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</si>
  <si>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</si>
  <si>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</si>
  <si>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</si>
  <si>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</si>
  <si>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</si>
  <si>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</si>
  <si>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</si>
  <si>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</si>
  <si>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</si>
  <si>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</si>
  <si>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</si>
  <si>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</si>
  <si>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</si>
  <si>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</si>
  <si>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</si>
  <si>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</si>
  <si>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</si>
  <si>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</si>
  <si>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</si>
  <si>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</si>
  <si>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</si>
  <si>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</si>
  <si>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</si>
  <si>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</si>
  <si>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</si>
  <si>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</si>
  <si>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</si>
  <si>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</si>
  <si>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</si>
  <si>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</si>
  <si>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</si>
  <si>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</si>
  <si>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</si>
  <si>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</si>
  <si>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</si>
  <si>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</si>
  <si>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</si>
  <si>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</si>
  <si>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</si>
  <si>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</si>
  <si>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</si>
  <si>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</si>
  <si>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</si>
  <si>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</si>
  <si>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</si>
  <si>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</si>
  <si>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</si>
  <si>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</si>
  <si>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</si>
  <si>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</si>
  <si>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</si>
  <si>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</si>
  <si>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</si>
  <si>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</si>
  <si>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</si>
  <si>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</si>
  <si>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</si>
  <si>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</si>
  <si>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</si>
  <si>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</si>
  <si>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</si>
  <si>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</si>
  <si>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</si>
  <si>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</si>
  <si>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</si>
  <si>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</si>
  <si>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</si>
  <si>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</si>
  <si>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</si>
  <si>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</si>
  <si>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</si>
  <si>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</si>
  <si>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</si>
  <si>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</si>
  <si>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</si>
  <si>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</si>
  <si>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</si>
  <si>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</si>
  <si>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</si>
  <si>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</si>
  <si>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</si>
  <si>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</si>
  <si>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</si>
  <si>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</si>
  <si>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</si>
  <si>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</si>
  <si>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</si>
  <si>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</si>
  <si>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</si>
  <si>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</si>
  <si>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</si>
  <si>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</si>
  <si>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</si>
  <si>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</si>
  <si>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</si>
  <si>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</si>
  <si>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</si>
  <si>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</si>
  <si>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</si>
  <si>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</si>
  <si>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</si>
  <si>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</si>
  <si>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</si>
  <si>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</si>
  <si>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</si>
  <si>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</si>
  <si>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</si>
  <si>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</si>
  <si>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</si>
  <si>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</si>
  <si>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</si>
  <si>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</si>
  <si>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</si>
  <si>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</si>
  <si>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</si>
  <si>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</si>
  <si>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</si>
  <si>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</si>
  <si>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</si>
  <si>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</si>
  <si>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</si>
  <si>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</si>
  <si>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</si>
  <si>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</si>
  <si>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</si>
  <si>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</si>
  <si>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</si>
  <si>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</si>
  <si>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</si>
  <si>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</si>
  <si>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</si>
  <si>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</si>
  <si>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</si>
  <si>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</si>
  <si>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</si>
  <si>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</si>
  <si>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</si>
  <si>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</si>
  <si>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</si>
  <si>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</si>
  <si>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</si>
  <si>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</si>
  <si>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</si>
  <si>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</si>
  <si>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</si>
  <si>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</si>
  <si>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</si>
  <si>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</si>
  <si>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</si>
  <si>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</si>
  <si>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</si>
  <si>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</si>
  <si>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</si>
  <si>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</si>
  <si>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</si>
  <si>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</si>
  <si>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</si>
  <si>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</si>
  <si>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</si>
  <si>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</si>
  <si>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</si>
  <si>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</si>
  <si>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</si>
  <si>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</si>
  <si>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</si>
  <si>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</si>
  <si>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</si>
  <si>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</si>
  <si>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</si>
  <si>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</si>
  <si>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</si>
  <si>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</si>
  <si>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</si>
  <si>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</si>
  <si>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</si>
  <si>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</si>
  <si>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</si>
  <si>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</si>
  <si>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</si>
  <si>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</si>
  <si>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</si>
  <si>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</si>
  <si>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</si>
  <si>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</si>
  <si>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</si>
  <si>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</si>
  <si>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</si>
  <si>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</si>
  <si>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</si>
  <si>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</si>
  <si>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</si>
  <si>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</si>
  <si>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</si>
  <si>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</si>
  <si>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</si>
  <si>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</si>
  <si>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</si>
  <si>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</si>
  <si>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</si>
  <si>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</si>
  <si>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</si>
  <si>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</si>
  <si>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</si>
  <si>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</si>
  <si>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</si>
  <si>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</si>
  <si>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</si>
  <si>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</si>
  <si>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</si>
  <si>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</si>
  <si>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</si>
  <si>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</si>
  <si>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</si>
  <si>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</si>
  <si>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</si>
  <si>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</si>
  <si>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</si>
  <si>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</si>
  <si>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</si>
  <si>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</si>
  <si>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</si>
  <si>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</si>
  <si>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</si>
  <si>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</si>
  <si>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</si>
  <si>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</si>
  <si>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</si>
  <si>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</si>
  <si>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</si>
  <si>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</si>
  <si>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</si>
  <si>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</si>
  <si>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</si>
  <si>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</si>
  <si>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</si>
  <si>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</si>
  <si>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</si>
  <si>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</si>
  <si>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</si>
  <si>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</si>
  <si>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</si>
  <si>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</si>
  <si>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</si>
  <si>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</si>
  <si>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</si>
  <si>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</si>
  <si>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</si>
  <si>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</si>
  <si>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</si>
  <si>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</si>
  <si>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</si>
  <si>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</si>
  <si>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</si>
  <si>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</si>
  <si>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</si>
  <si>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</si>
  <si>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</si>
  <si>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</si>
  <si>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</si>
  <si>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</si>
  <si>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</si>
  <si>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</si>
  <si>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</si>
  <si>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</si>
  <si>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</si>
  <si>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</si>
  <si>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</si>
  <si>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</si>
  <si>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</si>
  <si>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</si>
  <si>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</si>
  <si>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</si>
  <si>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</si>
  <si>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</si>
  <si>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</si>
  <si>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</si>
  <si>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</si>
  <si>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</si>
  <si>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</si>
  <si>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</si>
  <si>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</si>
  <si>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</si>
  <si>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</si>
  <si>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</si>
  <si>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</si>
  <si>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</si>
  <si>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</si>
  <si>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</si>
  <si>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</si>
  <si>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</si>
  <si>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</si>
  <si>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</si>
  <si>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</si>
  <si>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</si>
  <si>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</si>
  <si>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</si>
  <si>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</si>
  <si>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</si>
  <si>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</si>
  <si>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</si>
  <si>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</si>
  <si>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</si>
  <si>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</si>
  <si>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</si>
  <si>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</si>
  <si>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</si>
  <si>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</si>
  <si>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</si>
  <si>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</si>
  <si>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</si>
  <si>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</si>
  <si>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</si>
  <si>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</si>
  <si>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</si>
  <si>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</si>
  <si>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</si>
  <si>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</si>
  <si>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</si>
  <si>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</si>
  <si>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</si>
  <si>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</si>
  <si>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</si>
  <si>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</si>
  <si>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</si>
  <si>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</si>
  <si>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</si>
  <si>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</si>
  <si>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</si>
  <si>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</si>
  <si>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</si>
  <si>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</si>
  <si>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</si>
  <si>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</si>
  <si>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</si>
  <si>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</si>
  <si>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</si>
  <si>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</si>
  <si>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</si>
  <si>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</si>
  <si>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</si>
  <si>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</si>
  <si>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</si>
  <si>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</si>
  <si>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</si>
  <si>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</si>
  <si>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</si>
  <si>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</si>
  <si>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</si>
  <si>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</si>
  <si>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</si>
  <si>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</si>
  <si>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</si>
  <si>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</si>
  <si>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</si>
  <si>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</si>
  <si>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</si>
  <si>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</si>
  <si>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</si>
  <si>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</si>
  <si>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</si>
  <si>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</si>
  <si>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</si>
  <si>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</si>
  <si>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</si>
  <si>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</si>
  <si>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</si>
  <si>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</si>
  <si>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</si>
  <si>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</si>
  <si>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</si>
  <si>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</si>
  <si>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</si>
  <si>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</si>
  <si>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</si>
  <si>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</si>
  <si>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</si>
  <si>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</si>
  <si>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</si>
  <si>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</si>
  <si>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</si>
  <si>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</si>
  <si>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</si>
  <si>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</si>
  <si>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</si>
  <si>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</si>
  <si>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</si>
  <si>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</si>
  <si>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</si>
  <si>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</si>
  <si>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</si>
  <si>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</si>
  <si>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</si>
  <si>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</si>
  <si>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</si>
  <si>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</si>
  <si>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</si>
  <si>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</si>
  <si>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</si>
  <si>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</si>
  <si>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</si>
  <si>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</si>
  <si>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</si>
  <si>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</si>
  <si>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</si>
  <si>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</si>
  <si>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</si>
  <si>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</si>
  <si>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</si>
  <si>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</si>
  <si>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</si>
  <si>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</si>
  <si>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</si>
  <si>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</si>
  <si>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</si>
  <si>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</si>
  <si>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</si>
  <si>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</si>
  <si>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</si>
  <si>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</si>
  <si>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</si>
  <si>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</si>
  <si>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</si>
  <si>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</si>
  <si>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</si>
  <si>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</si>
  <si>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</si>
  <si>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</si>
  <si>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</si>
  <si>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</si>
  <si>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</si>
  <si>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</si>
  <si>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</si>
  <si>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</si>
  <si>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</si>
  <si>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</si>
  <si>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</si>
  <si>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</si>
  <si>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</si>
  <si>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</si>
  <si>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</si>
  <si>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</si>
  <si>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</si>
  <si>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</si>
  <si>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</si>
  <si>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</si>
  <si>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</si>
  <si>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</si>
  <si>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</si>
  <si>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</si>
  <si>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</si>
  <si>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</si>
  <si>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</si>
  <si>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</si>
  <si>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</si>
  <si>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</si>
  <si>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</si>
  <si>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</si>
  <si>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</si>
  <si>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</si>
  <si>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</si>
  <si>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</si>
  <si>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</si>
  <si>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</si>
  <si>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</si>
  <si>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</si>
  <si>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</si>
  <si>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</si>
  <si>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</si>
  <si>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</si>
  <si>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</si>
  <si>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</si>
  <si>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</si>
  <si>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</si>
  <si>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</si>
  <si>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</si>
  <si>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</si>
  <si>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</si>
  <si>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</si>
  <si>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</si>
  <si>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</si>
  <si>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</si>
  <si>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</si>
  <si>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</si>
  <si>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</si>
  <si>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</si>
  <si>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</si>
  <si>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</si>
  <si>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</si>
  <si>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</si>
  <si>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</si>
  <si>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</si>
  <si>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</si>
  <si>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</si>
  <si>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</si>
  <si>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</si>
  <si>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</si>
  <si>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</si>
  <si>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</si>
  <si>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</si>
  <si>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</si>
  <si>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</si>
  <si>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</si>
  <si>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</si>
  <si>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</si>
  <si>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</si>
  <si>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</si>
  <si>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</si>
  <si>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</si>
  <si>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</si>
  <si>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</si>
  <si>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</si>
  <si>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</si>
  <si>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</si>
  <si>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</si>
  <si>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</si>
  <si>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</si>
  <si>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</si>
  <si>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</si>
  <si>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</si>
  <si>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</si>
  <si>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</si>
  <si>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</si>
  <si>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</si>
  <si>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</si>
  <si>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</si>
  <si>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</si>
  <si>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</si>
  <si>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</si>
  <si>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</si>
  <si>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</si>
  <si>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</si>
  <si>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</si>
  <si>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</si>
  <si>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</si>
  <si>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</si>
  <si>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</si>
  <si>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</si>
  <si>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</si>
  <si>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</si>
  <si>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</si>
  <si>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</si>
  <si>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</si>
  <si>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</si>
  <si>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</si>
  <si>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</si>
  <si>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</si>
  <si>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</si>
  <si>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</si>
  <si>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</si>
  <si>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</si>
  <si>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</si>
  <si>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</si>
  <si>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</si>
  <si>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</si>
  <si>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</si>
  <si>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</si>
  <si>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</si>
  <si>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</si>
  <si>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</si>
  <si>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</si>
  <si>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</si>
  <si>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</si>
  <si>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</si>
  <si>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</si>
  <si>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</si>
  <si>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</si>
  <si>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</si>
  <si>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</si>
  <si>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</si>
  <si>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</si>
  <si>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</si>
  <si>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</si>
  <si>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</si>
  <si>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</si>
  <si>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</si>
  <si>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</si>
  <si>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</si>
  <si>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</si>
  <si>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</si>
  <si>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</si>
  <si>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</si>
  <si>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</si>
  <si>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</si>
  <si>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</si>
  <si>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</si>
  <si>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</si>
  <si>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</si>
  <si>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</si>
  <si>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</si>
  <si>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</si>
  <si>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</si>
  <si>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</si>
  <si>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</si>
  <si>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</si>
  <si>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</si>
  <si>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</si>
  <si>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</si>
  <si>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</si>
  <si>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</si>
  <si>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</si>
  <si>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</si>
  <si>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</si>
  <si>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</si>
  <si>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</si>
  <si>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</si>
  <si>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</si>
  <si>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</si>
  <si>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</si>
  <si>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</si>
  <si>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</si>
  <si>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</si>
  <si>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</si>
  <si>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</si>
  <si>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</si>
  <si>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</si>
  <si>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</si>
  <si>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</si>
  <si>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</si>
  <si>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</si>
  <si>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</si>
  <si>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</si>
  <si>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</si>
  <si>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</si>
  <si>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</si>
  <si>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</si>
  <si>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</si>
  <si>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</si>
  <si>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</si>
  <si>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</si>
  <si>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</si>
  <si>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</si>
  <si>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</si>
  <si>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</si>
  <si>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</si>
  <si>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</si>
  <si>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</si>
  <si>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</si>
  <si>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</si>
  <si>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</si>
  <si>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</si>
  <si>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</si>
  <si>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</si>
  <si>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</si>
  <si>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</si>
  <si>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</si>
  <si>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</si>
  <si>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</si>
  <si>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</si>
  <si>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</si>
  <si>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</si>
  <si>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</si>
  <si>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</si>
  <si>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</si>
  <si>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</si>
  <si>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</si>
  <si>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</si>
  <si>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</si>
  <si>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</si>
  <si>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</si>
  <si>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</si>
  <si>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</si>
  <si>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</si>
  <si>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</si>
  <si>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</si>
  <si>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</si>
  <si>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</si>
  <si>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</si>
  <si>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</si>
  <si>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</si>
  <si>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</si>
  <si>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</si>
  <si>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</si>
  <si>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</si>
  <si>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</si>
  <si>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</si>
  <si>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</si>
  <si>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</si>
  <si>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</si>
  <si>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</si>
  <si>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</si>
  <si>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</si>
  <si>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</si>
  <si>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</si>
  <si>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</si>
  <si>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</si>
  <si>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</si>
  <si>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</si>
  <si>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</si>
  <si>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</si>
  <si>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</si>
  <si>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</si>
  <si>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</si>
  <si>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</si>
  <si>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</si>
  <si>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</si>
  <si>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</si>
  <si>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</si>
  <si>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</si>
  <si>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</si>
  <si>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</si>
  <si>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</si>
  <si>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</si>
  <si>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</si>
  <si>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</si>
  <si>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</si>
  <si>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</si>
  <si>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</si>
  <si>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</si>
  <si>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</si>
  <si>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</si>
  <si>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</si>
  <si>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</si>
  <si>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</si>
  <si>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</si>
  <si>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</si>
  <si>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</si>
  <si>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</si>
  <si>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</si>
  <si>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</si>
  <si>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</si>
  <si>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</si>
  <si>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</si>
  <si>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</si>
  <si>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</si>
  <si>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</si>
  <si>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</si>
  <si>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</si>
  <si>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</si>
  <si>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</si>
  <si>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</si>
  <si>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</si>
  <si>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</si>
  <si>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</si>
  <si>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</si>
  <si>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</si>
  <si>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</si>
  <si>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</si>
  <si>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</si>
  <si>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</si>
  <si>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</si>
  <si>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</si>
  <si>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</si>
  <si>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</si>
  <si>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</si>
  <si>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</si>
  <si>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</si>
  <si>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</si>
  <si>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</si>
  <si>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</si>
  <si>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</si>
  <si>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</si>
  <si>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</si>
  <si>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</si>
  <si>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</si>
  <si>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</si>
  <si>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</si>
  <si>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</si>
  <si>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</si>
  <si>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</si>
  <si>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</si>
  <si>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</si>
  <si>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</si>
  <si>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</si>
  <si>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</si>
  <si>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</si>
  <si>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</si>
  <si>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</si>
  <si>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</si>
  <si>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</si>
  <si>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</si>
  <si>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</si>
  <si>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</si>
  <si>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</si>
  <si>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</si>
  <si>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</si>
  <si>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</si>
  <si>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</si>
  <si>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</si>
  <si>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</si>
  <si>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</si>
  <si>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</si>
  <si>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</si>
  <si>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</si>
  <si>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</si>
  <si>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</si>
  <si>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</si>
  <si>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</si>
  <si>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</si>
  <si>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</si>
  <si>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</si>
  <si>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</si>
  <si>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</si>
  <si>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</si>
  <si>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</si>
  <si>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</si>
  <si>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</si>
  <si>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</si>
  <si>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</si>
  <si>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</si>
  <si>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</si>
  <si>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</si>
  <si>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</si>
  <si>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</si>
  <si>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</si>
  <si>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</si>
  <si>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</si>
  <si>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</si>
  <si>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</si>
  <si>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</si>
  <si>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</si>
  <si>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</si>
  <si>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</si>
  <si>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</si>
  <si>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</si>
  <si>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</si>
  <si>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</si>
  <si>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</si>
  <si>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</si>
  <si>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</si>
  <si>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</si>
  <si>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</si>
  <si>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</si>
  <si>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</si>
  <si>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</si>
  <si>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</si>
  <si>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</si>
  <si>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</si>
  <si>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</si>
  <si>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</si>
  <si>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</si>
  <si>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</si>
  <si>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</si>
  <si>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</si>
  <si>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</si>
  <si>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</si>
  <si>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</si>
  <si>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</si>
  <si>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</si>
  <si>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</si>
  <si>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</si>
  <si>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</si>
  <si>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</si>
  <si>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</si>
  <si>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</si>
  <si>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</si>
  <si>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</si>
  <si>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</si>
  <si>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</si>
  <si>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</si>
  <si>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</si>
  <si>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</si>
  <si>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</si>
  <si>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</si>
  <si>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</si>
  <si>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</si>
  <si>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</si>
  <si>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</si>
  <si>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</si>
  <si>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</si>
  <si>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</si>
  <si>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</si>
  <si>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</si>
  <si>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</si>
  <si>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</si>
  <si>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</si>
  <si>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</si>
  <si>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</si>
  <si>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</si>
  <si>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</si>
  <si>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</si>
  <si>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</si>
  <si>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</si>
  <si>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</si>
  <si>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</si>
  <si>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</si>
  <si>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</si>
  <si>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</si>
  <si>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</si>
  <si>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</si>
  <si>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</si>
  <si>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</si>
  <si>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</si>
  <si>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</si>
  <si>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</si>
  <si>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</si>
  <si>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</si>
  <si>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</si>
  <si>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</si>
  <si>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</si>
  <si>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</si>
  <si>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</si>
  <si>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</si>
  <si>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</si>
  <si>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</si>
  <si>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</si>
  <si>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</si>
  <si>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</si>
  <si>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</si>
  <si>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</si>
  <si>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</si>
  <si>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</si>
  <si>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</si>
  <si>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</si>
  <si>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</si>
  <si>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</si>
  <si>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</si>
  <si>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</si>
  <si>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</si>
  <si>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</si>
  <si>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</si>
  <si>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</si>
  <si>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</si>
  <si>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</si>
  <si>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</si>
  <si>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</si>
  <si>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</si>
  <si>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</si>
  <si>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</si>
  <si>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</si>
  <si>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</si>
  <si>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</si>
  <si>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</si>
  <si>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</si>
  <si>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</si>
  <si>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</si>
  <si>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</si>
  <si>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</si>
  <si>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</si>
  <si>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</si>
  <si>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</si>
  <si>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</si>
  <si>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</si>
  <si>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</si>
  <si>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</si>
  <si>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</si>
  <si>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</si>
  <si>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</si>
  <si>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</si>
  <si>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</si>
  <si>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</si>
  <si>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</si>
  <si>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</si>
  <si>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</si>
  <si>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</si>
  <si>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</si>
  <si>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</si>
  <si>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</si>
  <si>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</si>
  <si>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</si>
  <si>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</si>
  <si>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</si>
  <si>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</si>
  <si>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</si>
  <si>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</si>
  <si>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</si>
  <si>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</si>
  <si>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</si>
  <si>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</si>
  <si>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</si>
  <si>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</si>
  <si>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</si>
  <si>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</si>
  <si>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</si>
  <si>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</si>
  <si>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</si>
  <si>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</si>
  <si>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</si>
  <si>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</si>
  <si>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</si>
  <si>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</si>
  <si>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</si>
  <si>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</si>
  <si>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</si>
  <si>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</si>
  <si>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</si>
  <si>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</si>
  <si>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</si>
  <si>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</si>
  <si>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</si>
  <si>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</si>
  <si>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</si>
  <si>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</si>
  <si>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</si>
  <si>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</si>
  <si>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</si>
  <si>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</si>
  <si>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</si>
  <si>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</si>
  <si>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</si>
  <si>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</si>
  <si>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</si>
  <si>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</si>
  <si>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</si>
  <si>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</si>
  <si>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</si>
  <si>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</si>
  <si>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</si>
  <si>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</si>
  <si>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</si>
  <si>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</si>
  <si>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</si>
  <si>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</si>
  <si>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</si>
  <si>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</si>
  <si>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</si>
  <si>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</si>
  <si>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</si>
  <si>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</si>
  <si>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</si>
  <si>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</si>
  <si>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</si>
  <si>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</si>
  <si>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</si>
  <si>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</si>
  <si>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</si>
  <si>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</si>
  <si>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</si>
  <si>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</si>
  <si>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</si>
  <si>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</si>
  <si>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</si>
  <si>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</si>
  <si>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</si>
  <si>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</si>
  <si>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</si>
  <si>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</si>
  <si>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</si>
  <si>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</si>
  <si>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</si>
  <si>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</si>
  <si>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</si>
  <si>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</si>
  <si>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</si>
  <si>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</si>
  <si>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</si>
  <si>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</si>
  <si>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</si>
  <si>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</si>
  <si>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</si>
  <si>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</si>
  <si>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</si>
  <si>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</si>
  <si>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</si>
  <si>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</si>
  <si>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</si>
  <si>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</si>
  <si>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</si>
  <si>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</si>
  <si>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</si>
  <si>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</si>
  <si>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</si>
  <si>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</si>
  <si>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</si>
  <si>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</si>
  <si>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</si>
  <si>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</si>
  <si>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</si>
  <si>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</si>
  <si>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</si>
  <si>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</si>
  <si>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</si>
  <si>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</si>
  <si>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</si>
  <si>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</si>
  <si>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</si>
  <si>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</si>
  <si>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</si>
  <si>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</si>
  <si>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</si>
  <si>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</si>
  <si>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</si>
  <si>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</si>
  <si>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</si>
  <si>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</si>
  <si>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</si>
  <si>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</si>
  <si>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</si>
  <si>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</si>
  <si>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</si>
  <si>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</si>
  <si>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</si>
  <si>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</si>
  <si>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</si>
  <si>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</si>
  <si>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</si>
  <si>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</si>
  <si>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</si>
  <si>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</si>
  <si>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</si>
  <si>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</si>
  <si>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</si>
  <si>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</si>
  <si>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</si>
  <si>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</si>
  <si>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</si>
  <si>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</si>
  <si>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</si>
  <si>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</si>
  <si>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</si>
  <si>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</si>
  <si>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</si>
  <si>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</si>
  <si>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</si>
  <si>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</si>
  <si>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</si>
  <si>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</si>
  <si>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</si>
  <si>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</si>
  <si>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</si>
  <si>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</si>
  <si>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</si>
  <si>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</si>
  <si>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</si>
  <si>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</si>
  <si>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</si>
  <si>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</si>
  <si>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</si>
  <si>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</si>
  <si>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</si>
  <si>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</si>
  <si>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</si>
  <si>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</si>
  <si>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</si>
  <si>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</si>
  <si>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</si>
  <si>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</si>
  <si>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</si>
  <si>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</si>
  <si>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</si>
  <si>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</si>
  <si>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</si>
  <si>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</si>
  <si>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</si>
  <si>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</si>
  <si>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</si>
  <si>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</si>
  <si>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</si>
  <si>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</si>
  <si>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</si>
  <si>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</si>
  <si>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</si>
  <si>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</si>
  <si>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</si>
  <si>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</si>
  <si>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</si>
  <si>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</si>
  <si>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</si>
  <si>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</si>
  <si>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</si>
  <si>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</si>
  <si>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</si>
  <si>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</si>
  <si>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</si>
  <si>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</si>
  <si>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</si>
  <si>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</si>
  <si>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</si>
  <si>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</si>
  <si>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</si>
  <si>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</si>
  <si>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</si>
  <si>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</si>
  <si>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</si>
  <si>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</si>
  <si>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</si>
  <si>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</si>
  <si>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</si>
  <si>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</si>
  <si>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</si>
  <si>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</si>
  <si>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</si>
  <si>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</si>
  <si>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</si>
  <si>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</si>
  <si>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</si>
  <si>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</si>
  <si>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</si>
  <si>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</si>
  <si>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</si>
  <si>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</si>
  <si>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</si>
  <si>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</si>
  <si>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</si>
  <si>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</si>
  <si>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</si>
  <si>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</si>
  <si>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</si>
  <si>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</si>
  <si>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</si>
  <si>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</si>
  <si>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</si>
  <si>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</si>
  <si>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</si>
  <si>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</si>
  <si>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</si>
  <si>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</si>
  <si>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</si>
  <si>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</si>
  <si>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</si>
  <si>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</si>
  <si>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</si>
  <si>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</si>
  <si>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</si>
  <si>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</si>
  <si>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</si>
  <si>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</si>
  <si>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</si>
  <si>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</si>
  <si>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</si>
  <si>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</si>
  <si>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</si>
  <si>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</si>
  <si>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</si>
  <si>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</si>
  <si>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</si>
  <si>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</si>
  <si>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</si>
  <si>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</si>
  <si>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</si>
  <si>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</si>
  <si>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</si>
  <si>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</si>
  <si>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</si>
  <si>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</si>
  <si>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</si>
  <si>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</si>
  <si>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</si>
  <si>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</si>
  <si>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</si>
  <si>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</si>
  <si>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</si>
  <si>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</si>
  <si>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</si>
  <si>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</si>
  <si>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</si>
  <si>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</si>
  <si>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</si>
  <si>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</si>
  <si>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</si>
  <si>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</si>
  <si>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</si>
  <si>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</si>
  <si>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</si>
  <si>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</si>
  <si>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</si>
  <si>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</si>
  <si>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</si>
  <si>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</si>
  <si>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</si>
  <si>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</si>
  <si>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</si>
  <si>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</si>
  <si>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</si>
  <si>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</si>
  <si>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</si>
  <si>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</si>
  <si>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</si>
  <si>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</si>
  <si>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</si>
  <si>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</si>
  <si>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</si>
  <si>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</si>
  <si>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</si>
  <si>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</si>
  <si>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商业项目</t>
  </si>
  <si>
    <t>商业</t>
    <phoneticPr fontId="228" type="noConversion"/>
  </si>
  <si>
    <t>商业</t>
    <phoneticPr fontId="228" type="noConversion"/>
  </si>
  <si>
    <t>正常</t>
  </si>
  <si>
    <t>挂牌</t>
  </si>
  <si>
    <t>挂牌</t>
    <phoneticPr fontId="228" type="noConversion"/>
  </si>
  <si>
    <t>临外街</t>
    <phoneticPr fontId="228" type="noConversion"/>
  </si>
  <si>
    <t>临内街</t>
  </si>
  <si>
    <t>临内街</t>
    <phoneticPr fontId="228" type="noConversion"/>
  </si>
  <si>
    <t>不临街</t>
    <phoneticPr fontId="228" type="noConversion"/>
  </si>
  <si>
    <t>楼面单价</t>
  </si>
  <si>
    <t>有</t>
  </si>
  <si>
    <t>收益法</t>
  </si>
  <si>
    <t>成本法</t>
  </si>
  <si>
    <t>估价对象容积率</t>
  </si>
  <si>
    <t>中心城区以外</t>
  </si>
  <si>
    <t>楼层修正</t>
  </si>
  <si>
    <t>与级别开发程度不一致</t>
  </si>
  <si>
    <r>
      <t>1-3</t>
    </r>
    <r>
      <rPr>
        <sz val="11"/>
        <color indexed="8"/>
        <rFont val="宋体"/>
        <family val="3"/>
        <charset val="134"/>
      </rPr>
      <t>层</t>
    </r>
    <phoneticPr fontId="228" type="noConversion"/>
  </si>
  <si>
    <t>住宅底商</t>
    <phoneticPr fontId="228" type="noConversion"/>
  </si>
  <si>
    <t>1-3层</t>
  </si>
  <si>
    <r>
      <t>1</t>
    </r>
    <r>
      <rPr>
        <sz val="11"/>
        <color indexed="8"/>
        <rFont val="宋体"/>
        <family val="3"/>
        <charset val="134"/>
      </rPr>
      <t>层</t>
    </r>
    <phoneticPr fontId="228" type="noConversion"/>
  </si>
  <si>
    <t>1层</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</si>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</sst>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14" fillId="0" borderId="0" xfId="0" applyFont="1">
      <alignment vertical="center"/>
    </xf>
    <xf numFmtId="49" fontId="0" fillId="0" borderId="0" xfId="0" applyNumberFormat="1">
      <alignment vertical="center"/>
    </xf>
    <xf numFmtId="49" fontId="114" fillId="0" borderId="0" xfId="0" applyNumberFormat="1" applyFont="1">
      <alignment vertical="center"/>
    </xf>
    <xf numFmtId="2" fontId="26" fillId="0" borderId="7" xfId="0" applyNumberFormat="1" applyFont="1" applyBorder="1" applyAlignment="1" applyProtection="1">
      <alignment vertical="center" wrapText="1"/>
      <protection locked="0"/>
    </xf>
    <xf numFmtId="2" fontId="48" fillId="0" borderId="7" xfId="6"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185" fontId="55" fillId="7" borderId="0" xfId="0" applyNumberFormat="1"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409095</xdr:colOff>
      <xdr:row>19</xdr:row>
      <xdr:rowOff>142450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838095" cy="3400000"/>
        </a:xfrm>
        <a:prstGeom prst="rect">
          <a:avLst/>
        </a:prstGeom>
      </xdr:spPr>
    </xdr:pic>
    <xdr:clientData/>
  </xdr:twoCellAnchor>
  <xdr:twoCellAnchor editAs="oneCell">
    <xdr:from>
      <xdr:col>0</xdr:col>
      <xdr:colOff>0</xdr:colOff>
      <xdr:row>20</xdr:row>
      <xdr:rowOff>0</xdr:rowOff>
    </xdr:from>
    <xdr:to>
      <xdr:col>5</xdr:col>
      <xdr:colOff>361476</xdr:colOff>
      <xdr:row>26</xdr:row>
      <xdr:rowOff>152252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429000"/>
          <a:ext cx="3790476" cy="1180952"/>
        </a:xfrm>
        <a:prstGeom prst="rect">
          <a:avLst/>
        </a:prstGeom>
      </xdr:spPr>
    </xdr:pic>
    <xdr:clientData/>
  </xdr:twoCellAnchor>
  <xdr:twoCellAnchor editAs="oneCell">
    <xdr:from>
      <xdr:col>0</xdr:col>
      <xdr:colOff>0</xdr:colOff>
      <xdr:row>27</xdr:row>
      <xdr:rowOff>0</xdr:rowOff>
    </xdr:from>
    <xdr:to>
      <xdr:col>5</xdr:col>
      <xdr:colOff>371000</xdr:colOff>
      <xdr:row>40</xdr:row>
      <xdr:rowOff>9245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629150"/>
          <a:ext cx="3800000" cy="2238095"/>
        </a:xfrm>
        <a:prstGeom prst="rect">
          <a:avLst/>
        </a:prstGeom>
      </xdr:spPr>
    </xdr:pic>
    <xdr:clientData/>
  </xdr:twoCellAnchor>
  <xdr:twoCellAnchor editAs="oneCell">
    <xdr:from>
      <xdr:col>6</xdr:col>
      <xdr:colOff>0</xdr:colOff>
      <xdr:row>0</xdr:row>
      <xdr:rowOff>0</xdr:rowOff>
    </xdr:from>
    <xdr:to>
      <xdr:col>11</xdr:col>
      <xdr:colOff>228143</xdr:colOff>
      <xdr:row>7</xdr:row>
      <xdr:rowOff>28421</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0"/>
          <a:ext cx="3657143" cy="1228571"/>
        </a:xfrm>
        <a:prstGeom prst="rect">
          <a:avLst/>
        </a:prstGeom>
      </xdr:spPr>
    </xdr:pic>
    <xdr:clientData/>
  </xdr:twoCellAnchor>
  <xdr:twoCellAnchor editAs="oneCell">
    <xdr:from>
      <xdr:col>6</xdr:col>
      <xdr:colOff>0</xdr:colOff>
      <xdr:row>8</xdr:row>
      <xdr:rowOff>0</xdr:rowOff>
    </xdr:from>
    <xdr:to>
      <xdr:col>11</xdr:col>
      <xdr:colOff>304333</xdr:colOff>
      <xdr:row>15</xdr:row>
      <xdr:rowOff>37945</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1371600"/>
          <a:ext cx="3733333" cy="1238095"/>
        </a:xfrm>
        <a:prstGeom prst="rect">
          <a:avLst/>
        </a:prstGeom>
      </xdr:spPr>
    </xdr:pic>
    <xdr:clientData/>
  </xdr:twoCellAnchor>
  <xdr:twoCellAnchor editAs="oneCell">
    <xdr:from>
      <xdr:col>5</xdr:col>
      <xdr:colOff>642991</xdr:colOff>
      <xdr:row>15</xdr:row>
      <xdr:rowOff>38099</xdr:rowOff>
    </xdr:from>
    <xdr:to>
      <xdr:col>10</xdr:col>
      <xdr:colOff>266114</xdr:colOff>
      <xdr:row>40</xdr:row>
      <xdr:rowOff>65848</xdr:rowOff>
    </xdr:to>
    <xdr:pic>
      <xdr:nvPicPr>
        <xdr:cNvPr id="9" name="图片 8"/>
        <xdr:cNvPicPr>
          <a:picLocks noChangeAspect="1"/>
        </xdr:cNvPicPr>
      </xdr:nvPicPr>
      <xdr:blipFill>
        <a:blip xmlns:r="http://schemas.openxmlformats.org/officeDocument/2006/relationships" r:embed="rId6"/>
        <a:stretch>
          <a:fillRect/>
        </a:stretch>
      </xdr:blipFill>
      <xdr:spPr>
        <a:xfrm>
          <a:off x="4071991" y="2609849"/>
          <a:ext cx="3052123" cy="4313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估价对象为北京市房地产，为所有。根据《国有土地使用证》[]，估价对象（分摊）出让国有建设用地使用权面积为0平方米，建筑面积为1851.14平方米。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估价对象为北京市房地产,属开发建设的商业项目，该项目尚在开发建设中。根据《国有土地使用证》[]，估价对象（分摊）出让国有建设用地使用权面积为0平方米，规划建筑面积为1851.14平方米。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2024年9月5日（评估专业人员实地查勘之日）</v>
      </c>
    </row>
    <row r="13" spans="1:2" s="3423" customFormat="1">
      <c r="A13" s="3431" t="s">
        <v>13</v>
      </c>
      <c r="B13" s="3432" t="str">
        <f>'预评函-1'!A18</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4450</v>
      </c>
    </row>
    <row r="21" spans="1:2" s="3423" customFormat="1">
      <c r="A21" s="3431" t="s">
        <v>21</v>
      </c>
      <c r="B21" s="3432">
        <f ca="1">'预评函-2'!D7</f>
        <v>24037</v>
      </c>
    </row>
    <row r="22" spans="1:2" s="3423" customFormat="1">
      <c r="A22" s="3431" t="s">
        <v>22</v>
      </c>
      <c r="B22" s="3432" t="str">
        <f ca="1">'预评函-2'!D6</f>
        <v>肆仟肆佰伍拾万元整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4450</v>
      </c>
    </row>
    <row r="31" spans="1:2" s="3423" customFormat="1">
      <c r="A31" s="3431" t="s">
        <v>31</v>
      </c>
      <c r="B31" s="3432">
        <f ca="1">'预评函-2'!D15</f>
        <v>24037</v>
      </c>
    </row>
    <row r="32" spans="1:2" s="3423" customFormat="1">
      <c r="A32" s="3431" t="s">
        <v>32</v>
      </c>
      <c r="B32" s="3432" t="str">
        <f ca="1">'预评函-2'!D14</f>
        <v>肆仟肆佰伍拾万元整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1851.14</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3520</v>
      </c>
    </row>
    <row r="48" spans="1:2" s="3423" customFormat="1">
      <c r="A48" s="3431" t="s">
        <v>48</v>
      </c>
      <c r="B48" s="3432">
        <f ca="1">'预评函-3'!E4</f>
        <v>19013</v>
      </c>
    </row>
    <row r="49" spans="1:2" s="3423" customFormat="1">
      <c r="A49" s="3431" t="s">
        <v>49</v>
      </c>
      <c r="B49" s="3432" t="str">
        <f ca="1">'预评函-3'!D5</f>
        <v>叁仟伍佰贰拾万元整</v>
      </c>
    </row>
    <row r="50" spans="1:2" s="3423" customFormat="1">
      <c r="A50" s="3431" t="s">
        <v>50</v>
      </c>
      <c r="B50" s="3432" t="str">
        <f>'预评函-3'!F2</f>
        <v>在建建筑物价值</v>
      </c>
    </row>
    <row r="51" spans="1:2" s="3423" customFormat="1">
      <c r="A51" s="3431" t="s">
        <v>51</v>
      </c>
      <c r="B51" s="3432">
        <f ca="1">'预评函-3'!F4</f>
        <v>930</v>
      </c>
    </row>
    <row r="52" spans="1:2" s="3423" customFormat="1">
      <c r="A52" s="3431" t="s">
        <v>52</v>
      </c>
      <c r="B52" s="3432">
        <f ca="1">'预评函-3'!G4</f>
        <v>5024</v>
      </c>
    </row>
    <row r="53" spans="1:2" s="3423" customFormat="1">
      <c r="A53" s="3431" t="s">
        <v>53</v>
      </c>
      <c r="B53" s="3432" t="str">
        <f ca="1">'预评函-3'!F5</f>
        <v>玖佰叁拾万元整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7"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14" t="s">
        <v>330</v>
      </c>
      <c r="C54" s="3301" t="s">
        <v>331</v>
      </c>
    </row>
    <row r="55" spans="1:4">
      <c r="A55" s="3487"/>
      <c r="B55" s="3314" t="s">
        <v>332</v>
      </c>
      <c r="C55" s="3301" t="s">
        <v>333</v>
      </c>
    </row>
    <row r="56" spans="1:4">
      <c r="A56" s="3487"/>
      <c r="B56" s="3314" t="s">
        <v>334</v>
      </c>
      <c r="C56" s="3301" t="s">
        <v>335</v>
      </c>
    </row>
    <row r="57" spans="1:4">
      <c r="A57" s="3487"/>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8" t="s">
        <v>340</v>
      </c>
      <c r="J2" s="3488"/>
      <c r="K2" s="3488"/>
      <c r="L2" s="3488"/>
      <c r="M2" s="3488"/>
      <c r="N2" s="3488"/>
      <c r="O2" s="3488"/>
      <c r="P2" s="3488"/>
      <c r="Q2" s="3488"/>
      <c r="R2" s="3488"/>
    </row>
    <row r="3" spans="1:18">
      <c r="A3" s="487" t="s">
        <v>341</v>
      </c>
      <c r="B3" s="3256">
        <f>项目基本情况!D3</f>
        <v>45540</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2.2799999999999998</v>
      </c>
      <c r="D5" s="3258">
        <f>IF(ISERROR(ROUND(POWER(1+E5,A5-C5)*(POWER(1+E5,C5)-1)/(POWER(1+E5,A5)-1),3)),0,ROUND(POWER(1+E5,A5-C5)*(POWER(1+E5,C5)-1)/(POWER(1+E5,A5)-1),4))</f>
        <v>0.108</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-124.76</v>
      </c>
      <c r="D6" s="3258">
        <f>IF(ISERROR(ROUND(POWER(1+E6,A6-C6)*(POWER(1+E6,C6)-1)/(POWER(1+E6,A6)-1),3)),0,ROUND(POWER(1+E6,A6-C6)*(POWER(1+E6,C6)-1)/(POWER(1+E6,A6)-1),4))</f>
        <v>-481.07769999999999</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32.299999999999997</v>
      </c>
      <c r="D7" s="3258">
        <f>IF(ISERROR(ROUND(POWER(1+E7,A7-C7)*(POWER(1+E7,C7)-1)/(POWER(1+E7,A7)-1),3)),0,ROUND(POWER(1+E7,A7-C7)*(POWER(1+E7,C7)-1)/(POWER(1+E7,A7)-1),4))</f>
        <v>0.76759999999999995</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workbookViewId="0">
      <selection activeCell="B38" sqref="B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45540</v>
      </c>
      <c r="C3" s="3124" t="s">
        <v>428</v>
      </c>
      <c r="D3" s="3123">
        <f>B3</f>
        <v>45540</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17" t="s">
        <v>434</v>
      </c>
      <c r="E8" s="3140" t="s">
        <v>330</v>
      </c>
      <c r="F8" s="3141"/>
      <c r="G8" s="3122"/>
      <c r="H8" s="3122"/>
      <c r="I8" s="3122"/>
      <c r="J8" s="2716"/>
      <c r="K8" s="3222"/>
      <c r="L8" s="3219"/>
      <c r="M8" s="3219"/>
      <c r="N8" s="2716"/>
      <c r="O8" s="3220"/>
      <c r="P8" s="2716"/>
      <c r="Q8" s="2716"/>
      <c r="R8" s="2716"/>
    </row>
    <row r="9" spans="1:30">
      <c r="A9" s="3142" t="s">
        <v>435</v>
      </c>
      <c r="B9" s="3143" t="s">
        <v>330</v>
      </c>
      <c r="C9" s="3144"/>
      <c r="D9" s="3518"/>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53936</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23</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505"/>
      <c r="C16" s="3506"/>
      <c r="D16" s="3507"/>
      <c r="E16" s="3168" t="s">
        <v>454</v>
      </c>
      <c r="F16" s="3508"/>
      <c r="G16" s="3509"/>
      <c r="H16" s="3509"/>
      <c r="I16" s="3510"/>
      <c r="J16" s="2716"/>
      <c r="K16" s="3231"/>
      <c r="L16" s="3230"/>
      <c r="M16" s="3230"/>
      <c r="N16" s="2717"/>
      <c r="O16" s="3230"/>
      <c r="P16" s="2717"/>
      <c r="Q16" s="2716"/>
      <c r="R16" s="2716"/>
    </row>
    <row r="17" spans="1:28">
      <c r="A17" s="1619" t="s">
        <v>455</v>
      </c>
      <c r="B17" s="1608" t="s">
        <v>456</v>
      </c>
      <c r="C17" s="618">
        <f>'数据-汇总表'!E3</f>
        <v>1851.14</v>
      </c>
      <c r="D17" s="1662" t="s">
        <v>457</v>
      </c>
      <c r="E17" s="3511" t="s">
        <v>458</v>
      </c>
      <c r="F17" s="3512"/>
      <c r="G17" s="3512"/>
      <c r="H17" s="3512"/>
      <c r="I17" s="3513"/>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14" t="s">
        <v>461</v>
      </c>
      <c r="F18" s="3515"/>
      <c r="G18" s="3515"/>
      <c r="H18" s="3515"/>
      <c r="I18" s="3516"/>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91" t="s">
        <v>466</v>
      </c>
      <c r="C20" s="3492"/>
      <c r="D20" s="3493" t="s">
        <v>467</v>
      </c>
      <c r="E20" s="3494"/>
      <c r="F20" s="3177" t="s">
        <v>468</v>
      </c>
      <c r="G20" s="2837"/>
      <c r="H20" s="2837"/>
      <c r="I20" s="2837"/>
      <c r="J20" s="2716"/>
      <c r="K20" s="3489"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9"/>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2008</v>
      </c>
      <c r="H22" s="2837"/>
      <c r="I22" s="2837"/>
      <c r="J22" s="2716"/>
      <c r="K22" s="3489"/>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2024-G22+1</f>
        <v>17</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40-G23</f>
        <v>23</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8" t="s">
        <v>480</v>
      </c>
      <c r="B27" s="1642" t="s">
        <v>481</v>
      </c>
      <c r="C27" s="3194" t="s">
        <v>2848</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8"/>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8"/>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9"/>
      <c r="B30" s="1608" t="s">
        <v>486</v>
      </c>
      <c r="C30" s="3495"/>
      <c r="D30" s="3496"/>
      <c r="E30" s="2837"/>
      <c r="F30" s="2837"/>
      <c r="G30" s="2837"/>
      <c r="H30" s="2837"/>
      <c r="I30" s="2837"/>
      <c r="J30" s="2716"/>
      <c r="K30" s="3221"/>
      <c r="L30" s="3219"/>
      <c r="M30" s="3219"/>
      <c r="N30" s="2716"/>
      <c r="O30" s="3220"/>
      <c r="P30" s="2716"/>
      <c r="Q30" s="2716"/>
      <c r="R30" s="2716"/>
      <c r="S30" s="2716"/>
      <c r="T30" s="2716"/>
      <c r="U30" s="2716"/>
      <c r="V30" s="2716"/>
    </row>
    <row r="31" spans="1:28">
      <c r="A31" s="3500"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501"/>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501"/>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490" t="s">
        <v>497</v>
      </c>
      <c r="T34" s="1649" t="str">
        <f>NUMBERSTRING(7-K34,1)&amp;"通"</f>
        <v>七通</v>
      </c>
      <c r="U34" s="2716"/>
      <c r="V34" s="2716"/>
    </row>
    <row r="35" spans="1:30">
      <c r="A35" s="3204"/>
      <c r="B35" s="3497" t="s">
        <v>498</v>
      </c>
      <c r="C35" s="3497"/>
      <c r="D35" s="3497"/>
      <c r="E35" s="3497"/>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90"/>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2581</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5" sqref="I25"/>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1851.14</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1851.14</v>
      </c>
      <c r="H5" s="3031">
        <f t="shared" ref="H5:AT5" si="0">SUM(H13:H656)</f>
        <v>1851.14</v>
      </c>
      <c r="I5" s="3031">
        <f t="shared" si="0"/>
        <v>1851.14</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1851.14</v>
      </c>
      <c r="BA5" s="3092">
        <f t="shared" si="1"/>
        <v>1851.14</v>
      </c>
      <c r="BB5" s="3092">
        <f t="shared" si="1"/>
        <v>1851.14</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1765</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1851.14</v>
      </c>
      <c r="H13" s="3034">
        <f>SUMIF(I$12:AB$12,"总值",I13:AB13)</f>
        <v>1851.14</v>
      </c>
      <c r="I13" s="3062">
        <v>1851.14</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f>Sheet1!L8</f>
        <v>0</v>
      </c>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1851.14</v>
      </c>
      <c r="BA13" s="3031">
        <f>SUM(BB13:BK13)</f>
        <v>1851.14</v>
      </c>
      <c r="BB13" s="3031">
        <f>IF($D13="是",I13-J13,0)</f>
        <v>1851.14</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0</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9" sqref="G29"/>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8" t="s">
        <v>560</v>
      </c>
      <c r="B2" s="3528"/>
      <c r="C2" s="3528"/>
      <c r="D2" s="2277" t="s">
        <v>561</v>
      </c>
      <c r="E2" s="2933" t="s">
        <v>562</v>
      </c>
      <c r="F2" s="2934"/>
      <c r="G2" s="2935"/>
      <c r="H2" s="2936"/>
      <c r="I2" s="2584" t="s">
        <v>563</v>
      </c>
      <c r="J2" s="2934"/>
      <c r="K2" s="2934"/>
      <c r="L2" s="2934"/>
      <c r="M2" s="2934"/>
      <c r="N2" s="1029"/>
      <c r="O2" s="2934"/>
      <c r="P2" s="2934"/>
    </row>
    <row r="3" spans="1:16" ht="15">
      <c r="A3" s="3529" t="s">
        <v>564</v>
      </c>
      <c r="B3" s="3529"/>
      <c r="C3" s="3529"/>
      <c r="D3" s="2937">
        <f>'数据-基础表'!AY6</f>
        <v>0</v>
      </c>
      <c r="E3" s="2937">
        <f>'数据-基础表'!AZ5</f>
        <v>1851.14</v>
      </c>
      <c r="F3" s="2934"/>
      <c r="G3" s="2938"/>
      <c r="H3" s="2387" t="s">
        <v>565</v>
      </c>
      <c r="I3" s="2997" t="e">
        <f>ROUND('数据-基础表'!B3/'数据-基础表'!A3,2)</f>
        <v>#DIV/0!</v>
      </c>
      <c r="J3" s="2934"/>
      <c r="K3" s="2934"/>
      <c r="L3" s="2934"/>
      <c r="M3" s="2934"/>
      <c r="N3" s="1029"/>
      <c r="O3" s="2934"/>
      <c r="P3" s="2934"/>
    </row>
    <row r="4" spans="1:16" ht="15">
      <c r="A4" s="3530"/>
      <c r="B4" s="3531"/>
      <c r="C4" s="3532"/>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33" t="s">
        <v>569</v>
      </c>
      <c r="C5" s="3533"/>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33" t="s">
        <v>570</v>
      </c>
      <c r="C6" s="3533"/>
      <c r="D6" s="2943">
        <f>ROUND($D$3*E6/$E$3,2)</f>
        <v>0</v>
      </c>
      <c r="E6" s="2944">
        <f>E3-E5</f>
        <v>1851.14</v>
      </c>
      <c r="F6" s="2934"/>
      <c r="G6" s="2946" t="s">
        <v>571</v>
      </c>
      <c r="H6" s="2947" t="s">
        <v>567</v>
      </c>
      <c r="I6" s="2998" t="e">
        <f>ROUND(F31/D31,2)</f>
        <v>#DIV/0!</v>
      </c>
      <c r="J6" s="2934"/>
      <c r="K6" s="2934"/>
      <c r="L6" s="2934"/>
      <c r="M6" s="2934"/>
      <c r="N6" s="2934"/>
      <c r="O6" s="2934"/>
      <c r="P6" s="2934"/>
    </row>
    <row r="7" spans="1:16" ht="15">
      <c r="A7" s="3519"/>
      <c r="B7" s="3520"/>
      <c r="C7" s="3521"/>
      <c r="D7" s="2939" t="s">
        <v>561</v>
      </c>
      <c r="E7" s="2948" t="s">
        <v>572</v>
      </c>
      <c r="F7" s="2934"/>
      <c r="G7" s="2949" t="s">
        <v>573</v>
      </c>
      <c r="H7" s="2950"/>
      <c r="I7" s="2999">
        <v>2.5</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1851.14</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1851.14</v>
      </c>
      <c r="F16" s="2934"/>
      <c r="G16" s="2953"/>
      <c r="H16" s="2958" t="s">
        <v>585</v>
      </c>
      <c r="I16" s="3000"/>
      <c r="J16" s="2435"/>
      <c r="K16" s="3522" t="s">
        <v>585</v>
      </c>
      <c r="L16" s="3523"/>
      <c r="M16" s="3523"/>
      <c r="N16" s="3523"/>
      <c r="O16" s="3523"/>
      <c r="P16" s="3524"/>
    </row>
    <row r="17" spans="1:19" ht="15">
      <c r="A17" s="2893" t="s">
        <v>586</v>
      </c>
      <c r="B17" s="2959" t="s">
        <v>587</v>
      </c>
      <c r="C17" s="2892" t="s">
        <v>588</v>
      </c>
      <c r="D17" s="2960" t="s">
        <v>561</v>
      </c>
      <c r="E17" s="2961" t="s">
        <v>562</v>
      </c>
      <c r="F17" s="2962"/>
      <c r="G17" s="2963"/>
      <c r="H17" s="2964" t="s">
        <v>589</v>
      </c>
      <c r="I17" s="3001" t="s">
        <v>590</v>
      </c>
      <c r="J17" s="2435"/>
      <c r="K17" s="3525" t="s">
        <v>591</v>
      </c>
      <c r="L17" s="3526"/>
      <c r="M17" s="3527"/>
      <c r="N17" s="3525" t="s">
        <v>592</v>
      </c>
      <c r="O17" s="3526"/>
      <c r="P17" s="3527"/>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2849</v>
      </c>
      <c r="D19" s="2943">
        <f>ROUND($D$3*E19/$E$3,2)</f>
        <v>0</v>
      </c>
      <c r="E19" s="2973">
        <f t="shared" ref="E19:E26" si="1">SUM(F19:G19)</f>
        <v>1851.14</v>
      </c>
      <c r="F19" s="2974">
        <f>'数据-基础表'!I5</f>
        <v>1851.14</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1851.14</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1851.14</v>
      </c>
      <c r="F27" s="2981">
        <f>IF(SUM(F19:F26)=E8,SUM(F19:F26),"地上面积有误")</f>
        <v>1851.14</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1851.14</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1851.14</v>
      </c>
      <c r="F31" s="2992">
        <f>F27+F30</f>
        <v>1851.14</v>
      </c>
      <c r="G31" s="2993">
        <f>G27+G30</f>
        <v>0</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U7" sqref="U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7"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45540</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1765</v>
      </c>
      <c r="D6" s="2756">
        <f>SUMIF(项目基本情况!C$12:I$12,C6,项目基本情况!C$14:I$14)</f>
        <v>40</v>
      </c>
      <c r="E6" s="2757">
        <f>IF(B6="","",SUMIF(项目基本情况!C$12:I$12,C6,项目基本情况!C$13:I$13))</f>
        <v>53936</v>
      </c>
      <c r="F6" s="2758">
        <f>SUMIF(项目基本情况!C$12:I$12,C6,项目基本情况!C$15:I$15)</f>
        <v>23</v>
      </c>
      <c r="G6" s="2759">
        <f>IF(ISERROR(ROUND(POWER(1+H6,D6-F6)*(POWER(1+H6,F6)-1)/(POWER(1+H6,D6)-1),3)),0,ROUND(POWER(1+H6,D6-F6)*(POWER(1+H6,F6)-1)/(POWER(1+H6,D6)-1),3))</f>
        <v>0.78600000000000003</v>
      </c>
      <c r="H6" s="2760">
        <v>0.05</v>
      </c>
      <c r="I6" s="2760">
        <v>5.5E-2</v>
      </c>
      <c r="J6" s="2761">
        <v>7.0000000000000007E-2</v>
      </c>
      <c r="K6" s="2848">
        <f>SUMIF('数据-汇总表'!C$19:C$33,A6,'数据-汇总表'!E$19:E$33)</f>
        <v>1851.14</v>
      </c>
      <c r="L6" s="2849">
        <v>3500</v>
      </c>
      <c r="M6" s="2850">
        <f t="shared" ref="M6:M14" si="0">ROUND(K6*L6/10000,0)</f>
        <v>648</v>
      </c>
      <c r="N6" s="2851">
        <f>N20</f>
        <v>0.82</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3</v>
      </c>
      <c r="V6" s="2874">
        <v>0.02</v>
      </c>
      <c r="W6" s="2874">
        <v>0.1</v>
      </c>
      <c r="X6" s="2875"/>
      <c r="Y6" s="2895">
        <f>N6</f>
        <v>0.82</v>
      </c>
      <c r="Z6" s="2896"/>
      <c r="AA6" s="2761"/>
      <c r="AB6" s="2761"/>
      <c r="AC6" s="2875"/>
      <c r="AD6" s="2897"/>
      <c r="AE6" s="2898">
        <f ca="1">IF(AN6="",0,SUMIF(INDIRECT("'"&amp;AN6&amp;"'"&amp;"!E:E"),$AE$5,INDIRECT("'"&amp;AN6&amp;"'"&amp;"!F:F")))</f>
        <v>23</v>
      </c>
      <c r="AF6" s="2373"/>
      <c r="AG6" s="1344">
        <f>IF(AF6="",0,AE6-AF6)</f>
        <v>0</v>
      </c>
      <c r="AH6" s="2907"/>
      <c r="AI6" s="2908">
        <v>365</v>
      </c>
      <c r="AJ6" s="2909"/>
      <c r="AK6" s="2910">
        <v>5.0000000000000001E-3</v>
      </c>
      <c r="AL6" s="2911">
        <v>1.5E-3</v>
      </c>
      <c r="AM6" s="2912">
        <v>5.0000000000000001E-3</v>
      </c>
      <c r="AN6" s="2913" t="s">
        <v>2860</v>
      </c>
      <c r="AO6" s="911">
        <f ca="1">SUMIF(INDIRECT("'"&amp;AN6&amp;"'"&amp;"!A:A"),"总价",INDIRECT("'"&amp;AN6&amp;"'"&amp;"!B:B"))</f>
        <v>2309</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0.78600000000000003</v>
      </c>
      <c r="H16" s="2769">
        <f>ROUND(SUMPRODUCT(H6:H13,K6:K13)/SUMPRODUCT((H6:H13&gt;0)*(K6:K13)),3)</f>
        <v>0.05</v>
      </c>
      <c r="I16" s="2858"/>
      <c r="J16" s="2858"/>
      <c r="K16" s="2859">
        <f>SUM(K6:K15)</f>
        <v>1851.14</v>
      </c>
      <c r="L16" s="2860">
        <f>ROUND(M16*10000/SUM(K6:K14),0)</f>
        <v>3501</v>
      </c>
      <c r="M16" s="2860">
        <f>SUM(M6:M14)</f>
        <v>648</v>
      </c>
      <c r="N16" s="2861">
        <f>ROUND(SUMPRODUCT(M6:M14,N6:N14)/M16,3)</f>
        <v>0.82</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2008</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0.73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1</v>
      </c>
      <c r="C20" s="2781" t="s">
        <v>656</v>
      </c>
      <c r="D20" s="2775"/>
      <c r="E20" s="2774"/>
      <c r="F20" s="2774"/>
      <c r="G20" s="2774"/>
      <c r="H20" s="2774"/>
      <c r="I20" s="2774"/>
      <c r="J20" s="2774"/>
      <c r="K20" s="2862"/>
      <c r="L20" s="2862"/>
      <c r="M20" s="2260"/>
      <c r="N20" s="2260">
        <f>ROUND((N18+N19)/2,2)</f>
        <v>0.82</v>
      </c>
      <c r="O20" s="2260"/>
      <c r="P20" s="2260"/>
      <c r="Q20" s="2260"/>
      <c r="R20" s="2260"/>
      <c r="S20" s="2260"/>
      <c r="T20" s="2260"/>
      <c r="U20" s="2260">
        <v>1</v>
      </c>
      <c r="V20" s="2260">
        <f>'数据-基础表'!I13/3</f>
        <v>617.04666666666674</v>
      </c>
      <c r="W20" s="2260">
        <v>1</v>
      </c>
      <c r="X20" s="2260">
        <v>3.7</v>
      </c>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1</v>
      </c>
      <c r="C21" s="2774"/>
      <c r="D21" s="2775"/>
      <c r="E21" s="2774"/>
      <c r="F21" s="2774"/>
      <c r="G21" s="2774"/>
      <c r="H21" s="2774"/>
      <c r="I21" s="2774"/>
      <c r="J21" s="2774"/>
      <c r="K21" s="2862"/>
      <c r="L21" s="2862"/>
      <c r="M21" s="2260"/>
      <c r="N21" s="2260"/>
      <c r="O21" s="2260"/>
      <c r="P21" s="2260"/>
      <c r="Q21" s="2260"/>
      <c r="R21" s="2260"/>
      <c r="S21" s="2260"/>
      <c r="T21" s="2260"/>
      <c r="U21" s="2260">
        <v>2</v>
      </c>
      <c r="V21" s="2260">
        <f>V20</f>
        <v>617.04666666666674</v>
      </c>
      <c r="W21" s="2260">
        <v>0.7</v>
      </c>
      <c r="X21" s="2260">
        <f>ROUND(X20*W21,2)</f>
        <v>2.59</v>
      </c>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1</v>
      </c>
      <c r="C22" s="2774"/>
      <c r="D22" s="2775"/>
      <c r="E22" s="2774"/>
      <c r="F22" s="2774"/>
      <c r="G22" s="2774"/>
      <c r="H22" s="2774"/>
      <c r="I22" s="2774"/>
      <c r="J22" s="2774"/>
      <c r="K22" s="2862"/>
      <c r="L22" s="2862"/>
      <c r="M22" s="2260"/>
      <c r="N22" s="2260"/>
      <c r="O22" s="2260"/>
      <c r="P22" s="2260"/>
      <c r="Q22" s="2260"/>
      <c r="R22" s="2260"/>
      <c r="S22" s="2260"/>
      <c r="T22" s="2260"/>
      <c r="U22" s="2260">
        <v>3</v>
      </c>
      <c r="V22" s="3786">
        <f>V23-V21-V20</f>
        <v>617.04666666666651</v>
      </c>
      <c r="W22" s="2260">
        <v>0.6</v>
      </c>
      <c r="X22" s="2260">
        <f>ROUND(X20*W22,2)</f>
        <v>2.2200000000000002</v>
      </c>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1</v>
      </c>
      <c r="C23" s="2774"/>
      <c r="D23" s="2775"/>
      <c r="E23" s="2774"/>
      <c r="F23" s="2774"/>
      <c r="G23" s="2774"/>
      <c r="H23" s="2774"/>
      <c r="I23" s="2774"/>
      <c r="J23" s="2774"/>
      <c r="K23" s="2862"/>
      <c r="L23" s="2862"/>
      <c r="M23" s="2260"/>
      <c r="N23" s="2260"/>
      <c r="O23" s="2260"/>
      <c r="P23" s="2260"/>
      <c r="Q23" s="2260"/>
      <c r="R23" s="2260"/>
      <c r="S23" s="2260"/>
      <c r="T23" s="2260"/>
      <c r="U23" s="2260"/>
      <c r="V23" s="3786">
        <f>K16</f>
        <v>1851.14</v>
      </c>
      <c r="W23" s="2260"/>
      <c r="X23" s="2260">
        <f>(V20*X20+V21*X21+V22*X22)/V23</f>
        <v>2.8366666666666669</v>
      </c>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190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ROUND(V26/K16/365*10000,2)</f>
        <v>2.81</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ROUND(B28*K6/10000,0)</f>
        <v>37</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5.6000000000000001E-2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6.000000000000001E-3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7.0000000000000007E-2</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34" t="s">
        <v>716</v>
      </c>
      <c r="B1" s="3535"/>
      <c r="C1" s="3535"/>
      <c r="D1" s="3535"/>
      <c r="E1" s="3535"/>
      <c r="F1" s="3535"/>
      <c r="G1" s="3535"/>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1851.14</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45540</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4450</v>
      </c>
      <c r="C5" s="2642">
        <f ca="1">IF(B5=D14,结果表!H102,ROUND(B5*10000/$B$1,0))</f>
        <v>24037</v>
      </c>
      <c r="D5" s="2642" t="e">
        <f ca="1">ROUND(B5*10000/$B$2,0)</f>
        <v>#DIV/0!</v>
      </c>
      <c r="E5" s="2643"/>
      <c r="F5" s="2644"/>
      <c r="G5" s="2644"/>
      <c r="H5" s="2645"/>
      <c r="I5" s="2645"/>
      <c r="J5" s="2645"/>
      <c r="K5" s="2645"/>
    </row>
    <row r="6" spans="1:11" ht="16.5">
      <c r="A6" s="2642" t="s">
        <v>750</v>
      </c>
      <c r="B6" s="2642">
        <f ca="1">SUM(G14:G23)</f>
        <v>4450</v>
      </c>
      <c r="C6" s="2642">
        <f ca="1">IF(B6=G14,结果表!H108,ROUND(B6*10000/$B$1,0))</f>
        <v>24037</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1851.14</v>
      </c>
      <c r="C14" s="2654"/>
      <c r="D14" s="2654">
        <f ca="1">结果表!H118</f>
        <v>4450</v>
      </c>
      <c r="E14" s="2654">
        <f ca="1">ROUND(D14*10000/B14,0)</f>
        <v>24039</v>
      </c>
      <c r="F14" s="2654" t="e">
        <f ca="1">ROUND(D14*10000/C14,0)</f>
        <v>#DIV/0!</v>
      </c>
      <c r="G14" s="2654">
        <f ca="1">D14</f>
        <v>4450</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610" t="str">
        <f>项目基本情况!S2</f>
        <v>北京市房地产</v>
      </c>
      <c r="B2" s="3611"/>
      <c r="C2" s="3611"/>
      <c r="D2" s="3611"/>
      <c r="E2" s="3611"/>
      <c r="F2" s="3611"/>
      <c r="G2" s="3611"/>
      <c r="H2" s="3611"/>
      <c r="I2" s="3612"/>
    </row>
    <row r="3" spans="1:12" ht="12.75">
      <c r="A3" s="3613" t="s">
        <v>774</v>
      </c>
      <c r="B3" s="3614"/>
      <c r="C3" s="3614"/>
      <c r="D3" s="3614"/>
      <c r="E3" s="3614"/>
      <c r="F3" s="3614"/>
      <c r="G3" s="3614"/>
      <c r="H3" s="3614"/>
      <c r="I3" s="3614"/>
    </row>
    <row r="4" spans="1:12" ht="14.25">
      <c r="A4" s="2367" t="s">
        <v>775</v>
      </c>
      <c r="B4" s="2368" t="s">
        <v>776</v>
      </c>
      <c r="C4" s="2369" t="s">
        <v>2871</v>
      </c>
      <c r="D4" s="2369" t="s">
        <v>2860</v>
      </c>
      <c r="E4" s="3615" t="s">
        <v>777</v>
      </c>
      <c r="F4" s="3616"/>
      <c r="G4" s="3616"/>
      <c r="H4" s="3616"/>
      <c r="I4" s="3617"/>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7" t="s">
        <v>778</v>
      </c>
      <c r="B5" s="3545">
        <v>25</v>
      </c>
      <c r="C5" s="3627"/>
      <c r="D5" s="3548"/>
      <c r="E5" s="1648" t="s">
        <v>779</v>
      </c>
      <c r="F5" s="2374"/>
      <c r="G5" s="2374"/>
      <c r="H5" s="2374"/>
      <c r="I5" s="2243"/>
    </row>
    <row r="6" spans="1:12" ht="12.75">
      <c r="A6" s="3537"/>
      <c r="B6" s="3545"/>
      <c r="C6" s="3628"/>
      <c r="D6" s="3548"/>
      <c r="E6" s="1648" t="s">
        <v>780</v>
      </c>
      <c r="F6" s="2374"/>
      <c r="G6" s="2374"/>
      <c r="H6" s="2374"/>
      <c r="I6" s="2243"/>
    </row>
    <row r="7" spans="1:12" ht="12.75">
      <c r="A7" s="3537"/>
      <c r="B7" s="3545"/>
      <c r="C7" s="3629"/>
      <c r="D7" s="3548"/>
      <c r="E7" s="1648" t="s">
        <v>781</v>
      </c>
      <c r="F7" s="2374"/>
      <c r="G7" s="2374"/>
      <c r="H7" s="2374"/>
      <c r="I7" s="2243"/>
    </row>
    <row r="8" spans="1:12" ht="12.75">
      <c r="A8" s="3537" t="s">
        <v>782</v>
      </c>
      <c r="B8" s="3545">
        <v>15</v>
      </c>
      <c r="C8" s="3627"/>
      <c r="D8" s="3548"/>
      <c r="E8" s="1648" t="s">
        <v>783</v>
      </c>
      <c r="F8" s="2374"/>
      <c r="G8" s="2374"/>
      <c r="H8" s="2374"/>
      <c r="I8" s="2243"/>
    </row>
    <row r="9" spans="1:12" ht="12.75">
      <c r="A9" s="3537"/>
      <c r="B9" s="3545"/>
      <c r="C9" s="3629"/>
      <c r="D9" s="3548"/>
      <c r="E9" s="1648" t="s">
        <v>784</v>
      </c>
      <c r="F9" s="2374"/>
      <c r="G9" s="2374"/>
      <c r="H9" s="2374"/>
      <c r="I9" s="2243"/>
    </row>
    <row r="10" spans="1:12" ht="12.75">
      <c r="A10" s="3537" t="s">
        <v>785</v>
      </c>
      <c r="B10" s="3545">
        <v>15</v>
      </c>
      <c r="C10" s="3627"/>
      <c r="D10" s="3548"/>
      <c r="E10" s="1648" t="s">
        <v>786</v>
      </c>
      <c r="F10" s="2374"/>
      <c r="G10" s="2374"/>
      <c r="H10" s="2374"/>
      <c r="I10" s="2243"/>
    </row>
    <row r="11" spans="1:12" ht="12.75">
      <c r="A11" s="3537"/>
      <c r="B11" s="3545"/>
      <c r="C11" s="3629"/>
      <c r="D11" s="3548"/>
      <c r="E11" s="1648" t="s">
        <v>787</v>
      </c>
      <c r="F11" s="2374"/>
      <c r="G11" s="2374"/>
      <c r="H11" s="2374"/>
      <c r="I11" s="2243"/>
    </row>
    <row r="12" spans="1:12" ht="12.75">
      <c r="A12" s="3537" t="s">
        <v>788</v>
      </c>
      <c r="B12" s="3545">
        <v>15</v>
      </c>
      <c r="C12" s="3627"/>
      <c r="D12" s="3548"/>
      <c r="E12" s="1648" t="s">
        <v>789</v>
      </c>
      <c r="F12" s="2374"/>
      <c r="G12" s="2374"/>
      <c r="H12" s="2374"/>
      <c r="I12" s="2243"/>
    </row>
    <row r="13" spans="1:12" ht="12.75">
      <c r="A13" s="3537"/>
      <c r="B13" s="3545"/>
      <c r="C13" s="3629"/>
      <c r="D13" s="3548"/>
      <c r="E13" s="1648" t="s">
        <v>790</v>
      </c>
      <c r="F13" s="2374"/>
      <c r="G13" s="2374"/>
      <c r="H13" s="2374"/>
      <c r="I13" s="2243"/>
    </row>
    <row r="14" spans="1:12" ht="12.75">
      <c r="A14" s="3537" t="s">
        <v>791</v>
      </c>
      <c r="B14" s="3545">
        <v>30</v>
      </c>
      <c r="C14" s="3627">
        <v>6</v>
      </c>
      <c r="D14" s="3548">
        <v>4</v>
      </c>
      <c r="E14" s="1648" t="s">
        <v>792</v>
      </c>
      <c r="F14" s="2374"/>
      <c r="G14" s="2374"/>
      <c r="H14" s="2374"/>
      <c r="I14" s="2243"/>
    </row>
    <row r="15" spans="1:12" ht="12.75">
      <c r="A15" s="3537"/>
      <c r="B15" s="3545"/>
      <c r="C15" s="3628"/>
      <c r="D15" s="3548"/>
      <c r="E15" s="1648" t="s">
        <v>793</v>
      </c>
      <c r="F15" s="2374"/>
      <c r="G15" s="2374"/>
      <c r="H15" s="2374"/>
      <c r="I15" s="2243"/>
    </row>
    <row r="16" spans="1:12" ht="12.75">
      <c r="A16" s="3537"/>
      <c r="B16" s="3545"/>
      <c r="C16" s="3629"/>
      <c r="D16" s="3548"/>
      <c r="E16" s="1648" t="s">
        <v>794</v>
      </c>
      <c r="F16" s="2374"/>
      <c r="G16" s="2374"/>
      <c r="H16" s="2374"/>
      <c r="I16" s="2243"/>
    </row>
    <row r="17" spans="1:36" ht="15">
      <c r="A17" s="2375" t="s">
        <v>795</v>
      </c>
      <c r="B17" s="2376"/>
      <c r="C17" s="2377">
        <f>SUM(C5:C16)</f>
        <v>6</v>
      </c>
      <c r="D17" s="2377">
        <f>SUM(D5:D16)</f>
        <v>4</v>
      </c>
      <c r="E17" s="604"/>
      <c r="F17" s="604"/>
      <c r="G17" s="604"/>
      <c r="H17" s="604"/>
      <c r="I17" s="604"/>
      <c r="K17" s="1608"/>
      <c r="L17" s="1608" t="s">
        <v>796</v>
      </c>
      <c r="M17" s="1608" t="s">
        <v>797</v>
      </c>
    </row>
    <row r="18" spans="1:36" ht="31.9" customHeight="1">
      <c r="A18" s="2378" t="s">
        <v>798</v>
      </c>
      <c r="B18" s="2379"/>
      <c r="C18" s="2380">
        <f>ROUND(C17/SUM(C17:D17),2)</f>
        <v>0.6</v>
      </c>
      <c r="D18" s="2380">
        <f>1-C18</f>
        <v>0.4</v>
      </c>
      <c r="E18" s="3618" t="s">
        <v>799</v>
      </c>
      <c r="F18" s="3619"/>
      <c r="G18" s="3619"/>
      <c r="H18" s="3619"/>
      <c r="I18" s="3619"/>
      <c r="K18" s="1608" t="s">
        <v>456</v>
      </c>
      <c r="L18" s="1608">
        <f>IF(C1="",'数据-汇总表'!E3,SUMIF(项目类型,C1,'数据-汇总表'!E17:E26)+SUMIF(项目类型,C1,'数据-汇总表'!I17:I26))</f>
        <v>1851.14</v>
      </c>
      <c r="M18" s="1608">
        <f>IF(C1="",'数据-汇总表'!E3,SUMIF(项目类型,C1,'数据-汇总表'!E17:E26))</f>
        <v>1851.14</v>
      </c>
    </row>
    <row r="19" spans="1:36" ht="15">
      <c r="A19" s="2381" t="s">
        <v>800</v>
      </c>
      <c r="B19" s="2382" t="s">
        <v>801</v>
      </c>
      <c r="C19" s="2383">
        <f ca="1">SUMIF(INDIRECT("'"&amp;C4&amp;"'"&amp;"!A:A"),结果表!B19,INDIRECT("'"&amp;C4&amp;"'"&amp;"!B:B"))</f>
        <v>5876.6289999999999</v>
      </c>
      <c r="D19" s="1055">
        <f ca="1">SUMIF(INDIRECT("'"&amp;D4&amp;"'"&amp;"!A:A"),结果表!B19,INDIRECT("'"&amp;D4&amp;"'"&amp;"!B:B"))</f>
        <v>2309</v>
      </c>
      <c r="E19" s="2381" t="s">
        <v>802</v>
      </c>
      <c r="F19" s="2382" t="s">
        <v>801</v>
      </c>
      <c r="G19" s="2384">
        <f ca="1">ROUND(C19*$C$18+D19*$D$18,0)</f>
        <v>4450</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31746</v>
      </c>
      <c r="D20" s="1344">
        <f ca="1">SUMIF(INDIRECT("'"&amp;D4&amp;"'"&amp;"!A:A"),结果表!B20,INDIRECT("'"&amp;D4&amp;"'"&amp;"!B:B"))</f>
        <v>12473</v>
      </c>
      <c r="E20" s="2386"/>
      <c r="F20" s="2387" t="s">
        <v>804</v>
      </c>
      <c r="G20" s="2388">
        <f ca="1">ROUND(C20*$C$18+D20*$D$18,0)</f>
        <v>24037</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1.5450970116933735</v>
      </c>
      <c r="E22" s="604"/>
      <c r="F22" s="604"/>
      <c r="G22" s="604"/>
      <c r="H22" s="604"/>
      <c r="I22" s="604"/>
    </row>
    <row r="23" spans="1:36" ht="12.75">
      <c r="A23" s="2362"/>
      <c r="B23" s="2362"/>
      <c r="C23" s="2362"/>
      <c r="D23" s="2362"/>
      <c r="E23" s="604"/>
      <c r="F23" s="604"/>
      <c r="G23" s="604"/>
      <c r="H23" s="604"/>
      <c r="I23" s="604"/>
    </row>
    <row r="24" spans="1:36" ht="14.25">
      <c r="A24" s="3538" t="s">
        <v>808</v>
      </c>
      <c r="B24" s="2382" t="s">
        <v>801</v>
      </c>
      <c r="C24" s="2384">
        <f>IF(B30=0,0,D30)</f>
        <v>0</v>
      </c>
      <c r="D24" s="2398"/>
      <c r="E24" s="604"/>
      <c r="F24" s="604"/>
      <c r="G24" s="604"/>
      <c r="H24" s="604"/>
      <c r="I24" s="604"/>
    </row>
    <row r="25" spans="1:36" ht="14.25">
      <c r="A25" s="3539"/>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f ca="1">G20/0.7</f>
        <v>34338.571428571428</v>
      </c>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24037</v>
      </c>
      <c r="D32" s="2410" t="s">
        <v>2858</v>
      </c>
      <c r="E32" s="604"/>
      <c r="F32" s="604"/>
      <c r="G32" s="604"/>
      <c r="H32" s="604"/>
      <c r="I32" s="604"/>
    </row>
    <row r="33" spans="1:15" ht="15">
      <c r="A33" s="2265" t="s">
        <v>817</v>
      </c>
      <c r="B33" s="2411"/>
      <c r="C33" s="2412" t="s">
        <v>818</v>
      </c>
      <c r="D33" s="2413" t="s">
        <v>2861</v>
      </c>
      <c r="E33" s="2414" t="s">
        <v>819</v>
      </c>
      <c r="F33" s="2415" t="str">
        <f>IF(D32="楼面单价","取值（单价）","取值（总价）")</f>
        <v>取值（单价）</v>
      </c>
      <c r="G33" s="604"/>
      <c r="H33" s="604"/>
      <c r="I33" s="604"/>
    </row>
    <row r="34" spans="1:15" ht="15">
      <c r="A34" s="2416"/>
      <c r="B34" s="2417" t="s">
        <v>820</v>
      </c>
      <c r="C34" s="2418">
        <f ca="1">IF(C33="自定义",F34,C32-C35)</f>
        <v>19013</v>
      </c>
      <c r="D34" s="2419">
        <f ca="1">IF(C33="自定义",ROUND(C34/C32,3),IF(C33="收益比率",SUMIF(INDIRECT("'"&amp;D33&amp;"'"&amp;"!b:b"),"土地收益比率",INDIRECT("'"&amp;D33&amp;"'"&amp;"!c:c")),SUMIF(INDIRECT("'"&amp;D33&amp;"'"&amp;"!b:b"),"土地成本比率",INDIRECT("'"&amp;D33&amp;"'"&amp;"!c:c"))))</f>
        <v>0.79100000000000004</v>
      </c>
      <c r="E34" s="2420" t="s">
        <v>821</v>
      </c>
      <c r="F34" s="2421"/>
      <c r="G34" s="604"/>
      <c r="H34" s="604"/>
      <c r="I34" s="604"/>
    </row>
    <row r="35" spans="1:15" ht="15">
      <c r="A35" s="2422"/>
      <c r="B35" s="2423" t="s">
        <v>822</v>
      </c>
      <c r="C35" s="2424">
        <f ca="1">IF(C33="自定义",F35,ROUND(C32*D35,0))</f>
        <v>5024</v>
      </c>
      <c r="D35" s="2425">
        <f ca="1">IF(C33="自定义",ROUND(C35/C32,3),IF(C33="收益比率",SUMIF(INDIRECT("'"&amp;D33&amp;"'"&amp;"!b:b"),"建筑物收益比率",INDIRECT("'"&amp;D33&amp;"'"&amp;"!c:c")),SUMIF(INDIRECT("'"&amp;D33&amp;"'"&amp;"!b:b"),"建筑物成本比率",INDIRECT("'"&amp;D33&amp;"'"&amp;"!c:c"))))</f>
        <v>0.20899999999999999</v>
      </c>
      <c r="E35" s="2426" t="s">
        <v>823</v>
      </c>
      <c r="F35" s="2427"/>
      <c r="G35" s="604"/>
      <c r="H35" s="604"/>
      <c r="I35" s="604"/>
    </row>
    <row r="36" spans="1:15" ht="15">
      <c r="A36" s="3540" t="s">
        <v>824</v>
      </c>
      <c r="B36" s="2428" t="s">
        <v>825</v>
      </c>
      <c r="C36" s="2429"/>
      <c r="D36" s="2430"/>
      <c r="E36" s="2431"/>
      <c r="F36" s="2432"/>
      <c r="G36" s="604"/>
      <c r="H36" s="604"/>
      <c r="I36" s="604"/>
    </row>
    <row r="37" spans="1:15" ht="15">
      <c r="A37" s="3541"/>
      <c r="B37" s="2433" t="s">
        <v>826</v>
      </c>
      <c r="C37" s="2434"/>
      <c r="D37" s="2435"/>
      <c r="E37" s="2435"/>
      <c r="F37" s="2432"/>
      <c r="G37" s="604"/>
      <c r="H37" s="604"/>
      <c r="I37" s="604"/>
    </row>
    <row r="38" spans="1:15" ht="15">
      <c r="A38" s="3542"/>
      <c r="B38" s="2436" t="s">
        <v>827</v>
      </c>
      <c r="C38" s="2437"/>
      <c r="D38" s="2438" t="s">
        <v>828</v>
      </c>
      <c r="E38" s="2435"/>
      <c r="F38" s="2432"/>
      <c r="G38" s="604"/>
      <c r="H38" s="604"/>
      <c r="I38" s="604"/>
    </row>
    <row r="39" spans="1:15" ht="15">
      <c r="A39" s="2386" t="s">
        <v>829</v>
      </c>
      <c r="B39" s="2439" t="s">
        <v>810</v>
      </c>
      <c r="C39" s="2440" t="s">
        <v>811</v>
      </c>
      <c r="D39" s="2440" t="s">
        <v>830</v>
      </c>
      <c r="E39" s="2441" t="s">
        <v>812</v>
      </c>
      <c r="F39" s="2432"/>
      <c r="G39" s="604"/>
      <c r="H39" s="604"/>
      <c r="I39" s="604"/>
    </row>
    <row r="40" spans="1:15" ht="14.25">
      <c r="A40" s="2442" t="s">
        <v>831</v>
      </c>
      <c r="B40" s="2443"/>
      <c r="C40" s="622"/>
      <c r="D40" s="622"/>
      <c r="E40" s="2444"/>
      <c r="F40" s="2432"/>
      <c r="G40" s="604"/>
      <c r="H40" s="604"/>
      <c r="I40" s="604"/>
    </row>
    <row r="41" spans="1:15" ht="14.25">
      <c r="A41" s="2442" t="s">
        <v>832</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620" t="s">
        <v>835</v>
      </c>
      <c r="B45" s="3621"/>
      <c r="C45" s="3622"/>
      <c r="D45" s="1607">
        <f ca="1">ROUND(H101*F45,0)</f>
        <v>4450</v>
      </c>
      <c r="E45" s="2454" t="s">
        <v>836</v>
      </c>
      <c r="F45" s="2455">
        <v>1</v>
      </c>
      <c r="G45" s="2456" t="s">
        <v>837</v>
      </c>
      <c r="H45" s="604"/>
      <c r="I45" s="604"/>
      <c r="J45" s="3609" t="s">
        <v>838</v>
      </c>
      <c r="K45" s="3609"/>
      <c r="L45" s="3609"/>
      <c r="M45" s="3609"/>
      <c r="N45" s="3609"/>
      <c r="O45" s="3609"/>
    </row>
    <row r="46" spans="1:15" ht="14.25" customHeight="1">
      <c r="A46" s="3623" t="s">
        <v>839</v>
      </c>
      <c r="B46" s="3624"/>
      <c r="C46" s="3624"/>
      <c r="D46" s="3624"/>
      <c r="E46" s="3624"/>
      <c r="F46" s="3624"/>
      <c r="G46" s="3625"/>
      <c r="H46" s="2457"/>
      <c r="I46" s="605"/>
      <c r="J46" s="1937">
        <v>1</v>
      </c>
      <c r="K46" s="3599" t="s">
        <v>840</v>
      </c>
      <c r="L46" s="3599"/>
      <c r="M46" s="3626"/>
      <c r="N46" s="3626"/>
      <c r="O46" s="3626"/>
    </row>
    <row r="47" spans="1:15" ht="12" customHeight="1">
      <c r="A47" s="2458" t="s">
        <v>841</v>
      </c>
      <c r="B47" s="2459"/>
      <c r="C47" s="2460"/>
      <c r="D47" s="1658" t="s">
        <v>842</v>
      </c>
      <c r="E47" s="1608" t="s">
        <v>843</v>
      </c>
      <c r="F47" s="2461" t="s">
        <v>844</v>
      </c>
      <c r="G47" s="2462" t="s">
        <v>845</v>
      </c>
      <c r="H47" s="2463"/>
      <c r="I47" s="605"/>
      <c r="J47" s="1937">
        <v>2</v>
      </c>
      <c r="K47" s="3599" t="s">
        <v>846</v>
      </c>
      <c r="L47" s="3599"/>
      <c r="M47" s="3606">
        <f>'数据-取费表'!B2</f>
        <v>45540</v>
      </c>
      <c r="N47" s="3606"/>
      <c r="O47" s="3606"/>
    </row>
    <row r="48" spans="1:15" ht="25.5">
      <c r="A48" s="3607" t="s">
        <v>847</v>
      </c>
      <c r="B48" s="3601"/>
      <c r="C48" s="3601"/>
      <c r="D48" s="1762" t="b">
        <f>IF(H48="情况1",0,IF(H48="情况2",D52,IF(H48="情况3",D53,IF(H48="情况4",D54))))</f>
        <v>0</v>
      </c>
      <c r="E48" s="1662" t="str">
        <f>IF(H48="情况4","(销售额-原购置价)×税（费）率","销售额×税（费）率")</f>
        <v>销售额×税（费）率</v>
      </c>
      <c r="F48" s="2465">
        <f>IF(H48="情况1","免征",'数据-取费表'!B41)</f>
        <v>5.6000000000000001E-2</v>
      </c>
      <c r="G48" s="2466" t="s">
        <v>848</v>
      </c>
      <c r="H48" s="2467"/>
      <c r="I48" s="2457"/>
      <c r="J48" s="1937">
        <v>3</v>
      </c>
      <c r="K48" s="3599" t="s">
        <v>849</v>
      </c>
      <c r="L48" s="3599"/>
      <c r="M48" s="3608">
        <f ca="1">H101</f>
        <v>4450</v>
      </c>
      <c r="N48" s="3608"/>
      <c r="O48" s="3608"/>
    </row>
    <row r="49" spans="1:35" ht="25.5" customHeight="1">
      <c r="A49" s="2464" t="s">
        <v>850</v>
      </c>
      <c r="B49" s="3575" t="s">
        <v>851</v>
      </c>
      <c r="C49" s="3575"/>
      <c r="D49" s="2468">
        <v>0</v>
      </c>
      <c r="E49" s="1668" t="s">
        <v>852</v>
      </c>
      <c r="F49" s="2469" t="s">
        <v>124</v>
      </c>
      <c r="G49" s="3602"/>
      <c r="H49" s="2470" t="s">
        <v>853</v>
      </c>
      <c r="I49" s="2507"/>
      <c r="J49" s="1937">
        <v>4</v>
      </c>
      <c r="K49" s="3599" t="str">
        <f>IF(项目基本情况!E8="房地产抵押价值","房地产抵押价值","抵押担保权已注销时的房地产抵押价值")</f>
        <v>房地产抵押价值</v>
      </c>
      <c r="L49" s="3599"/>
      <c r="M49" s="3608">
        <f ca="1">IF(项目基本情况!E8="房地产抵押价值",H107,H109)</f>
        <v>4450</v>
      </c>
      <c r="N49" s="3608"/>
      <c r="O49" s="3608"/>
    </row>
    <row r="50" spans="1:35" ht="25.5" customHeight="1">
      <c r="A50" s="2471"/>
      <c r="B50" s="3575" t="s">
        <v>854</v>
      </c>
      <c r="C50" s="3575"/>
      <c r="D50" s="2472"/>
      <c r="E50" s="1683"/>
      <c r="F50" s="2469"/>
      <c r="G50" s="3603"/>
      <c r="H50" s="2473" t="s">
        <v>855</v>
      </c>
      <c r="I50" s="2507"/>
      <c r="J50" s="3609" t="s">
        <v>856</v>
      </c>
      <c r="K50" s="3609"/>
      <c r="L50" s="3609"/>
      <c r="M50" s="3609"/>
      <c r="N50" s="3609"/>
      <c r="O50" s="3609"/>
    </row>
    <row r="51" spans="1:35" ht="20.45" customHeight="1">
      <c r="A51" s="2474"/>
      <c r="B51" s="3575" t="s">
        <v>857</v>
      </c>
      <c r="C51" s="3575"/>
      <c r="D51" s="1658"/>
      <c r="E51" s="1672"/>
      <c r="F51" s="2469"/>
      <c r="G51" s="3604"/>
      <c r="H51" s="2473" t="s">
        <v>858</v>
      </c>
      <c r="I51" s="2507"/>
      <c r="J51" s="2506" t="s">
        <v>859</v>
      </c>
      <c r="K51" s="3599" t="s">
        <v>860</v>
      </c>
      <c r="L51" s="3599"/>
      <c r="M51" s="2506" t="s">
        <v>861</v>
      </c>
      <c r="N51" s="2506" t="s">
        <v>862</v>
      </c>
      <c r="O51" s="2506" t="s">
        <v>863</v>
      </c>
    </row>
    <row r="52" spans="1:35" ht="24" customHeight="1">
      <c r="A52" s="2475" t="s">
        <v>864</v>
      </c>
      <c r="B52" s="3575" t="s">
        <v>865</v>
      </c>
      <c r="C52" s="3575"/>
      <c r="D52" s="1658">
        <f ca="1">ROUND(D45*'数据-取费表'!B41/(1+'数据-取费表'!C42),0)</f>
        <v>237</v>
      </c>
      <c r="E52" s="1662" t="s">
        <v>866</v>
      </c>
      <c r="F52" s="2476">
        <f>'数据-取费表'!B41</f>
        <v>5.6000000000000001E-2</v>
      </c>
      <c r="G52" s="2477"/>
      <c r="H52" s="1777"/>
      <c r="I52" s="2508"/>
      <c r="J52" s="1937">
        <v>1</v>
      </c>
      <c r="K52" s="3595" t="s">
        <v>867</v>
      </c>
      <c r="L52" s="3595"/>
      <c r="M52" s="2509" t="b">
        <f>D48</f>
        <v>0</v>
      </c>
      <c r="N52" s="1937" t="str">
        <f>E48</f>
        <v>销售额×税（费）率</v>
      </c>
      <c r="O52" s="2510">
        <f>F48</f>
        <v>5.6000000000000001E-2</v>
      </c>
    </row>
    <row r="53" spans="1:35" ht="12" customHeight="1">
      <c r="A53" s="2475" t="s">
        <v>868</v>
      </c>
      <c r="B53" s="3574" t="s">
        <v>869</v>
      </c>
      <c r="C53" s="3591"/>
      <c r="D53" s="1658">
        <f ca="1">ROUND(D45*'数据-取费表'!B41/(1+'数据-取费表'!C42),0)</f>
        <v>237</v>
      </c>
      <c r="E53" s="1662" t="s">
        <v>866</v>
      </c>
      <c r="F53" s="2476">
        <f>'数据-取费表'!B41</f>
        <v>5.6000000000000001E-2</v>
      </c>
      <c r="G53" s="2477"/>
      <c r="H53" s="1777"/>
      <c r="I53" s="2508"/>
      <c r="J53" s="1937">
        <v>2</v>
      </c>
      <c r="K53" s="3595" t="s">
        <v>870</v>
      </c>
      <c r="L53" s="3595"/>
      <c r="M53" s="2509">
        <f t="shared" ref="M53:O54" ca="1" si="0">D55</f>
        <v>2</v>
      </c>
      <c r="N53" s="1937" t="str">
        <f t="shared" si="0"/>
        <v>销售额×税（费）率</v>
      </c>
      <c r="O53" s="2510" t="str">
        <f t="shared" si="0"/>
        <v>免征</v>
      </c>
    </row>
    <row r="54" spans="1:35" ht="12" customHeight="1">
      <c r="A54" s="2475" t="s">
        <v>871</v>
      </c>
      <c r="B54" s="3574" t="s">
        <v>872</v>
      </c>
      <c r="C54" s="3591"/>
      <c r="D54" s="1658">
        <f ca="1">C68</f>
        <v>237</v>
      </c>
      <c r="E54" s="1672" t="s">
        <v>873</v>
      </c>
      <c r="F54" s="2476">
        <f>'数据-取费表'!B41</f>
        <v>5.6000000000000001E-2</v>
      </c>
      <c r="G54" s="2477"/>
      <c r="H54" s="2478"/>
      <c r="I54" s="2508"/>
      <c r="J54" s="1937">
        <v>3</v>
      </c>
      <c r="K54" s="3595" t="s">
        <v>874</v>
      </c>
      <c r="L54" s="3595"/>
      <c r="M54" s="2509">
        <f t="shared" ca="1" si="0"/>
        <v>2519</v>
      </c>
      <c r="N54" s="1937" t="str">
        <f t="shared" si="0"/>
        <v>增值额×税（费）率</v>
      </c>
      <c r="O54" s="2511" t="str">
        <f t="shared" si="0"/>
        <v>免征</v>
      </c>
    </row>
    <row r="55" spans="1:35" ht="24" customHeight="1">
      <c r="A55" s="3600" t="s">
        <v>875</v>
      </c>
      <c r="B55" s="3601"/>
      <c r="C55" s="3601"/>
      <c r="D55" s="1762">
        <f ca="1">IF(H55="个人住宅",0,ROUND(D45*I55,0))</f>
        <v>2</v>
      </c>
      <c r="E55" s="1662" t="s">
        <v>876</v>
      </c>
      <c r="F55" s="2476" t="str">
        <f>IF(H55="正常",I55,"免征")</f>
        <v>免征</v>
      </c>
      <c r="G55" s="2477"/>
      <c r="H55" s="2467"/>
      <c r="I55" s="2512">
        <f>'数据-取费表'!B49</f>
        <v>5.0000000000000001E-4</v>
      </c>
      <c r="J55" s="1937">
        <f>IF(H59="非个人房产","",4)</f>
        <v>4</v>
      </c>
      <c r="K55" s="3595" t="str">
        <f>IF(H59="非个人房产","——","个人所得税")</f>
        <v>个人所得税</v>
      </c>
      <c r="L55" s="3595"/>
      <c r="M55" s="2513">
        <f ca="1">D59</f>
        <v>42</v>
      </c>
      <c r="N55" s="1918" t="str">
        <f>E59</f>
        <v>差额计税</v>
      </c>
      <c r="O55" s="2514">
        <f>F59</f>
        <v>0.01</v>
      </c>
    </row>
    <row r="56" spans="1:35" ht="24.75">
      <c r="A56" s="3600" t="s">
        <v>877</v>
      </c>
      <c r="B56" s="3601"/>
      <c r="C56" s="3601"/>
      <c r="D56" s="1762">
        <f ca="1">IF(H56="个人住宅",D57,D58)</f>
        <v>2519</v>
      </c>
      <c r="E56" s="1662" t="s">
        <v>878</v>
      </c>
      <c r="F56" s="2476" t="str">
        <f>IF(H56="正常",F58,"免征")</f>
        <v>免征</v>
      </c>
      <c r="G56" s="2479" t="s">
        <v>879</v>
      </c>
      <c r="H56" s="2480"/>
      <c r="I56" s="2489"/>
      <c r="J56" s="1937" t="str">
        <f>IF(项目基本情况!K6="上海银行",IF(J55="",4,J55+1),"")</f>
        <v/>
      </c>
      <c r="K56" s="3589" t="str">
        <f>IF(项目基本情况!K6="上海银行","其他处置费用","")</f>
        <v/>
      </c>
      <c r="L56" s="3605"/>
      <c r="M56" s="2509" t="str">
        <f>IF(项目基本情况!K6="上海银行",M69,"")</f>
        <v/>
      </c>
      <c r="N56" s="3589" t="str">
        <f>IF(项目基本情况!K6="上海银行","包含处置中涉及的律师、诉讼、拍卖、评估等费用","")</f>
        <v/>
      </c>
      <c r="O56" s="3590"/>
    </row>
    <row r="57" spans="1:35" ht="12.75">
      <c r="A57" s="2475" t="s">
        <v>850</v>
      </c>
      <c r="B57" s="3574" t="s">
        <v>880</v>
      </c>
      <c r="C57" s="3591"/>
      <c r="D57" s="2468">
        <v>0</v>
      </c>
      <c r="E57" s="1668" t="s">
        <v>852</v>
      </c>
      <c r="F57" s="1608"/>
      <c r="G57" s="2477"/>
      <c r="H57" s="2481"/>
      <c r="I57" s="2489"/>
      <c r="J57" s="3595">
        <f>IF(AND(J55="",J56=""),4,IF(项目基本情况!K6="上海银行",结果表!J56+1,结果表!J55+1))</f>
        <v>5</v>
      </c>
      <c r="K57" s="3595" t="s">
        <v>881</v>
      </c>
      <c r="L57" s="2515" t="s">
        <v>882</v>
      </c>
      <c r="M57" s="2516"/>
      <c r="N57" s="2517">
        <f ca="1">SUMIF(M52:M56,"&lt;9e307")</f>
        <v>2563</v>
      </c>
      <c r="O57" s="2518"/>
      <c r="P57" s="2519">
        <f ca="1">N57/M49</f>
        <v>0.57595505617977527</v>
      </c>
    </row>
    <row r="58" spans="1:35" ht="24.75">
      <c r="A58" s="2475" t="s">
        <v>864</v>
      </c>
      <c r="B58" s="3574" t="s">
        <v>883</v>
      </c>
      <c r="C58" s="3575"/>
      <c r="D58" s="1762">
        <f ca="1">IF(H58="转让取得",C81,C97)</f>
        <v>2519</v>
      </c>
      <c r="E58" s="1662" t="s">
        <v>878</v>
      </c>
      <c r="F58" s="1608" t="s">
        <v>124</v>
      </c>
      <c r="G58" s="2477"/>
      <c r="H58" s="2480"/>
      <c r="I58" s="2489"/>
      <c r="J58" s="3595"/>
      <c r="K58" s="3595"/>
      <c r="L58" s="2515" t="s">
        <v>884</v>
      </c>
      <c r="M58" s="2520"/>
      <c r="N58" s="2521" t="str">
        <f ca="1">NUMBERSTRING(INT(N57*10000),2)&amp;"元整"</f>
        <v>贰仟伍佰陆拾叁万元整</v>
      </c>
      <c r="O58" s="2522"/>
    </row>
    <row r="59" spans="1:35" ht="24">
      <c r="A59" s="3592" t="s">
        <v>885</v>
      </c>
      <c r="B59" s="3593"/>
      <c r="C59" s="3593"/>
      <c r="D59" s="2482">
        <f ca="1">IF(H59="非个人房产","——",IF(H59="个人住宅（满五唯一有凭证）",0,IF(H59="个人其他（无凭证）",ROUND(D45*F59,0),ROUND(C67*F59,0))))</f>
        <v>42</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96">
        <f>J57+1</f>
        <v>6</v>
      </c>
      <c r="K59" s="3595" t="s">
        <v>887</v>
      </c>
      <c r="L59" s="1937" t="s">
        <v>882</v>
      </c>
      <c r="M59" s="2524"/>
      <c r="N59" s="2525">
        <f ca="1">M49-N57</f>
        <v>1887</v>
      </c>
      <c r="O59" s="2526"/>
    </row>
    <row r="60" spans="1:35" ht="12" customHeight="1">
      <c r="A60" s="2487"/>
      <c r="B60" s="2362"/>
      <c r="C60" s="2362"/>
      <c r="D60" s="2362"/>
      <c r="E60" s="2488"/>
      <c r="F60" s="2489"/>
      <c r="G60" s="2489"/>
      <c r="H60" s="2490"/>
      <c r="I60" s="604"/>
      <c r="J60" s="3597"/>
      <c r="K60" s="3595"/>
      <c r="L60" s="2515" t="s">
        <v>884</v>
      </c>
      <c r="M60" s="2520"/>
      <c r="N60" s="2521" t="str">
        <f ca="1">NUMBERSTRING(INT(N59*10000),2)&amp;"元整"</f>
        <v>壹仟捌佰捌拾柒万元整</v>
      </c>
      <c r="O60" s="2522"/>
    </row>
    <row r="61" spans="1:35" ht="12.75">
      <c r="A61" s="3594" t="s">
        <v>888</v>
      </c>
      <c r="B61" s="3594"/>
      <c r="C61" s="3594"/>
      <c r="D61" s="3594"/>
      <c r="E61" s="3594"/>
      <c r="F61" s="2489"/>
      <c r="G61" s="2489"/>
      <c r="H61" s="2490"/>
      <c r="I61" s="604"/>
      <c r="J61" s="1937">
        <f>J59+1</f>
        <v>7</v>
      </c>
      <c r="K61" s="3595" t="s">
        <v>889</v>
      </c>
      <c r="L61" s="3595"/>
      <c r="M61" s="2527"/>
      <c r="N61" s="2528">
        <f ca="1">ROUND(N59*10000/'数据-汇总表'!E3,0)</f>
        <v>10194</v>
      </c>
      <c r="O61" s="2529"/>
    </row>
    <row r="62" spans="1:35" ht="12.75">
      <c r="A62" s="3572" t="s">
        <v>890</v>
      </c>
      <c r="B62" s="3573"/>
      <c r="C62" s="1889"/>
      <c r="D62" s="1889" t="s">
        <v>891</v>
      </c>
      <c r="E62" s="2491" t="s">
        <v>845</v>
      </c>
      <c r="F62" s="2489"/>
      <c r="G62" s="2489"/>
      <c r="H62" s="2490"/>
      <c r="I62" s="604"/>
    </row>
    <row r="63" spans="1:35" ht="12.75">
      <c r="A63" s="2492" t="s">
        <v>892</v>
      </c>
      <c r="B63" s="1947" t="s">
        <v>893</v>
      </c>
      <c r="C63" s="2493">
        <f ca="1">ROUND((C64+C65)/(1+'数据-取费表'!C42),0)</f>
        <v>4238</v>
      </c>
      <c r="D63" s="1947"/>
      <c r="E63" s="2494"/>
      <c r="F63" s="2489"/>
      <c r="G63" s="2489"/>
      <c r="H63" s="2490"/>
      <c r="I63" s="604"/>
      <c r="J63" s="3598" t="s">
        <v>894</v>
      </c>
      <c r="K63" s="2530" t="s">
        <v>895</v>
      </c>
      <c r="L63" s="2530">
        <f ca="1">IF(M49&gt;10000,M49*0.5%,IF(AND(M49&gt;1000,M49&lt;=10000),M49*1%,IF(AND(M49&gt;100,M49&lt;=1000),M49*3%,IF(AND(M49&gt;10,M49&lt;=100),M49*5%,M49*8%))))</f>
        <v>44.5</v>
      </c>
      <c r="M63" s="1608">
        <f ca="1">ROUND(L63,1)</f>
        <v>44.5</v>
      </c>
      <c r="N63" s="2531"/>
      <c r="Z63" s="2359"/>
      <c r="AI63" s="2360"/>
    </row>
    <row r="64" spans="1:35" ht="14.25" customHeight="1">
      <c r="A64" s="2495" t="s">
        <v>896</v>
      </c>
      <c r="B64" s="1875" t="s">
        <v>897</v>
      </c>
      <c r="C64" s="2496">
        <f ca="1">D45</f>
        <v>4450</v>
      </c>
      <c r="D64" s="1875" t="s">
        <v>124</v>
      </c>
      <c r="E64" s="2497"/>
      <c r="F64" s="2489"/>
      <c r="G64" s="2489"/>
      <c r="H64" s="2490"/>
      <c r="I64" s="604"/>
      <c r="J64" s="3598"/>
      <c r="K64" s="2530" t="s">
        <v>898</v>
      </c>
      <c r="L64" s="2530">
        <f ca="1">IF(M49&gt;2000,M49*0.5%,IF(AND(M49&gt;1000,M49&lt;=2000),M49*0.6%,IF(AND(M49&gt;500,M49&lt;=1000),M49*0.7%,IF(AND(M49&gt;200,M49&lt;=500),M49*0.8%,IF(AND(M49&gt;100,M49&lt;=200),M49*0.9%,IF(AND(M49&gt;50,M49&lt;=100),M49*1%,IF(AND(M49&gt;20,M49&lt;=50),M49*1.5%,IF(AND(M49&gt;10,M49&lt;=20),M49*2%,IF(AND(M49&gt;1,M49&lt;=10),M49*2.5%)))))))))</f>
        <v>22.25</v>
      </c>
      <c r="M64" s="1608">
        <f t="shared" ref="M64:M65" ca="1" si="1">ROUND(L64,1)</f>
        <v>22.3</v>
      </c>
      <c r="N64" s="1777" t="s">
        <v>899</v>
      </c>
      <c r="Z64" s="2359"/>
      <c r="AI64" s="2360"/>
    </row>
    <row r="65" spans="1:35" ht="14.25" customHeight="1">
      <c r="A65" s="2495" t="s">
        <v>900</v>
      </c>
      <c r="B65" s="1875" t="s">
        <v>901</v>
      </c>
      <c r="C65" s="2533"/>
      <c r="D65" s="1875"/>
      <c r="E65" s="2497"/>
      <c r="F65" s="2489"/>
      <c r="G65" s="2489"/>
      <c r="H65" s="2490"/>
      <c r="I65" s="604"/>
      <c r="J65" s="3598"/>
      <c r="K65" s="2530" t="s">
        <v>902</v>
      </c>
      <c r="L65" s="2530">
        <f ca="1">IF(M49&gt;1000,M49*0.1%,IF(AND(M49&gt;500,M49&lt;=1000),M49*0.5%,IF(AND(M49&gt;50,M49&lt;=500),M49*1%,IF(AND(M49&gt;1,M49&lt;=50),M49*1.5%))))</f>
        <v>4.45</v>
      </c>
      <c r="M65" s="1608">
        <f t="shared" ca="1" si="1"/>
        <v>4.5</v>
      </c>
      <c r="N65" s="1777" t="s">
        <v>899</v>
      </c>
      <c r="Z65" s="2359"/>
      <c r="AI65" s="2360"/>
    </row>
    <row r="66" spans="1:35" ht="14.25" customHeight="1">
      <c r="A66" s="2492" t="s">
        <v>903</v>
      </c>
      <c r="B66" s="2534" t="s">
        <v>904</v>
      </c>
      <c r="C66" s="2535"/>
      <c r="D66" s="2534" t="s">
        <v>124</v>
      </c>
      <c r="E66" s="2536" t="s">
        <v>905</v>
      </c>
      <c r="F66" s="2489"/>
      <c r="G66" s="2489"/>
      <c r="H66" s="2490"/>
      <c r="I66" s="604"/>
      <c r="J66" s="3598"/>
      <c r="K66" s="2530" t="s">
        <v>906</v>
      </c>
      <c r="L66" s="2530">
        <f ca="1">M49*0.5%</f>
        <v>22.25</v>
      </c>
      <c r="M66" s="1608">
        <f ca="1">IF(L66&gt;0.5,0.5,ROUND(L66,0))</f>
        <v>0.5</v>
      </c>
      <c r="N66" s="1777" t="s">
        <v>907</v>
      </c>
      <c r="Z66" s="2359"/>
      <c r="AI66" s="2360"/>
    </row>
    <row r="67" spans="1:35" ht="14.25" customHeight="1">
      <c r="A67" s="2492" t="s">
        <v>908</v>
      </c>
      <c r="B67" s="2534" t="s">
        <v>909</v>
      </c>
      <c r="C67" s="2537">
        <f ca="1">C63-C66</f>
        <v>4238</v>
      </c>
      <c r="D67" s="1875" t="s">
        <v>124</v>
      </c>
      <c r="E67" s="2497"/>
      <c r="F67" s="2489"/>
      <c r="G67" s="2489"/>
      <c r="H67" s="2490"/>
      <c r="I67" s="604"/>
      <c r="J67" s="3598"/>
      <c r="K67" s="2530" t="s">
        <v>910</v>
      </c>
      <c r="L67" s="2530">
        <f ca="1">IF(M49&gt;=10000,(8.25+(M49-10000)*0.01%),IF(AND(M49&gt;=8000,M49&lt;10000),(7.85+(M49-8000)*0.02%),IF(AND(M49&gt;=5000,M49&lt;8000),(6.65+(M49-5000)*0.04%),IF(AND(M49&gt;=2000,M49&lt;5000),(4.25+(PM49-2000)*0.08%),IF(AND(M49&gt;=1000,M49&lt;2000),(2.75+(M49-1000)*0.15%),IF(AND(M49&gt;=100,M49&lt;1000),(0.5+(M49-100)*0.25%),IF(AND(M49&gt;0,M49&lt;100),M49*0.5%)))))))</f>
        <v>2.65</v>
      </c>
      <c r="M67" s="1608">
        <f ca="1">ROUND(L67*0.9,1)</f>
        <v>2.4</v>
      </c>
      <c r="N67" s="2531"/>
      <c r="Z67" s="2359"/>
      <c r="AI67" s="2360"/>
    </row>
    <row r="68" spans="1:35" ht="14.25" customHeight="1">
      <c r="A68" s="2538" t="s">
        <v>911</v>
      </c>
      <c r="B68" s="2539" t="s">
        <v>912</v>
      </c>
      <c r="C68" s="2540">
        <f ca="1">IF(C67&lt;=0,0,ROUND(C67*D68,0))</f>
        <v>237</v>
      </c>
      <c r="D68" s="2132">
        <f>'数据-取费表'!B41</f>
        <v>5.6000000000000001E-2</v>
      </c>
      <c r="E68" s="2541"/>
      <c r="F68" s="2489"/>
      <c r="G68" s="2489"/>
      <c r="H68" s="2490"/>
      <c r="I68" s="604"/>
      <c r="J68" s="3598"/>
      <c r="K68" s="2530" t="s">
        <v>913</v>
      </c>
      <c r="L68" s="2530">
        <f ca="1">IF(M49&gt;10000,M49*0.5%,IF(AND(M49&gt;5000,M49&lt;=10000),M49*1%,IF(AND(M49&gt;1000,M49&lt;=5000),M49*2%,IF(AND(M49&gt;200,M49&lt;=1000),M49*3%,M49*5%))))</f>
        <v>89</v>
      </c>
      <c r="M68" s="1608">
        <f ca="1">ROUND(L68,1)</f>
        <v>89</v>
      </c>
      <c r="N68" s="2531"/>
      <c r="Z68" s="2359"/>
      <c r="AI68" s="2360"/>
    </row>
    <row r="69" spans="1:35" s="2357" customFormat="1" ht="16.5" customHeight="1">
      <c r="A69" s="2542"/>
      <c r="B69" s="2543"/>
      <c r="C69" s="2544"/>
      <c r="D69" s="2051"/>
      <c r="E69" s="2545"/>
      <c r="F69" s="2488"/>
      <c r="G69" s="2488"/>
      <c r="H69" s="2448"/>
      <c r="I69" s="2362"/>
      <c r="J69" s="3598"/>
      <c r="K69" s="2530" t="s">
        <v>914</v>
      </c>
      <c r="L69" s="2530"/>
      <c r="M69" s="1608">
        <f ca="1">ROUND(SUM(M63:M68),0)</f>
        <v>163</v>
      </c>
      <c r="N69" s="2608">
        <f ca="1">M69/M49</f>
        <v>3.6629213483146066E-2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70" t="s">
        <v>915</v>
      </c>
      <c r="B70" s="3571"/>
      <c r="C70" s="3571"/>
      <c r="D70" s="3571"/>
      <c r="E70" s="3571"/>
      <c r="F70" s="3571"/>
      <c r="G70" s="3571"/>
      <c r="H70" s="3571"/>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2" t="s">
        <v>890</v>
      </c>
      <c r="B71" s="3573"/>
      <c r="C71" s="1889"/>
      <c r="D71" s="188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4238</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25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1875" t="s">
        <v>918</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1875" t="s">
        <v>920</v>
      </c>
      <c r="C75" s="2550"/>
      <c r="D75" s="1875" t="s">
        <v>124</v>
      </c>
      <c r="E75" s="2551" t="s">
        <v>921</v>
      </c>
      <c r="F75" s="2552"/>
      <c r="G75" s="2551" t="s">
        <v>922</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1875">
        <f>IF(F75="购房发票",ROUND(C75*H75*D76,0),0)</f>
        <v>0</v>
      </c>
      <c r="D76" s="2555">
        <v>0.05</v>
      </c>
      <c r="E76" s="3574" t="s">
        <v>925</v>
      </c>
      <c r="F76" s="3575"/>
      <c r="G76" s="3575"/>
      <c r="H76" s="3576"/>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1875" t="s">
        <v>927</v>
      </c>
      <c r="C77" s="1875">
        <f>ROUND(IF(G77="个人住宅",0,IF(G77="2016年5月1日前购买",C75*D77,C75*D77/(1+'数据-取费表'!C42))),0)</f>
        <v>0</v>
      </c>
      <c r="D77" s="2557">
        <f>'数据-取费表'!B48+'数据-取费表'!B49</f>
        <v>3.0499999999999999E-2</v>
      </c>
      <c r="E77" s="1762"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1875" t="s">
        <v>929</v>
      </c>
      <c r="C78" s="2560">
        <f ca="1">ROUND(D45*D78/(1+'数据-取费表'!C42),0)</f>
        <v>25</v>
      </c>
      <c r="D78" s="2561">
        <f>'数据-取费表'!B43</f>
        <v>6.000000000000001E-3</v>
      </c>
      <c r="E78" s="3552" t="s">
        <v>930</v>
      </c>
      <c r="F78" s="3553"/>
      <c r="G78" s="3553"/>
      <c r="H78" s="355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4213</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168.52</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2519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70" t="s">
        <v>935</v>
      </c>
      <c r="B83" s="3571"/>
      <c r="C83" s="3571"/>
      <c r="D83" s="3571"/>
      <c r="E83" s="3571"/>
      <c r="F83" s="3571"/>
      <c r="G83" s="3571"/>
      <c r="H83" s="3571"/>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2" t="s">
        <v>890</v>
      </c>
      <c r="B84" s="3573"/>
      <c r="C84" s="1889"/>
      <c r="D84" s="1889" t="s">
        <v>891</v>
      </c>
      <c r="E84" s="2546" t="s">
        <v>845</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4238</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25</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1875" t="s">
        <v>936</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1875" t="s">
        <v>937</v>
      </c>
      <c r="C88" s="2577"/>
      <c r="D88" s="2561"/>
      <c r="E88" s="2578" t="s">
        <v>938</v>
      </c>
      <c r="F88" s="2563"/>
      <c r="G88" s="2579" t="s">
        <v>939</v>
      </c>
      <c r="H88" s="2580"/>
      <c r="I88" s="2151"/>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1875" t="s">
        <v>927</v>
      </c>
      <c r="C89" s="2560">
        <f>ROUND(C88*D89,0)</f>
        <v>0</v>
      </c>
      <c r="D89" s="2561">
        <f>'数据-取费表'!B48+'数据-取费表'!B49</f>
        <v>3.0499999999999999E-2</v>
      </c>
      <c r="E89" s="2578" t="s">
        <v>941</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1875" t="s">
        <v>942</v>
      </c>
      <c r="C90" s="2577"/>
      <c r="D90" s="2561"/>
      <c r="E90" s="2578" t="str">
        <f>IF(H88="-","土地取得成本中已包含该笔费用"," ")</f>
        <v/>
      </c>
      <c r="F90" s="2563"/>
      <c r="G90" s="3584" t="s">
        <v>943</v>
      </c>
      <c r="H90" s="3585"/>
      <c r="I90" s="2151"/>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1875" t="s">
        <v>946</v>
      </c>
      <c r="C91" s="2560">
        <f>IF(H91="——",成本法!C33,I91)</f>
        <v>0</v>
      </c>
      <c r="D91" s="2561"/>
      <c r="E91" s="3552" t="s">
        <v>947</v>
      </c>
      <c r="F91" s="3553"/>
      <c r="G91" s="355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1875" t="s">
        <v>949</v>
      </c>
      <c r="C92" s="2560">
        <f>ROUND((C87+C90+C91)*D92,0)</f>
        <v>0</v>
      </c>
      <c r="D92" s="2582"/>
      <c r="E92" s="3552" t="s">
        <v>950</v>
      </c>
      <c r="F92" s="3553"/>
      <c r="G92" s="3553"/>
      <c r="H92" s="3554"/>
      <c r="I92" s="2151"/>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1875" t="s">
        <v>929</v>
      </c>
      <c r="C93" s="2560">
        <f ca="1">ROUND(D45*D93/(1+'数据-取费表'!C42),0)</f>
        <v>25</v>
      </c>
      <c r="D93" s="2561">
        <f>'数据-取费表'!B43</f>
        <v>6.000000000000001E-3</v>
      </c>
      <c r="E93" s="3552" t="s">
        <v>930</v>
      </c>
      <c r="F93" s="3553"/>
      <c r="G93" s="3553"/>
      <c r="H93" s="3554"/>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1875" t="s">
        <v>954</v>
      </c>
      <c r="C94" s="2577">
        <f>ROUND((C87+C90+C91)*D94,0)</f>
        <v>0</v>
      </c>
      <c r="D94" s="2561">
        <v>0.2</v>
      </c>
      <c r="E94" s="3555" t="s">
        <v>955</v>
      </c>
      <c r="F94" s="3556"/>
      <c r="G94" s="3556"/>
      <c r="H94" s="3557"/>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4213</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168.52</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2519</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956</v>
      </c>
      <c r="B99" s="2362"/>
      <c r="C99" s="2362"/>
      <c r="D99" s="2362"/>
      <c r="E99" s="2488"/>
      <c r="F99" s="2488"/>
      <c r="G99" s="2488"/>
      <c r="H99" s="2448"/>
      <c r="I99" s="604"/>
    </row>
    <row r="100" spans="1:35" ht="18.75" customHeight="1">
      <c r="A100" s="3530" t="s">
        <v>957</v>
      </c>
      <c r="B100" s="3531"/>
      <c r="C100" s="3531"/>
      <c r="D100" s="3558"/>
      <c r="E100" s="3531" t="s">
        <v>958</v>
      </c>
      <c r="F100" s="3531"/>
      <c r="G100" s="3531"/>
      <c r="H100" s="3558"/>
      <c r="I100" s="604"/>
    </row>
    <row r="101" spans="1:35" ht="18.75" customHeight="1">
      <c r="A101" s="3559" t="s">
        <v>959</v>
      </c>
      <c r="B101" s="3560"/>
      <c r="C101" s="2585" t="str">
        <f>C4</f>
        <v>比较法-商业</v>
      </c>
      <c r="D101" s="2586" t="str">
        <f>D4</f>
        <v>收益法</v>
      </c>
      <c r="E101" s="3583" t="s">
        <v>960</v>
      </c>
      <c r="F101" s="3578"/>
      <c r="G101" s="2588" t="s">
        <v>961</v>
      </c>
      <c r="H101" s="2589">
        <f ca="1">H118</f>
        <v>4450</v>
      </c>
      <c r="I101" s="604"/>
    </row>
    <row r="102" spans="1:35" ht="18.75" customHeight="1">
      <c r="A102" s="3543" t="s">
        <v>962</v>
      </c>
      <c r="B102" s="2590" t="s">
        <v>961</v>
      </c>
      <c r="C102" s="2585">
        <f ca="1">IF(D32="楼面单价",ROUND(C19,0),C19)</f>
        <v>5877</v>
      </c>
      <c r="D102" s="2586">
        <f ca="1">IF(D32="楼面单价",ROUND(D19,0),D19)</f>
        <v>2309</v>
      </c>
      <c r="E102" s="3583"/>
      <c r="F102" s="3578"/>
      <c r="G102" s="2588" t="s">
        <v>99</v>
      </c>
      <c r="H102" s="2477">
        <f ca="1">I118</f>
        <v>24037</v>
      </c>
      <c r="I102" s="604"/>
    </row>
    <row r="103" spans="1:35" ht="42.75" customHeight="1">
      <c r="A103" s="3543"/>
      <c r="B103" s="2590" t="s">
        <v>99</v>
      </c>
      <c r="C103" s="2591">
        <f ca="1">C20</f>
        <v>31746</v>
      </c>
      <c r="D103" s="2592">
        <f ca="1">D20</f>
        <v>12473</v>
      </c>
      <c r="E103" s="3561" t="s">
        <v>963</v>
      </c>
      <c r="F103" s="3562"/>
      <c r="G103" s="2593" t="s">
        <v>102</v>
      </c>
      <c r="H103" s="2589">
        <f>IF(D36="正常操作",H104+H105+H106,H105+H106)</f>
        <v>0</v>
      </c>
      <c r="I103" s="604"/>
    </row>
    <row r="104" spans="1:35" ht="18.75" customHeight="1">
      <c r="A104" s="3543" t="s">
        <v>964</v>
      </c>
      <c r="B104" s="2594" t="s">
        <v>961</v>
      </c>
      <c r="C104" s="2595">
        <f ca="1">H118</f>
        <v>4450</v>
      </c>
      <c r="D104" s="2596"/>
      <c r="E104" s="2433" t="s">
        <v>965</v>
      </c>
      <c r="F104" s="2597"/>
      <c r="G104" s="2593" t="s">
        <v>102</v>
      </c>
      <c r="H104" s="2598">
        <f>IF(D36="同一抵押权人同一抵押物续贷",C36&amp;"（续贷，未扣减，详见特别提示）",C36)</f>
        <v>0</v>
      </c>
      <c r="I104" s="604"/>
    </row>
    <row r="105" spans="1:35" ht="18.75" customHeight="1">
      <c r="A105" s="3544"/>
      <c r="B105" s="2599" t="s">
        <v>99</v>
      </c>
      <c r="C105" s="2600">
        <f ca="1">I118</f>
        <v>24037</v>
      </c>
      <c r="D105" s="2601"/>
      <c r="E105" s="2433" t="s">
        <v>966</v>
      </c>
      <c r="F105" s="2597"/>
      <c r="G105" s="2593" t="s">
        <v>102</v>
      </c>
      <c r="H105" s="2602">
        <f>C37</f>
        <v>0</v>
      </c>
      <c r="I105" s="604"/>
    </row>
    <row r="106" spans="1:35" ht="18.75" customHeight="1">
      <c r="A106" s="2362" t="s">
        <v>967</v>
      </c>
      <c r="B106" s="2362"/>
      <c r="C106" s="2362"/>
      <c r="D106" s="2362"/>
      <c r="E106" s="2603" t="s">
        <v>968</v>
      </c>
      <c r="F106" s="2597"/>
      <c r="G106" s="2593" t="s">
        <v>102</v>
      </c>
      <c r="H106" s="2602">
        <f>C38</f>
        <v>0</v>
      </c>
      <c r="I106" s="604"/>
    </row>
    <row r="107" spans="1:35" ht="18.75" customHeight="1">
      <c r="A107" s="604"/>
      <c r="B107" s="604"/>
      <c r="C107" s="604"/>
      <c r="D107" s="604"/>
      <c r="E107" s="3577" t="str">
        <f>IF(项目基本情况!E8="已注销","——","3.房地产抵押价值")</f>
        <v>3.房地产抵押价值</v>
      </c>
      <c r="F107" s="3578"/>
      <c r="G107" s="2588" t="s">
        <v>961</v>
      </c>
      <c r="H107" s="2589">
        <f ca="1">IF(E107="——","——",H101-H103)</f>
        <v>4450</v>
      </c>
      <c r="I107" s="604"/>
    </row>
    <row r="108" spans="1:35" ht="18.75" customHeight="1">
      <c r="A108" s="604"/>
      <c r="B108" s="604"/>
      <c r="C108" s="604"/>
      <c r="D108" s="604"/>
      <c r="E108" s="3577"/>
      <c r="F108" s="3578"/>
      <c r="G108" s="2588" t="s">
        <v>99</v>
      </c>
      <c r="H108" s="2477">
        <f ca="1">IF(H107=H101,H102,ROUND(H107*10000/'数据-汇总表'!E3,0))</f>
        <v>24037</v>
      </c>
      <c r="I108" s="604"/>
    </row>
    <row r="109" spans="1:35" ht="18.75" customHeight="1">
      <c r="A109" s="604"/>
      <c r="B109" s="604"/>
      <c r="C109" s="604"/>
      <c r="D109" s="604"/>
      <c r="E109" s="3577" t="str">
        <f>IF(项目基本情况!E8="已注销及未注销","4.抵押担保权已注销时的房地产抵押价值",IF(项目基本情况!E8="已注销","3.抵押担保权已注销时的房地产抵押价值","——"))</f>
        <v>——</v>
      </c>
      <c r="F109" s="3578"/>
      <c r="G109" s="2588" t="s">
        <v>961</v>
      </c>
      <c r="H109" s="2604" t="str">
        <f>IF(E109="——","——",H101-H105-H106)</f>
        <v>——</v>
      </c>
      <c r="I109" s="604"/>
    </row>
    <row r="110" spans="1:35" ht="18.75" customHeight="1">
      <c r="A110" s="604"/>
      <c r="B110" s="604"/>
      <c r="C110" s="604"/>
      <c r="D110" s="604"/>
      <c r="E110" s="3577"/>
      <c r="F110" s="3578"/>
      <c r="G110" s="2588" t="s">
        <v>99</v>
      </c>
      <c r="H110" s="2477" t="str">
        <f>IF(H109="——","——",ROUND(H109*10000/'数据-汇总表'!E3,0))</f>
        <v>——</v>
      </c>
      <c r="I110" s="604"/>
    </row>
    <row r="111" spans="1:35" ht="18.75" customHeight="1">
      <c r="A111" s="604"/>
      <c r="B111" s="604"/>
      <c r="C111" s="604"/>
      <c r="D111" s="604"/>
      <c r="E111" s="3579" t="str">
        <f>IF(项目基本情况!E9="抵押净值",IF(OR(项目基本情况!E8="已注销",项目基本情况!E8="房地产抵押价值"),"4.抵押净值","5.抵押净值"),"——")</f>
        <v>——</v>
      </c>
      <c r="F111" s="3580"/>
      <c r="G111" s="2588" t="s">
        <v>961</v>
      </c>
      <c r="H111" s="2589" t="str">
        <f>IF(E111="——","——",N59)</f>
        <v>——</v>
      </c>
      <c r="I111" s="604"/>
    </row>
    <row r="112" spans="1:35" ht="18.75" customHeight="1">
      <c r="A112" s="604"/>
      <c r="B112" s="604"/>
      <c r="C112" s="604"/>
      <c r="D112" s="604"/>
      <c r="E112" s="3581"/>
      <c r="F112" s="3582"/>
      <c r="G112" s="2605" t="s">
        <v>99</v>
      </c>
      <c r="H112" s="2606" t="str">
        <f>IF(E111="——","——",N61)</f>
        <v>——</v>
      </c>
      <c r="I112" s="604"/>
    </row>
    <row r="113" spans="1:27" ht="18.75" customHeight="1">
      <c r="A113" s="604"/>
      <c r="B113" s="604"/>
      <c r="C113" s="604"/>
      <c r="D113" s="604"/>
      <c r="E113" s="3563" t="s">
        <v>967</v>
      </c>
      <c r="F113" s="3563"/>
      <c r="G113" s="3563"/>
      <c r="H113" s="3563"/>
      <c r="I113" s="604"/>
    </row>
    <row r="114" spans="1:27" ht="3.75" customHeight="1">
      <c r="A114" s="2362"/>
      <c r="B114" s="2362"/>
      <c r="C114" s="2362"/>
      <c r="D114" s="2362"/>
      <c r="E114" s="2487"/>
      <c r="F114" s="2487"/>
      <c r="G114" s="2487"/>
      <c r="H114" s="2487"/>
      <c r="I114" s="2362"/>
    </row>
    <row r="115" spans="1:27" ht="18.75" customHeight="1">
      <c r="A115" s="3564" t="s">
        <v>969</v>
      </c>
      <c r="B115" s="3565"/>
      <c r="C115" s="3565"/>
      <c r="D115" s="3565"/>
      <c r="E115" s="3565"/>
      <c r="F115" s="3565"/>
      <c r="G115" s="3565"/>
      <c r="H115" s="3565"/>
      <c r="I115" s="3566"/>
    </row>
    <row r="116" spans="1:27" ht="27" customHeight="1">
      <c r="A116" s="3537" t="s">
        <v>970</v>
      </c>
      <c r="B116" s="3546" t="s">
        <v>971</v>
      </c>
      <c r="C116" s="3546" t="s">
        <v>972</v>
      </c>
      <c r="D116" s="3567" t="s">
        <v>973</v>
      </c>
      <c r="E116" s="3568"/>
      <c r="F116" s="3569" t="s">
        <v>974</v>
      </c>
      <c r="G116" s="3569"/>
      <c r="H116" s="3537" t="s">
        <v>975</v>
      </c>
      <c r="I116" s="3537"/>
    </row>
    <row r="117" spans="1:27" ht="18.75" customHeight="1">
      <c r="A117" s="3537"/>
      <c r="B117" s="3547"/>
      <c r="C117" s="3547"/>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1851.14</v>
      </c>
      <c r="C118" s="2372">
        <f>M19</f>
        <v>0</v>
      </c>
      <c r="D118" s="2372">
        <f ca="1">ROUND(IF(D32="总价",C34,E118*B118/10000),0)</f>
        <v>3520</v>
      </c>
      <c r="E118" s="2372">
        <f ca="1">ROUND(IF(C33="自定义",IF(D32="楼面单价",C34,D118*10000/B118),I118-G118),0)</f>
        <v>19013</v>
      </c>
      <c r="F118" s="2372">
        <f ca="1">ROUND(IF(D32="总价",C35,G118*B118/10000),0)</f>
        <v>930</v>
      </c>
      <c r="G118" s="2372">
        <f ca="1">ROUND(IF(D32="楼面单价",C35,F118*10000/B118),0)</f>
        <v>5024</v>
      </c>
      <c r="H118" s="2372">
        <f ca="1">ROUND(IF(D32="总价",C32,I118*B118/10000),0)</f>
        <v>4450</v>
      </c>
      <c r="I118" s="2372">
        <f ca="1">ROUND(IF(D32="楼面单价",C32,H118*10000/B118),0)</f>
        <v>24037</v>
      </c>
    </row>
    <row r="119" spans="1:27" ht="18.75" customHeight="1">
      <c r="A119" s="3537" t="s">
        <v>977</v>
      </c>
      <c r="B119" s="3537"/>
      <c r="C119" s="3537"/>
      <c r="D119" s="3549" t="str">
        <f ca="1">NUMBERSTRING(INT(D118*10000),2)&amp;"元整"</f>
        <v>叁仟伍佰贰拾万元整</v>
      </c>
      <c r="E119" s="3551"/>
      <c r="F119" s="3549" t="str">
        <f ca="1">NUMBERSTRING(INT(F118*10000),2)&amp;"元整"</f>
        <v>玖佰叁拾万元整</v>
      </c>
      <c r="G119" s="3551"/>
      <c r="H119" s="3549" t="str">
        <f ca="1">NUMBERSTRING(INT(H118*10000),2)&amp;"元整"</f>
        <v>肆仟肆佰伍拾万元整</v>
      </c>
      <c r="I119" s="3551"/>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49" t="s">
        <v>977</v>
      </c>
      <c r="B121" s="3550"/>
      <c r="C121" s="3551"/>
      <c r="D121" s="3549" t="str">
        <f>IF(D120=0,"零元整",NUMBERSTRING(INT(D120*10000),2)&amp;"元整")</f>
        <v>零元整</v>
      </c>
      <c r="E121" s="3550"/>
      <c r="F121" s="3550"/>
      <c r="G121" s="3550"/>
      <c r="H121" s="3550"/>
      <c r="I121" s="3551"/>
      <c r="AA121" s="561"/>
    </row>
    <row r="122" spans="1:27" ht="18.75" customHeight="1">
      <c r="A122" s="3580" t="str">
        <f>IF(项目基本情况!B9="房地产市场价值","",MID(E107,3,LEN(E107)-2))</f>
        <v>房地产抵押价值</v>
      </c>
      <c r="B122" s="3580"/>
      <c r="C122" s="3580"/>
      <c r="D122" s="3586">
        <f ca="1">H107</f>
        <v>4450</v>
      </c>
      <c r="E122" s="3587"/>
      <c r="F122" s="3587"/>
      <c r="G122" s="3587"/>
      <c r="H122" s="3587"/>
      <c r="I122" s="3588"/>
      <c r="AA122" s="561"/>
    </row>
    <row r="123" spans="1:27" ht="18.75" customHeight="1">
      <c r="A123" s="3537" t="s">
        <v>977</v>
      </c>
      <c r="B123" s="3537"/>
      <c r="C123" s="3537"/>
      <c r="D123" s="3549" t="str">
        <f ca="1">NUMBERSTRING(INT(D122*10000),2)&amp;"元整"</f>
        <v>肆仟肆佰伍拾万元整</v>
      </c>
      <c r="E123" s="3550"/>
      <c r="F123" s="3550"/>
      <c r="G123" s="3550"/>
      <c r="H123" s="3550"/>
      <c r="I123" s="3551"/>
      <c r="AA123" s="561"/>
    </row>
    <row r="124" spans="1:27" ht="18.75" customHeight="1">
      <c r="A124" s="3580" t="str">
        <f>IF(项目基本情况!B9="房地产市场价值","",MID(E109,3,LEN(E109)-2))</f>
        <v/>
      </c>
      <c r="B124" s="3580"/>
      <c r="C124" s="3580"/>
      <c r="D124" s="3586" t="str">
        <f>H109</f>
        <v>——</v>
      </c>
      <c r="E124" s="3587"/>
      <c r="F124" s="3587"/>
      <c r="G124" s="3587"/>
      <c r="H124" s="3587"/>
      <c r="I124" s="3588"/>
      <c r="AA124" s="561"/>
    </row>
    <row r="125" spans="1:27" ht="18.75" customHeight="1">
      <c r="A125" s="3537" t="s">
        <v>977</v>
      </c>
      <c r="B125" s="3537"/>
      <c r="C125" s="3537"/>
      <c r="D125" s="3549" t="e">
        <f>NUMBERSTRING(INT(D124*10000),2)&amp;"元整"</f>
        <v>#VALUE!</v>
      </c>
      <c r="E125" s="3550"/>
      <c r="F125" s="3550"/>
      <c r="G125" s="3550"/>
      <c r="H125" s="3550"/>
      <c r="I125" s="3551"/>
      <c r="AA125" s="561"/>
    </row>
    <row r="126" spans="1:27" ht="18.75" customHeight="1">
      <c r="A126" s="3580" t="str">
        <f>IF(项目基本情况!B9="房地产市场价值","",MID(E111,3,LEN(E111)-2))</f>
        <v/>
      </c>
      <c r="B126" s="3580"/>
      <c r="C126" s="3580"/>
      <c r="D126" s="3586" t="str">
        <f>H111</f>
        <v>——</v>
      </c>
      <c r="E126" s="3587"/>
      <c r="F126" s="3587"/>
      <c r="G126" s="3587"/>
      <c r="H126" s="3587"/>
      <c r="I126" s="3588"/>
      <c r="AA126" s="561"/>
    </row>
    <row r="127" spans="1:27" ht="18.75" customHeight="1">
      <c r="A127" s="3537" t="s">
        <v>977</v>
      </c>
      <c r="B127" s="3537"/>
      <c r="C127" s="3537"/>
      <c r="D127" s="3549" t="e">
        <f>NUMBERSTRING(INT(D126*10000),2)&amp;"元整"</f>
        <v>#VALUE!</v>
      </c>
      <c r="E127" s="3550"/>
      <c r="F127" s="3550"/>
      <c r="G127" s="3550"/>
      <c r="H127" s="3550"/>
      <c r="I127" s="3551"/>
      <c r="AA127" s="561"/>
    </row>
    <row r="128" spans="1:27" ht="21.75" customHeight="1">
      <c r="A128" s="3536" t="s">
        <v>113</v>
      </c>
      <c r="B128" s="3536"/>
      <c r="C128" s="3536"/>
      <c r="D128" s="3536"/>
      <c r="E128" s="3536"/>
      <c r="F128" s="3536"/>
      <c r="G128" s="3536"/>
      <c r="H128" s="3536"/>
      <c r="I128" s="3536"/>
      <c r="AA128" s="561"/>
    </row>
    <row r="129" spans="1:35" ht="21.75" customHeight="1">
      <c r="A129" s="2618" t="s">
        <v>978</v>
      </c>
      <c r="B129" s="2619"/>
      <c r="C129" s="2620" t="s">
        <v>979</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980</v>
      </c>
      <c r="G135" s="2632"/>
      <c r="H135" s="2632"/>
      <c r="I135" s="2640" t="s">
        <v>981</v>
      </c>
    </row>
    <row r="136" spans="1:35" ht="21.75" customHeight="1">
      <c r="A136" s="561"/>
      <c r="B136" s="2633" t="s">
        <v>982</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983</v>
      </c>
    </row>
    <row r="139" spans="1:35" ht="21.75" customHeight="1">
      <c r="A139" s="561"/>
      <c r="B139" s="2633" t="s">
        <v>984</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983</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5" sqref="C5"/>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985</v>
      </c>
      <c r="B1" s="2341"/>
      <c r="C1" s="378"/>
      <c r="D1" s="378"/>
      <c r="E1" s="378"/>
      <c r="F1" s="378"/>
      <c r="G1" s="2343">
        <f>MATCH(B1,'数据-取费表'!A6:A16,0)+5</f>
        <v>7</v>
      </c>
    </row>
    <row r="2" spans="1:9" s="368" customFormat="1" ht="18" customHeight="1">
      <c r="A2" s="380" t="s">
        <v>986</v>
      </c>
      <c r="B2" s="381">
        <f ca="1">IF(D2="——",C52,C52-E2)</f>
        <v>3778</v>
      </c>
      <c r="C2" s="379" t="s">
        <v>987</v>
      </c>
      <c r="D2" s="2345" t="s">
        <v>124</v>
      </c>
      <c r="E2" s="2346" t="e">
        <f ca="1">SUMIF(INDIRECT("'"&amp;G2&amp;"'"&amp;"!A:A"),"承租人权益价值",INDIRECT("'"&amp;G2&amp;"'"&amp;"!c:c"))</f>
        <v>#REF!</v>
      </c>
      <c r="F2" s="2347" t="s">
        <v>987</v>
      </c>
      <c r="G2" s="2348"/>
    </row>
    <row r="3" spans="1:9" s="368" customFormat="1" ht="18" customHeight="1">
      <c r="A3" s="383" t="s">
        <v>988</v>
      </c>
      <c r="B3" s="384">
        <f ca="1">ROUND(B2*10000/(IF(B1="",'数据-汇总表'!E3,INDIRECT("'数据-取费表'!k"&amp;$G$1))),0)</f>
        <v>20409</v>
      </c>
      <c r="C3" s="379" t="s">
        <v>989</v>
      </c>
      <c r="D3" s="379"/>
      <c r="E3" s="379"/>
      <c r="F3" s="379"/>
      <c r="G3" s="379"/>
    </row>
    <row r="4" spans="1:9" s="369" customFormat="1" ht="15.75">
      <c r="A4" s="385" t="s">
        <v>990</v>
      </c>
      <c r="B4" s="386"/>
      <c r="C4" s="386"/>
      <c r="D4" s="386"/>
      <c r="E4" s="386"/>
      <c r="F4" s="386"/>
      <c r="G4" s="387"/>
    </row>
    <row r="5" spans="1:9" s="370" customFormat="1" ht="13.5" customHeight="1">
      <c r="A5" s="388" t="s">
        <v>991</v>
      </c>
      <c r="B5" s="389" t="s">
        <v>992</v>
      </c>
      <c r="C5" s="390">
        <f>C6+C7+C8</f>
        <v>2191</v>
      </c>
      <c r="D5" s="390" t="s">
        <v>993</v>
      </c>
      <c r="E5" s="391" t="s">
        <v>994</v>
      </c>
      <c r="F5" s="391" t="s">
        <v>891</v>
      </c>
      <c r="G5" s="392"/>
    </row>
    <row r="6" spans="1:9" s="370" customFormat="1" ht="13.5" customHeight="1">
      <c r="A6" s="393" t="s">
        <v>995</v>
      </c>
      <c r="B6" s="394" t="s">
        <v>996</v>
      </c>
      <c r="C6" s="395">
        <f>基准地价修正!V2+基准地价修正!V3+基准地价修正!V4</f>
        <v>2090</v>
      </c>
      <c r="D6" s="396"/>
      <c r="E6" s="397"/>
      <c r="F6" s="397"/>
      <c r="G6" s="398"/>
    </row>
    <row r="7" spans="1:9" s="370" customFormat="1" ht="13.5" customHeight="1">
      <c r="A7" s="393" t="s">
        <v>997</v>
      </c>
      <c r="B7" s="394" t="s">
        <v>998</v>
      </c>
      <c r="C7" s="399">
        <f>ROUND(C6*F7,0)</f>
        <v>64</v>
      </c>
      <c r="D7" s="399"/>
      <c r="E7" s="397"/>
      <c r="F7" s="400">
        <f>IF(项目基本情况!B8="出让",0,'数据-取费表'!B48+'数据-取费表'!B49)</f>
        <v>3.0499999999999999E-2</v>
      </c>
      <c r="G7" s="398"/>
    </row>
    <row r="8" spans="1:9" s="371" customFormat="1">
      <c r="A8" s="393" t="s">
        <v>999</v>
      </c>
      <c r="B8" s="394" t="s">
        <v>1000</v>
      </c>
      <c r="C8" s="399">
        <f>IF(G8="已包含在土地购买价格中","0",IF(B1="",'数据-取费表'!B29,IF(G9="全部缴纳",C9+C10,H9)))</f>
        <v>37</v>
      </c>
      <c r="D8" s="401"/>
      <c r="E8" s="399"/>
      <c r="F8" s="400"/>
      <c r="G8" s="2349" t="s">
        <v>1001</v>
      </c>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3" t="s">
        <v>1004</v>
      </c>
      <c r="H9" s="2354"/>
      <c r="I9" s="2355" t="s">
        <v>1005</v>
      </c>
    </row>
    <row r="10" spans="1:9" s="370" customFormat="1" ht="13.5" customHeight="1">
      <c r="A10" s="403" t="s">
        <v>1006</v>
      </c>
      <c r="B10" s="404" t="s">
        <v>1007</v>
      </c>
      <c r="C10" s="405">
        <f ca="1">ROUND(D10*E10/10000,0)</f>
        <v>37</v>
      </c>
      <c r="D10" s="406">
        <f ca="1">IF(B1="",'数据-汇总表'!E6,IF(INDIRECT("'数据-取费表'!c"&amp;$G$1)="住宅",INDIRECT("'数据-取费表'!s"&amp;$G$1),INDIRECT("'数据-取费表'!k"&amp;$G$1)+INDIRECT("'数据-取费表'!s"&amp;$G$1)))</f>
        <v>1851.14</v>
      </c>
      <c r="E10" s="405">
        <f>'数据-取费表'!B28</f>
        <v>200</v>
      </c>
      <c r="F10" s="400"/>
      <c r="G10" s="407"/>
    </row>
    <row r="11" spans="1:9" s="370" customFormat="1" ht="13.5" hidden="1" customHeight="1">
      <c r="A11" s="408" t="s">
        <v>1008</v>
      </c>
      <c r="B11" s="394" t="s">
        <v>1009</v>
      </c>
      <c r="C11" s="390"/>
      <c r="D11" s="409"/>
      <c r="E11" s="397"/>
      <c r="F11" s="397"/>
      <c r="G11" s="398"/>
    </row>
    <row r="12" spans="1:9" s="370" customFormat="1" ht="13.5" hidden="1" customHeight="1">
      <c r="A12" s="408" t="s">
        <v>1010</v>
      </c>
      <c r="B12" s="394" t="s">
        <v>927</v>
      </c>
      <c r="C12" s="390">
        <v>0</v>
      </c>
      <c r="D12" s="409"/>
      <c r="E12" s="410"/>
      <c r="F12" s="400">
        <v>3.0499999999999999E-2</v>
      </c>
      <c r="G12" s="398"/>
    </row>
    <row r="13" spans="1:9" s="370" customFormat="1" ht="13.5" hidden="1" customHeight="1">
      <c r="A13" s="408" t="s">
        <v>1011</v>
      </c>
      <c r="B13" s="394" t="s">
        <v>1012</v>
      </c>
      <c r="C13" s="390"/>
      <c r="D13" s="409"/>
      <c r="E13" s="397"/>
      <c r="F13" s="397"/>
      <c r="G13" s="398"/>
    </row>
    <row r="14" spans="1:9" s="370" customFormat="1" ht="13.5" hidden="1" customHeight="1">
      <c r="A14" s="408" t="s">
        <v>1013</v>
      </c>
      <c r="B14" s="394" t="s">
        <v>1000</v>
      </c>
      <c r="C14" s="390"/>
      <c r="D14" s="409"/>
      <c r="E14" s="397"/>
      <c r="F14" s="397"/>
      <c r="G14" s="398" t="s">
        <v>1014</v>
      </c>
    </row>
    <row r="15" spans="1:9" s="370" customFormat="1" ht="13.5" hidden="1" customHeight="1">
      <c r="A15" s="408" t="s">
        <v>1015</v>
      </c>
      <c r="B15" s="394" t="s">
        <v>1016</v>
      </c>
      <c r="C15" s="399"/>
      <c r="D15" s="409"/>
      <c r="E15" s="397"/>
      <c r="F15" s="397"/>
      <c r="G15" s="398" t="s">
        <v>1017</v>
      </c>
    </row>
    <row r="16" spans="1:9"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IF(G19="已包含在土地取得成本中","0",ROUND(D19*E19/10000,0))</f>
        <v>0</v>
      </c>
      <c r="D19" s="414">
        <f ca="1">D9+D10</f>
        <v>1851.14</v>
      </c>
      <c r="E19" s="390">
        <f>'数据-取费表'!B31</f>
        <v>200</v>
      </c>
      <c r="F19" s="415"/>
      <c r="G19" s="2349" t="s">
        <v>1026</v>
      </c>
    </row>
    <row r="20" spans="1:7" s="370" customFormat="1" ht="13.5" customHeight="1">
      <c r="A20" s="388" t="s">
        <v>1027</v>
      </c>
      <c r="B20" s="389" t="s">
        <v>1028</v>
      </c>
      <c r="C20" s="416">
        <f>ROUND((C5+C19)*F20,0)</f>
        <v>44</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422">
        <f ca="1">ROUND(SUM(C23:C25),0)</f>
        <v>74</v>
      </c>
      <c r="D22" s="419">
        <f ca="1">C26</f>
        <v>2.9999999999999997E-4</v>
      </c>
      <c r="E22" s="420" t="s">
        <v>1032</v>
      </c>
      <c r="F22" s="423">
        <f ca="1">'数据-取费表'!B40</f>
        <v>3.3500000000000002E-2</v>
      </c>
      <c r="G22" s="421" t="str">
        <f>IF('数据-取费表'!B22&lt;=1,"单利计息","复利计息")</f>
        <v>单利计息</v>
      </c>
    </row>
    <row r="23" spans="1:7" s="370" customFormat="1" ht="13.5" customHeight="1">
      <c r="A23" s="424" t="s">
        <v>995</v>
      </c>
      <c r="B23" s="394" t="s">
        <v>1036</v>
      </c>
      <c r="C23" s="425">
        <f ca="1">ROUND(IF('数据-取费表'!B22&lt;=1,C5*F22*'数据-取费表'!B23,C5*(POWER((1+F22),'数据-取费表'!B23)-1)),0)</f>
        <v>73</v>
      </c>
      <c r="D23" s="426"/>
      <c r="E23" s="426"/>
      <c r="F23" s="427"/>
      <c r="G23" s="428" t="s">
        <v>1037</v>
      </c>
    </row>
    <row r="24" spans="1:7" s="370" customFormat="1" ht="13.5" customHeight="1">
      <c r="A24" s="424" t="s">
        <v>997</v>
      </c>
      <c r="B24" s="394" t="s">
        <v>1038</v>
      </c>
      <c r="C24" s="425">
        <f ca="1">ROUND(IF('数据-取费表'!B22&lt;=1,C19*F22*('数据-取费表'!B19/2+'数据-取费表'!B21),C19*(POWER((1+F22),('数据-取费表'!B19/2+'数据-取费表'!B21))-1)),0)</f>
        <v>0</v>
      </c>
      <c r="D24" s="426"/>
      <c r="E24" s="426"/>
      <c r="F24" s="427"/>
      <c r="G24" s="428" t="s">
        <v>1039</v>
      </c>
    </row>
    <row r="25" spans="1:7" s="370" customFormat="1" ht="24">
      <c r="A25" s="424" t="s">
        <v>999</v>
      </c>
      <c r="B25" s="394" t="s">
        <v>1040</v>
      </c>
      <c r="C25" s="425">
        <f ca="1">ROUND(IF('数据-取费表'!B22&lt;=1,C20*F22*'数据-取费表'!B23/2,C20*(POWER((1+F22),'数据-取费表'!B23/2)-1)),0)</f>
        <v>1</v>
      </c>
      <c r="D25" s="426"/>
      <c r="E25" s="429"/>
      <c r="F25" s="427"/>
      <c r="G25" s="430" t="s">
        <v>1041</v>
      </c>
    </row>
    <row r="26" spans="1:7" s="370" customFormat="1">
      <c r="A26" s="424" t="s">
        <v>1042</v>
      </c>
      <c r="B26" s="394" t="s">
        <v>1043</v>
      </c>
      <c r="C26" s="426">
        <f ca="1">ROUND(IF('数据-取费表'!B22&lt;=1,F21*F22*'数据-取费表'!B23/2,F21*(POWER((1+F22),'数据-取费表'!B23/2)-1)),4)</f>
        <v>2.9999999999999997E-4</v>
      </c>
      <c r="D26" s="426"/>
      <c r="E26" s="429"/>
      <c r="F26" s="427"/>
      <c r="G26" s="431"/>
    </row>
    <row r="27" spans="1:7" s="370" customFormat="1" ht="24.75">
      <c r="A27" s="388" t="s">
        <v>1044</v>
      </c>
      <c r="B27" s="432" t="s">
        <v>1045</v>
      </c>
      <c r="C27" s="433">
        <f ca="1">C28</f>
        <v>447</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ROUND((C5+C19+C20)*F27*'数据-取费表'!B21/'数据-取费表'!B20,0)</f>
        <v>447</v>
      </c>
      <c r="D28" s="419"/>
      <c r="E28" s="420"/>
      <c r="F28" s="434"/>
      <c r="G28" s="435"/>
    </row>
    <row r="29" spans="1:7" s="370" customFormat="1" ht="13.5" customHeight="1">
      <c r="A29" s="424" t="s">
        <v>997</v>
      </c>
      <c r="B29" s="436" t="s">
        <v>1048</v>
      </c>
      <c r="C29" s="426">
        <f ca="1">ROUND(C21*F27*'数据-取费表'!B21/'数据-取费表'!B20,4)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2988</v>
      </c>
      <c r="D31" s="439"/>
      <c r="E31" s="390"/>
      <c r="F31" s="440"/>
      <c r="G31" s="421" t="s">
        <v>1053</v>
      </c>
    </row>
    <row r="32" spans="1:7" s="369" customFormat="1" ht="15.75">
      <c r="A32" s="441" t="s">
        <v>1054</v>
      </c>
      <c r="B32" s="442"/>
      <c r="C32" s="442"/>
      <c r="D32" s="442"/>
      <c r="E32" s="442"/>
      <c r="F32" s="442"/>
      <c r="G32" s="443"/>
    </row>
    <row r="33" spans="1:7" s="370" customFormat="1" ht="13.5" customHeight="1">
      <c r="A33" s="388" t="s">
        <v>991</v>
      </c>
      <c r="B33" s="389" t="s">
        <v>1055</v>
      </c>
      <c r="C33" s="444">
        <f ca="1">SUM(C34:C38)</f>
        <v>717</v>
      </c>
      <c r="D33" s="416"/>
      <c r="E33" s="391"/>
      <c r="F33" s="429"/>
      <c r="G33" s="421"/>
    </row>
    <row r="34" spans="1:7" s="372" customFormat="1" ht="13.5" customHeight="1">
      <c r="A34" s="424" t="s">
        <v>995</v>
      </c>
      <c r="B34" s="394" t="s">
        <v>1056</v>
      </c>
      <c r="C34" s="399">
        <f ca="1">IF(B1="",IF(F34=100%,'数据-取费表'!M16,'数据-取费表'!O16),IF(F34=100%,INDIRECT("'数据-取费表'!m"&amp;$G$1)+INDIRECT("'数据-取费表'!t"&amp;$G$1),INDIRECT("'数据-取费表'!o"&amp;$G$1)+INDIRECT("'数据-取费表'!aq"&amp;$G$1)))</f>
        <v>648</v>
      </c>
      <c r="D34" s="396"/>
      <c r="E34" s="399"/>
      <c r="F34" s="445">
        <f ca="1">IF('数据-取费表'!B24=0,1,IF(B1="",'数据-取费表'!N16,INDIRECT("'数据-取费表'!n"&amp;$G$1)))</f>
        <v>1</v>
      </c>
      <c r="G34" s="398" t="s">
        <v>1057</v>
      </c>
    </row>
    <row r="35" spans="1:7" ht="13.5" customHeight="1">
      <c r="A35" s="424" t="s">
        <v>997</v>
      </c>
      <c r="B35" s="394" t="s">
        <v>1058</v>
      </c>
      <c r="C35" s="399">
        <f ca="1">ROUND(C34*F35,0)</f>
        <v>19</v>
      </c>
      <c r="D35" s="399"/>
      <c r="E35" s="399"/>
      <c r="F35" s="446">
        <f>'数据-取费表'!B33</f>
        <v>0.03</v>
      </c>
      <c r="G35" s="398" t="s">
        <v>1059</v>
      </c>
    </row>
    <row r="36" spans="1:7" ht="24">
      <c r="A36" s="424" t="s">
        <v>999</v>
      </c>
      <c r="B36" s="394" t="s">
        <v>1060</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1061</v>
      </c>
    </row>
    <row r="37" spans="1:7" s="372" customFormat="1" ht="13.5" customHeight="1">
      <c r="A37" s="424" t="s">
        <v>1042</v>
      </c>
      <c r="B37" s="394" t="s">
        <v>1062</v>
      </c>
      <c r="C37" s="437">
        <f ca="1">ROUND(E37*D37*F34/10000,0)</f>
        <v>37</v>
      </c>
      <c r="D37" s="396">
        <f ca="1">D19</f>
        <v>1851.14</v>
      </c>
      <c r="E37" s="437">
        <f>'数据-取费表'!B35</f>
        <v>200</v>
      </c>
      <c r="F37" s="446"/>
      <c r="G37" s="448" t="s">
        <v>1063</v>
      </c>
    </row>
    <row r="38" spans="1:7" ht="13.5" customHeight="1">
      <c r="A38" s="424" t="s">
        <v>1064</v>
      </c>
      <c r="B38" s="394" t="s">
        <v>927</v>
      </c>
      <c r="C38" s="399">
        <f ca="1">ROUND(C34*F38,0)</f>
        <v>13</v>
      </c>
      <c r="D38" s="399"/>
      <c r="E38" s="399"/>
      <c r="F38" s="446">
        <f>'数据-取费表'!B36</f>
        <v>0.02</v>
      </c>
      <c r="G38" s="398" t="s">
        <v>1059</v>
      </c>
    </row>
    <row r="39" spans="1:7" s="370" customFormat="1" ht="13.5" customHeight="1">
      <c r="A39" s="388" t="s">
        <v>1024</v>
      </c>
      <c r="B39" s="389" t="s">
        <v>1028</v>
      </c>
      <c r="C39" s="416">
        <f ca="1">ROUND(C33*F20,0)</f>
        <v>14</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12</v>
      </c>
      <c r="D41" s="419">
        <f ca="1">C44</f>
        <v>2.9999999999999997E-4</v>
      </c>
      <c r="E41" s="420" t="s">
        <v>1066</v>
      </c>
      <c r="F41" s="423">
        <f ca="1">F22</f>
        <v>3.3500000000000002E-2</v>
      </c>
      <c r="G41" s="421" t="str">
        <f>IF('数据-取费表'!B22&lt;=1,"单利计息","复利计息")</f>
        <v>单利计息</v>
      </c>
    </row>
    <row r="42" spans="1:7" ht="13.5" customHeight="1">
      <c r="A42" s="424" t="s">
        <v>995</v>
      </c>
      <c r="B42" s="394" t="s">
        <v>1036</v>
      </c>
      <c r="C42" s="426">
        <f ca="1">ROUND(IF('数据-取费表'!B22&lt;=1,C33*F22*'数据-取费表'!B21/2,C33*(POWER((1+F22),'数据-取费表'!B21/2)-1)),0)</f>
        <v>12</v>
      </c>
      <c r="D42" s="426"/>
      <c r="E42" s="426"/>
      <c r="F42" s="427"/>
      <c r="G42" s="3630" t="s">
        <v>1068</v>
      </c>
    </row>
    <row r="43" spans="1:7" ht="13.5" customHeight="1">
      <c r="A43" s="424" t="s">
        <v>997</v>
      </c>
      <c r="B43" s="394" t="s">
        <v>1038</v>
      </c>
      <c r="C43" s="426">
        <f ca="1">ROUND(IF('数据-取费表'!B22&lt;=1,C39*F22*'数据-取费表'!B21/2,C39*(POWER((1+F22),'数据-取费表'!B21/2)-1)),0)</f>
        <v>0</v>
      </c>
      <c r="D43" s="426"/>
      <c r="E43" s="426"/>
      <c r="F43" s="427"/>
      <c r="G43" s="3631"/>
    </row>
    <row r="44" spans="1:7" ht="13.5" customHeight="1">
      <c r="A44" s="424" t="s">
        <v>999</v>
      </c>
      <c r="B44" s="394" t="s">
        <v>1040</v>
      </c>
      <c r="C44" s="426">
        <f ca="1">ROUND(IF('数据-取费表'!B22&lt;=1,C40*F22*'数据-取费表'!B21/2,C40*(POWER((1+F22),'数据-取费表'!B21/2)-1)),4)</f>
        <v>2.9999999999999997E-4</v>
      </c>
      <c r="D44" s="426"/>
      <c r="E44" s="426"/>
      <c r="F44" s="427"/>
      <c r="G44" s="3632"/>
    </row>
    <row r="45" spans="1:7" s="370" customFormat="1" ht="13.5" customHeight="1">
      <c r="A45" s="388" t="s">
        <v>1034</v>
      </c>
      <c r="B45" s="432" t="s">
        <v>1045</v>
      </c>
      <c r="C45" s="433">
        <f ca="1">C46</f>
        <v>146</v>
      </c>
      <c r="D45" s="419">
        <f ca="1">C47</f>
        <v>4.0000000000000001E-3</v>
      </c>
      <c r="E45" s="420" t="s">
        <v>1066</v>
      </c>
      <c r="F45" s="434">
        <f ca="1">F27</f>
        <v>0.2</v>
      </c>
      <c r="G45" s="435" t="s">
        <v>1069</v>
      </c>
    </row>
    <row r="46" spans="1:7" s="370" customFormat="1" ht="13.5" customHeight="1">
      <c r="A46" s="424" t="s">
        <v>995</v>
      </c>
      <c r="B46" s="436" t="s">
        <v>1070</v>
      </c>
      <c r="C46" s="437">
        <f ca="1">ROUND((C33+C39)*F27,0)</f>
        <v>146</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2352">
        <f>ROUND(F30/(1+'数据-取费表'!C42),4)</f>
        <v>5.33E-2</v>
      </c>
      <c r="D48" s="420" t="s">
        <v>1066</v>
      </c>
      <c r="E48" s="416"/>
      <c r="F48" s="423">
        <f>F30</f>
        <v>5.6000000000000001E-2</v>
      </c>
      <c r="G48" s="421" t="s">
        <v>1072</v>
      </c>
    </row>
    <row r="49" spans="1:7" ht="16.5" customHeight="1">
      <c r="A49" s="388" t="s">
        <v>1049</v>
      </c>
      <c r="B49" s="389" t="s">
        <v>1073</v>
      </c>
      <c r="C49" s="416">
        <f ca="1">ROUND((C33+C39+C41+C45)/(1-C40-D41-D45-C48),0)</f>
        <v>964</v>
      </c>
      <c r="D49" s="416"/>
      <c r="E49" s="416"/>
      <c r="F49" s="451"/>
      <c r="G49" s="421" t="s">
        <v>1074</v>
      </c>
    </row>
    <row r="50" spans="1:7" s="372" customFormat="1" ht="24">
      <c r="A50" s="388" t="s">
        <v>1075</v>
      </c>
      <c r="B50" s="389" t="s">
        <v>1076</v>
      </c>
      <c r="C50" s="416"/>
      <c r="D50" s="416"/>
      <c r="E50" s="416"/>
      <c r="F50" s="451">
        <f>IF('数据-取费表'!B24=0,'数据-取费表'!N16,1)</f>
        <v>0.82</v>
      </c>
      <c r="G50" s="435" t="s">
        <v>1077</v>
      </c>
    </row>
    <row r="51" spans="1:7" ht="16.5" customHeight="1">
      <c r="A51" s="388" t="s">
        <v>1078</v>
      </c>
      <c r="B51" s="389" t="s">
        <v>1079</v>
      </c>
      <c r="C51" s="416">
        <f ca="1">ROUND(C49*F50,0)</f>
        <v>790</v>
      </c>
      <c r="D51" s="416"/>
      <c r="E51" s="416"/>
      <c r="F51" s="451"/>
      <c r="G51" s="421" t="s">
        <v>1080</v>
      </c>
    </row>
    <row r="52" spans="1:7" s="369" customFormat="1" ht="15.75">
      <c r="A52" s="452" t="s">
        <v>1081</v>
      </c>
      <c r="B52" s="453"/>
      <c r="C52" s="454">
        <f ca="1">C31+C51</f>
        <v>3778</v>
      </c>
      <c r="D52" s="453"/>
      <c r="E52" s="453"/>
      <c r="F52" s="453"/>
      <c r="G52" s="455"/>
    </row>
    <row r="55" spans="1:7" ht="15">
      <c r="B55" s="456" t="s">
        <v>1082</v>
      </c>
      <c r="C55" s="457"/>
    </row>
    <row r="56" spans="1:7">
      <c r="B56" s="458" t="s">
        <v>1083</v>
      </c>
      <c r="C56" s="460">
        <f ca="1">1-C57</f>
        <v>0.79100000000000004</v>
      </c>
    </row>
    <row r="57" spans="1:7">
      <c r="B57" s="458" t="s">
        <v>1084</v>
      </c>
      <c r="C57" s="459">
        <f ca="1">ROUND(C51/C52,3)</f>
        <v>0.20899999999999999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7" t="str">
        <f>项目基本情况!B1</f>
        <v>北京市房地产抵押价值预评估</v>
      </c>
      <c r="C37" s="3447"/>
      <c r="D37" s="3447"/>
      <c r="E37" s="3447"/>
      <c r="F37" s="3447"/>
      <c r="G37" s="3447"/>
      <c r="H37" s="3447"/>
      <c r="I37" s="3447"/>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8" zoomScale="80" zoomScaleNormal="70" workbookViewId="0">
      <selection activeCell="D94" sqref="D94"/>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1678</v>
      </c>
      <c r="B1" s="1270" t="s">
        <v>1764</v>
      </c>
      <c r="C1" s="1131" t="s">
        <v>1680</v>
      </c>
      <c r="D1" s="1074" t="s">
        <v>1765</v>
      </c>
      <c r="E1" s="1271" t="s">
        <v>1766</v>
      </c>
      <c r="F1" s="1076" t="s">
        <v>1767</v>
      </c>
      <c r="G1" s="1077" t="s">
        <v>1681</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986</v>
      </c>
      <c r="B2" s="1080">
        <f>IF(E1="项目模式",IF(C2="——",ROUND(C49*D3/10000,0),ROUND(C49*D3/10000,0)-D2),IF(E1="单套模式",IF(C2="——",ROUND(C49*D3/10000,4),ROUND(C49*D3/10000,4)-D2)))</f>
        <v>5876.6289999999999</v>
      </c>
      <c r="C2" s="1081" t="s">
        <v>124</v>
      </c>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988</v>
      </c>
      <c r="B3" s="699">
        <f>IF(C2="——",C49,ROUND(B2*10000/D3,0))</f>
        <v>31746</v>
      </c>
      <c r="C3" s="1084" t="s">
        <v>1333</v>
      </c>
      <c r="D3" s="1085">
        <f>IF(D1="",'数据-汇总表'!E3,SUMIF('数据-汇总表'!$C19:$C33,D1,'数据-汇总表'!$E19:$E33))</f>
        <v>1851.14</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1682</v>
      </c>
      <c r="B4" s="702"/>
      <c r="C4" s="3671" t="s">
        <v>1683</v>
      </c>
      <c r="D4" s="3672"/>
      <c r="E4" s="3673" t="s">
        <v>1684</v>
      </c>
      <c r="F4" s="3674"/>
      <c r="G4" s="3671" t="s">
        <v>1685</v>
      </c>
      <c r="H4" s="3672"/>
      <c r="I4" s="3671" t="s">
        <v>1686</v>
      </c>
      <c r="J4" s="3672"/>
      <c r="K4" s="851"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6" t="s">
        <v>1685</v>
      </c>
      <c r="AC4" s="3633" t="s">
        <v>1686</v>
      </c>
    </row>
    <row r="5" spans="1:29" ht="15">
      <c r="A5" s="703"/>
      <c r="B5" s="704"/>
      <c r="C5" s="3675" t="s">
        <v>1689</v>
      </c>
      <c r="D5" s="3676"/>
      <c r="E5" s="3677" t="s">
        <v>1690</v>
      </c>
      <c r="F5" s="3678"/>
      <c r="G5" s="3675" t="s">
        <v>1691</v>
      </c>
      <c r="H5" s="3676"/>
      <c r="I5" s="3675" t="s">
        <v>1692</v>
      </c>
      <c r="J5" s="3676"/>
      <c r="K5" s="851"/>
      <c r="L5" s="852"/>
      <c r="M5" s="853"/>
      <c r="N5" s="853"/>
      <c r="O5" s="853"/>
      <c r="P5" s="3639"/>
      <c r="Q5" s="3640"/>
      <c r="R5" s="3645"/>
      <c r="S5" s="3646"/>
      <c r="T5" s="3645"/>
      <c r="U5" s="3646"/>
      <c r="V5" s="3636"/>
      <c r="W5" s="3636"/>
      <c r="X5" s="895"/>
      <c r="Y5" s="3645"/>
      <c r="Z5" s="3646"/>
      <c r="AA5" s="3634"/>
      <c r="AB5" s="3636"/>
      <c r="AC5" s="3634"/>
    </row>
    <row r="6" spans="1:29" ht="15">
      <c r="A6" s="705"/>
      <c r="B6" s="706"/>
      <c r="C6" s="3666" t="s">
        <v>1693</v>
      </c>
      <c r="D6" s="3667"/>
      <c r="E6" s="3668" t="s">
        <v>1693</v>
      </c>
      <c r="F6" s="3669"/>
      <c r="G6" s="3666" t="s">
        <v>1693</v>
      </c>
      <c r="H6" s="3667"/>
      <c r="I6" s="3666" t="s">
        <v>1693</v>
      </c>
      <c r="J6" s="3667"/>
      <c r="K6" s="851" t="s">
        <v>1694</v>
      </c>
      <c r="L6" s="852"/>
      <c r="M6" s="853"/>
      <c r="N6" s="853"/>
      <c r="O6" s="853"/>
      <c r="P6" s="3641"/>
      <c r="Q6" s="3642"/>
      <c r="R6" s="3645"/>
      <c r="S6" s="3646"/>
      <c r="T6" s="3647"/>
      <c r="U6" s="3648"/>
      <c r="V6" s="3636"/>
      <c r="W6" s="3636"/>
      <c r="X6" s="895"/>
      <c r="Y6" s="3647"/>
      <c r="Z6" s="3648"/>
      <c r="AA6" s="3635"/>
      <c r="AB6" s="3636"/>
      <c r="AC6" s="3635"/>
    </row>
    <row r="7" spans="1:29" s="682" customFormat="1" ht="15">
      <c r="A7" s="707" t="s">
        <v>1695</v>
      </c>
      <c r="B7" s="708"/>
      <c r="C7" s="709">
        <f>'数据-取费表'!B2</f>
        <v>45540</v>
      </c>
      <c r="D7" s="710">
        <v>100</v>
      </c>
      <c r="E7" s="711">
        <f>C7</f>
        <v>45540</v>
      </c>
      <c r="F7" s="712">
        <f>SUMIF(58:58,YEAR(E7)&amp;"-"&amp;MONTH(E7),59:59)</f>
        <v>100</v>
      </c>
      <c r="G7" s="711">
        <f>E7</f>
        <v>45540</v>
      </c>
      <c r="H7" s="710">
        <f>SUMIF(58:58,YEAR(G7)&amp;"-"&amp;MONTH(G7),59:59)</f>
        <v>100</v>
      </c>
      <c r="I7" s="711">
        <f>G7</f>
        <v>45540</v>
      </c>
      <c r="J7" s="710">
        <f>SUMIF(58:58,YEAR(I7)&amp;"-"&amp;MONTH(I7),59:59)</f>
        <v>100</v>
      </c>
      <c r="K7" s="854"/>
      <c r="L7" s="855"/>
      <c r="M7" s="856"/>
      <c r="N7" s="856"/>
      <c r="O7" s="856"/>
      <c r="P7" s="3654" t="s">
        <v>1696</v>
      </c>
      <c r="Q7" s="3670"/>
      <c r="R7" s="896" t="s">
        <v>1697</v>
      </c>
      <c r="S7" s="897">
        <f t="shared" ref="S7:S15" si="0">F7</f>
        <v>100</v>
      </c>
      <c r="T7" s="896" t="s">
        <v>1697</v>
      </c>
      <c r="U7" s="897">
        <f t="shared" ref="U7:U15" si="1">H7</f>
        <v>100</v>
      </c>
      <c r="V7" s="896" t="s">
        <v>1697</v>
      </c>
      <c r="W7" s="897">
        <f t="shared" ref="W7:W15" si="2">J7</f>
        <v>100</v>
      </c>
      <c r="X7" s="898"/>
      <c r="Y7" s="3654" t="s">
        <v>1696</v>
      </c>
      <c r="Z7" s="3655"/>
      <c r="AA7" s="910">
        <f>D7/F7</f>
        <v>1</v>
      </c>
      <c r="AB7" s="910">
        <f>D7/H7</f>
        <v>1</v>
      </c>
      <c r="AC7" s="910">
        <f>D7/J7</f>
        <v>1</v>
      </c>
    </row>
    <row r="8" spans="1:29" s="682" customFormat="1" ht="15">
      <c r="A8" s="707" t="s">
        <v>1698</v>
      </c>
      <c r="B8" s="708"/>
      <c r="C8" s="714" t="s">
        <v>2851</v>
      </c>
      <c r="D8" s="710">
        <v>100</v>
      </c>
      <c r="E8" s="714" t="s">
        <v>2852</v>
      </c>
      <c r="F8" s="712">
        <f>SUMIF(61:61,E8,62:62)-SUMIF(61:61,C8,62:62)+100</f>
        <v>105</v>
      </c>
      <c r="G8" s="714" t="s">
        <v>2852</v>
      </c>
      <c r="H8" s="710">
        <f>SUMIF(61:61,G8,62:62)-SUMIF(61:61,C8,62:62)+100</f>
        <v>105</v>
      </c>
      <c r="I8" s="714" t="s">
        <v>2852</v>
      </c>
      <c r="J8" s="710">
        <f>SUMIF(61:61,I8,62:62)-SUMIF(61:61,C8,62:62)+100</f>
        <v>105</v>
      </c>
      <c r="K8" s="854"/>
      <c r="L8" s="855"/>
      <c r="M8" s="856"/>
      <c r="N8" s="856"/>
      <c r="O8" s="856"/>
      <c r="P8" s="3654" t="s">
        <v>1699</v>
      </c>
      <c r="Q8" s="3655"/>
      <c r="R8" s="896" t="s">
        <v>1697</v>
      </c>
      <c r="S8" s="897">
        <f t="shared" si="0"/>
        <v>105</v>
      </c>
      <c r="T8" s="896" t="s">
        <v>1697</v>
      </c>
      <c r="U8" s="897">
        <f t="shared" si="1"/>
        <v>105</v>
      </c>
      <c r="V8" s="896" t="s">
        <v>1697</v>
      </c>
      <c r="W8" s="897">
        <f t="shared" si="2"/>
        <v>105</v>
      </c>
      <c r="X8" s="898"/>
      <c r="Y8" s="3654" t="s">
        <v>1699</v>
      </c>
      <c r="Z8" s="3655"/>
      <c r="AA8" s="910">
        <f t="shared" ref="AA8:AA46" si="3">D8/F8</f>
        <v>0.95238095238095233</v>
      </c>
      <c r="AB8" s="910">
        <f t="shared" ref="AB8:AB46" si="4">D8/H8</f>
        <v>0.95238095238095233</v>
      </c>
      <c r="AC8" s="910">
        <f t="shared" ref="AC8:AC46" si="5">D8/J8</f>
        <v>0.95238095238095233</v>
      </c>
    </row>
    <row r="9" spans="1:29" s="682" customFormat="1">
      <c r="A9" s="715" t="s">
        <v>1700</v>
      </c>
      <c r="B9" s="716" t="s">
        <v>1701</v>
      </c>
      <c r="C9" s="3439" t="s">
        <v>2850</v>
      </c>
      <c r="D9" s="718">
        <v>100</v>
      </c>
      <c r="E9" s="1155" t="s">
        <v>1765</v>
      </c>
      <c r="F9" s="1088">
        <f>SUMIF(63:63,E9,64:64)-SUMIF(63:63,C9,64:64)+100</f>
        <v>100</v>
      </c>
      <c r="G9" s="1155" t="s">
        <v>1765</v>
      </c>
      <c r="H9" s="718">
        <f>SUMIF(63:63,G9,64:64)-SUMIF(63:63,C9,64:64)+100</f>
        <v>100</v>
      </c>
      <c r="I9" s="1155" t="s">
        <v>1765</v>
      </c>
      <c r="J9" s="718">
        <f>SUMIF(63:63,I9,64:64)-SUMIF(63:63,C9,64:64)+100</f>
        <v>100</v>
      </c>
      <c r="K9" s="854"/>
      <c r="L9" s="855"/>
      <c r="M9" s="856"/>
      <c r="N9" s="856"/>
      <c r="O9" s="856"/>
      <c r="P9" s="3656"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910">
        <f t="shared" si="5"/>
        <v>1</v>
      </c>
    </row>
    <row r="10" spans="1:29" s="683" customFormat="1" ht="27">
      <c r="A10" s="719"/>
      <c r="B10" s="720" t="s">
        <v>1704</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56"/>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910">
        <f t="shared" si="5"/>
        <v>1</v>
      </c>
    </row>
    <row r="11" spans="1:29" ht="15">
      <c r="A11" s="723"/>
      <c r="B11" s="720" t="s">
        <v>1705</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56"/>
      <c r="Q11" s="900" t="str">
        <f t="shared" si="6"/>
        <v>容积率</v>
      </c>
      <c r="R11" s="896" t="s">
        <v>1697</v>
      </c>
      <c r="S11" s="897">
        <f t="shared" si="0"/>
        <v>100</v>
      </c>
      <c r="T11" s="896" t="s">
        <v>1697</v>
      </c>
      <c r="U11" s="897">
        <f t="shared" si="1"/>
        <v>100</v>
      </c>
      <c r="V11" s="896" t="s">
        <v>1697</v>
      </c>
      <c r="W11" s="897">
        <f t="shared" si="2"/>
        <v>100</v>
      </c>
      <c r="X11" s="898"/>
      <c r="Y11" s="3545"/>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56"/>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56"/>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56"/>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910">
        <f t="shared" si="5"/>
        <v>1</v>
      </c>
    </row>
    <row r="15" spans="1:29" ht="71.25">
      <c r="A15" s="737" t="s">
        <v>1706</v>
      </c>
      <c r="B15" s="1036" t="s">
        <v>1768</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7" t="s">
        <v>1708</v>
      </c>
      <c r="Q15" s="819" t="str">
        <f t="shared" si="6"/>
        <v>商业繁华度</v>
      </c>
      <c r="R15" s="901" t="s">
        <v>1697</v>
      </c>
      <c r="S15" s="902">
        <f t="shared" si="0"/>
        <v>100</v>
      </c>
      <c r="T15" s="901" t="s">
        <v>1697</v>
      </c>
      <c r="U15" s="902">
        <f t="shared" si="1"/>
        <v>100</v>
      </c>
      <c r="V15" s="901" t="s">
        <v>1697</v>
      </c>
      <c r="W15" s="902">
        <f t="shared" si="2"/>
        <v>100</v>
      </c>
      <c r="X15" s="895"/>
      <c r="Y15" s="3662" t="s">
        <v>1708</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58"/>
      <c r="Q16" s="819"/>
      <c r="R16" s="901"/>
      <c r="S16" s="902"/>
      <c r="T16" s="901"/>
      <c r="U16" s="902"/>
      <c r="V16" s="901"/>
      <c r="W16" s="902"/>
      <c r="X16" s="895"/>
      <c r="Y16" s="3663"/>
      <c r="Z16" s="884"/>
      <c r="AA16" s="912">
        <v>1</v>
      </c>
      <c r="AB16" s="912">
        <v>1</v>
      </c>
      <c r="AC16" s="912">
        <v>1</v>
      </c>
    </row>
    <row r="17" spans="1:29" ht="85.5">
      <c r="A17" s="723"/>
      <c r="B17" s="1040" t="s">
        <v>1709</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8"/>
      <c r="Q17" s="819" t="str">
        <f>B17</f>
        <v>交通便捷度</v>
      </c>
      <c r="R17" s="901" t="s">
        <v>1697</v>
      </c>
      <c r="S17" s="902">
        <f>F17</f>
        <v>100</v>
      </c>
      <c r="T17" s="901" t="s">
        <v>1697</v>
      </c>
      <c r="U17" s="902">
        <f>H17</f>
        <v>100</v>
      </c>
      <c r="V17" s="901" t="s">
        <v>1697</v>
      </c>
      <c r="W17" s="902">
        <f>J17</f>
        <v>100</v>
      </c>
      <c r="X17" s="895"/>
      <c r="Y17" s="3663"/>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58"/>
      <c r="Q18" s="819"/>
      <c r="R18" s="901"/>
      <c r="S18" s="902"/>
      <c r="T18" s="901"/>
      <c r="U18" s="902"/>
      <c r="V18" s="901"/>
      <c r="W18" s="902"/>
      <c r="X18" s="895"/>
      <c r="Y18" s="3663"/>
      <c r="Z18" s="884"/>
      <c r="AA18" s="912">
        <v>1</v>
      </c>
      <c r="AB18" s="912">
        <v>1</v>
      </c>
      <c r="AC18" s="912">
        <v>1</v>
      </c>
    </row>
    <row r="19" spans="1:29" ht="42.75">
      <c r="A19" s="723"/>
      <c r="B19" s="1040" t="s">
        <v>1710</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8"/>
      <c r="Q19" s="819" t="str">
        <f>B19</f>
        <v>公共配套设施</v>
      </c>
      <c r="R19" s="901" t="s">
        <v>1697</v>
      </c>
      <c r="S19" s="902">
        <f>F19</f>
        <v>100</v>
      </c>
      <c r="T19" s="901" t="s">
        <v>1697</v>
      </c>
      <c r="U19" s="902">
        <f>H19</f>
        <v>100</v>
      </c>
      <c r="V19" s="901" t="s">
        <v>1697</v>
      </c>
      <c r="W19" s="902">
        <f>J19</f>
        <v>100</v>
      </c>
      <c r="X19" s="895"/>
      <c r="Y19" s="3663"/>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58"/>
      <c r="Q20" s="819"/>
      <c r="R20" s="901"/>
      <c r="S20" s="902"/>
      <c r="T20" s="901"/>
      <c r="U20" s="902"/>
      <c r="V20" s="901"/>
      <c r="W20" s="902"/>
      <c r="X20" s="895"/>
      <c r="Y20" s="3663"/>
      <c r="Z20" s="884"/>
      <c r="AA20" s="912">
        <v>1</v>
      </c>
      <c r="AB20" s="912">
        <v>1</v>
      </c>
      <c r="AC20" s="912">
        <v>1</v>
      </c>
    </row>
    <row r="21" spans="1:29" ht="28.5">
      <c r="A21" s="723"/>
      <c r="B21" s="1045" t="s">
        <v>1711</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8"/>
      <c r="Q21" s="819" t="str">
        <f>B21</f>
        <v>基础设施水平</v>
      </c>
      <c r="R21" s="901" t="s">
        <v>1697</v>
      </c>
      <c r="S21" s="902">
        <f>F21</f>
        <v>100</v>
      </c>
      <c r="T21" s="901" t="s">
        <v>1697</v>
      </c>
      <c r="U21" s="902">
        <f>H21</f>
        <v>100</v>
      </c>
      <c r="V21" s="901" t="s">
        <v>1697</v>
      </c>
      <c r="W21" s="902">
        <f>J21</f>
        <v>100</v>
      </c>
      <c r="X21" s="895"/>
      <c r="Y21" s="3663"/>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58"/>
      <c r="Q22" s="819"/>
      <c r="R22" s="901"/>
      <c r="S22" s="902"/>
      <c r="T22" s="901"/>
      <c r="U22" s="902"/>
      <c r="V22" s="901"/>
      <c r="W22" s="902"/>
      <c r="X22" s="895"/>
      <c r="Y22" s="3663"/>
      <c r="Z22" s="884"/>
      <c r="AA22" s="912">
        <v>1</v>
      </c>
      <c r="AB22" s="912">
        <v>1</v>
      </c>
      <c r="AC22" s="912">
        <v>1</v>
      </c>
    </row>
    <row r="23" spans="1:29" ht="57">
      <c r="A23" s="723"/>
      <c r="B23" s="1040" t="s">
        <v>1712</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8"/>
      <c r="Q23" s="819" t="str">
        <f>B23</f>
        <v>自然及人文环境</v>
      </c>
      <c r="R23" s="901" t="s">
        <v>1697</v>
      </c>
      <c r="S23" s="902">
        <f>F23</f>
        <v>100</v>
      </c>
      <c r="T23" s="901" t="s">
        <v>1697</v>
      </c>
      <c r="U23" s="902">
        <f>H23</f>
        <v>100</v>
      </c>
      <c r="V23" s="901" t="s">
        <v>1697</v>
      </c>
      <c r="W23" s="902">
        <f>J23</f>
        <v>100</v>
      </c>
      <c r="X23" s="895"/>
      <c r="Y23" s="3663"/>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58"/>
      <c r="Q24" s="819"/>
      <c r="R24" s="901"/>
      <c r="S24" s="902"/>
      <c r="T24" s="901"/>
      <c r="U24" s="902"/>
      <c r="V24" s="901"/>
      <c r="W24" s="902"/>
      <c r="X24" s="895"/>
      <c r="Y24" s="3663"/>
      <c r="Z24" s="884"/>
      <c r="AA24" s="912">
        <v>1</v>
      </c>
      <c r="AB24" s="912">
        <v>1</v>
      </c>
      <c r="AC24" s="912">
        <v>1</v>
      </c>
    </row>
    <row r="25" spans="1:29" ht="15">
      <c r="A25" s="723"/>
      <c r="B25" s="720" t="s">
        <v>1769</v>
      </c>
      <c r="C25" s="754" t="s">
        <v>2855</v>
      </c>
      <c r="D25" s="732">
        <v>100</v>
      </c>
      <c r="E25" s="754" t="s">
        <v>2855</v>
      </c>
      <c r="F25" s="1097">
        <f>SUMIF(86:86,E25,87:87)-SUMIF(86:86,C25,87:87)+100</f>
        <v>100</v>
      </c>
      <c r="G25" s="754" t="s">
        <v>2855</v>
      </c>
      <c r="H25" s="732">
        <f>SUMIF(86:86,G25,87:87)-SUMIF(86:86,C25,87:87)+100</f>
        <v>100</v>
      </c>
      <c r="I25" s="754" t="s">
        <v>2855</v>
      </c>
      <c r="J25" s="732">
        <f>SUMIF(86:86,I25,87:87)-SUMIF(86:86,C25,87:87)+100</f>
        <v>100</v>
      </c>
      <c r="K25" s="870">
        <v>3</v>
      </c>
      <c r="L25" s="865"/>
      <c r="M25" s="853"/>
      <c r="N25" s="853"/>
      <c r="O25" s="853"/>
      <c r="P25" s="3658"/>
      <c r="Q25" s="819" t="str">
        <f t="shared" ref="Q25:Q46" si="11">B25</f>
        <v>临街状况</v>
      </c>
      <c r="R25" s="901" t="s">
        <v>1697</v>
      </c>
      <c r="S25" s="902">
        <f>F25</f>
        <v>100</v>
      </c>
      <c r="T25" s="901" t="s">
        <v>1697</v>
      </c>
      <c r="U25" s="902">
        <f>H25</f>
        <v>100</v>
      </c>
      <c r="V25" s="901" t="s">
        <v>1697</v>
      </c>
      <c r="W25" s="902">
        <f>J25</f>
        <v>100</v>
      </c>
      <c r="X25" s="895"/>
      <c r="Y25" s="3663"/>
      <c r="Z25" s="884" t="str">
        <f>Q25</f>
        <v>临街状况</v>
      </c>
      <c r="AA25" s="912">
        <f t="shared" si="3"/>
        <v>1</v>
      </c>
      <c r="AB25" s="912">
        <f t="shared" si="4"/>
        <v>1</v>
      </c>
      <c r="AC25" s="912">
        <f t="shared" si="5"/>
        <v>1</v>
      </c>
    </row>
    <row r="26" spans="1:29" ht="15">
      <c r="A26" s="723"/>
      <c r="B26" s="1048" t="s">
        <v>1770</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8"/>
      <c r="Q26" s="819" t="str">
        <f t="shared" si="11"/>
        <v>平面位置/可视性</v>
      </c>
      <c r="R26" s="901" t="s">
        <v>1697</v>
      </c>
      <c r="S26" s="902">
        <f>F26</f>
        <v>100</v>
      </c>
      <c r="T26" s="901" t="s">
        <v>1697</v>
      </c>
      <c r="U26" s="902">
        <f>H26</f>
        <v>100</v>
      </c>
      <c r="V26" s="901" t="s">
        <v>1697</v>
      </c>
      <c r="W26" s="902">
        <f>J26</f>
        <v>100</v>
      </c>
      <c r="X26" s="895"/>
      <c r="Y26" s="3663"/>
      <c r="Z26" s="884" t="str">
        <f>Q26</f>
        <v>平面位置/可视性</v>
      </c>
      <c r="AA26" s="912">
        <f t="shared" si="3"/>
        <v>1</v>
      </c>
      <c r="AB26" s="912">
        <f t="shared" si="4"/>
        <v>1</v>
      </c>
      <c r="AC26" s="912">
        <f t="shared" si="5"/>
        <v>1</v>
      </c>
    </row>
    <row r="27" spans="1:29" s="682" customFormat="1" ht="15">
      <c r="A27" s="726"/>
      <c r="B27" s="1040" t="s">
        <v>1771</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8"/>
      <c r="Q27" s="900" t="str">
        <f t="shared" si="11"/>
        <v>人流量</v>
      </c>
      <c r="R27" s="896" t="s">
        <v>1697</v>
      </c>
      <c r="S27" s="897">
        <f>F27</f>
        <v>100</v>
      </c>
      <c r="T27" s="896" t="s">
        <v>1697</v>
      </c>
      <c r="U27" s="897">
        <f>H27</f>
        <v>100</v>
      </c>
      <c r="V27" s="896" t="s">
        <v>1697</v>
      </c>
      <c r="W27" s="897">
        <f>J27</f>
        <v>100</v>
      </c>
      <c r="X27" s="898"/>
      <c r="Y27" s="3663"/>
      <c r="Z27" s="911" t="str">
        <f>Q27</f>
        <v>人流量</v>
      </c>
      <c r="AA27" s="912">
        <f t="shared" si="3"/>
        <v>1</v>
      </c>
      <c r="AB27" s="912">
        <f t="shared" si="4"/>
        <v>1</v>
      </c>
      <c r="AC27" s="912">
        <f t="shared" si="5"/>
        <v>1</v>
      </c>
    </row>
    <row r="28" spans="1:29" ht="15">
      <c r="A28" s="723"/>
      <c r="B28" s="720" t="s">
        <v>1772</v>
      </c>
      <c r="C28" s="754" t="s">
        <v>2868</v>
      </c>
      <c r="D28" s="732">
        <v>100</v>
      </c>
      <c r="E28" s="754" t="s">
        <v>2870</v>
      </c>
      <c r="F28" s="1097">
        <f>SUMIF(92:92,E28,93:93)-SUMIF(92:92,C28,93:93)+100</f>
        <v>130</v>
      </c>
      <c r="G28" s="754" t="s">
        <v>2870</v>
      </c>
      <c r="H28" s="732">
        <f>SUMIF(92:92,G28,93:93)-SUMIF(92:92,C28,93:93)+100</f>
        <v>130</v>
      </c>
      <c r="I28" s="754" t="s">
        <v>2870</v>
      </c>
      <c r="J28" s="732">
        <f>SUMIF(92:92,I28,93:93)-SUMIF(92:92,C28,93:93)+100</f>
        <v>130</v>
      </c>
      <c r="K28" s="869"/>
      <c r="L28" s="865"/>
      <c r="M28" s="853"/>
      <c r="N28" s="853"/>
      <c r="O28" s="853"/>
      <c r="P28" s="3658"/>
      <c r="Q28" s="819" t="str">
        <f t="shared" si="11"/>
        <v>楼层</v>
      </c>
      <c r="R28" s="901" t="s">
        <v>1697</v>
      </c>
      <c r="S28" s="902">
        <f t="shared" ref="S28:S46" si="12">F28</f>
        <v>130</v>
      </c>
      <c r="T28" s="901" t="s">
        <v>1697</v>
      </c>
      <c r="U28" s="902">
        <f t="shared" ref="U28:U46" si="13">H28</f>
        <v>130</v>
      </c>
      <c r="V28" s="901" t="s">
        <v>1697</v>
      </c>
      <c r="W28" s="902">
        <f t="shared" ref="W28:W46" si="14">J28</f>
        <v>130</v>
      </c>
      <c r="X28" s="895"/>
      <c r="Y28" s="3663"/>
      <c r="Z28" s="884" t="str">
        <f t="shared" ref="Z28:Z46" si="15">Q28</f>
        <v>楼层</v>
      </c>
      <c r="AA28" s="912">
        <f t="shared" si="3"/>
        <v>0.76923076923076927</v>
      </c>
      <c r="AB28" s="912">
        <f t="shared" si="4"/>
        <v>0.76923076923076927</v>
      </c>
      <c r="AC28" s="912">
        <f t="shared" si="5"/>
        <v>0.76923076923076927</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8"/>
      <c r="Q29" s="819">
        <f t="shared" si="11"/>
        <v>111</v>
      </c>
      <c r="R29" s="901" t="s">
        <v>1697</v>
      </c>
      <c r="S29" s="902">
        <f t="shared" si="12"/>
        <v>100</v>
      </c>
      <c r="T29" s="901" t="s">
        <v>1697</v>
      </c>
      <c r="U29" s="902">
        <f t="shared" si="13"/>
        <v>100</v>
      </c>
      <c r="V29" s="901" t="s">
        <v>1697</v>
      </c>
      <c r="W29" s="902">
        <f t="shared" si="14"/>
        <v>100</v>
      </c>
      <c r="X29" s="895"/>
      <c r="Y29" s="3663"/>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8"/>
      <c r="Q30" s="819">
        <f t="shared" si="11"/>
        <v>111</v>
      </c>
      <c r="R30" s="901" t="s">
        <v>1697</v>
      </c>
      <c r="S30" s="902">
        <f t="shared" si="12"/>
        <v>100</v>
      </c>
      <c r="T30" s="901" t="s">
        <v>1697</v>
      </c>
      <c r="U30" s="902">
        <f t="shared" si="13"/>
        <v>100</v>
      </c>
      <c r="V30" s="901" t="s">
        <v>1697</v>
      </c>
      <c r="W30" s="902">
        <f t="shared" si="14"/>
        <v>100</v>
      </c>
      <c r="X30" s="895"/>
      <c r="Y30" s="3663"/>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8"/>
      <c r="Q31" s="819">
        <f t="shared" si="11"/>
        <v>111</v>
      </c>
      <c r="R31" s="901" t="s">
        <v>1697</v>
      </c>
      <c r="S31" s="902">
        <f t="shared" si="12"/>
        <v>100</v>
      </c>
      <c r="T31" s="901" t="s">
        <v>1697</v>
      </c>
      <c r="U31" s="902">
        <f t="shared" si="13"/>
        <v>100</v>
      </c>
      <c r="V31" s="901" t="s">
        <v>1697</v>
      </c>
      <c r="W31" s="902">
        <f t="shared" si="14"/>
        <v>100</v>
      </c>
      <c r="X31" s="895"/>
      <c r="Y31" s="3663"/>
      <c r="Z31" s="884">
        <f t="shared" si="15"/>
        <v>111</v>
      </c>
      <c r="AA31" s="912">
        <f t="shared" si="3"/>
        <v>1</v>
      </c>
      <c r="AB31" s="912">
        <f t="shared" si="4"/>
        <v>1</v>
      </c>
      <c r="AC31" s="912">
        <f t="shared" si="5"/>
        <v>1</v>
      </c>
    </row>
    <row r="32" spans="1:29" ht="15">
      <c r="A32" s="737" t="s">
        <v>1715</v>
      </c>
      <c r="B32" s="716" t="s">
        <v>1773</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9" t="s">
        <v>1717</v>
      </c>
      <c r="Q32" s="819" t="str">
        <f t="shared" si="11"/>
        <v>商业类型</v>
      </c>
      <c r="R32" s="901" t="s">
        <v>1697</v>
      </c>
      <c r="S32" s="902">
        <f t="shared" si="12"/>
        <v>100</v>
      </c>
      <c r="T32" s="901" t="s">
        <v>1697</v>
      </c>
      <c r="U32" s="902">
        <f t="shared" si="13"/>
        <v>100</v>
      </c>
      <c r="V32" s="901" t="s">
        <v>1697</v>
      </c>
      <c r="W32" s="902">
        <f t="shared" si="14"/>
        <v>100</v>
      </c>
      <c r="X32" s="895"/>
      <c r="Y32" s="3664" t="s">
        <v>1717</v>
      </c>
      <c r="Z32" s="884" t="str">
        <f t="shared" si="15"/>
        <v>商业类型</v>
      </c>
      <c r="AA32" s="912">
        <f t="shared" si="3"/>
        <v>1</v>
      </c>
      <c r="AB32" s="912">
        <f t="shared" si="4"/>
        <v>1</v>
      </c>
      <c r="AC32" s="912">
        <f t="shared" si="5"/>
        <v>1</v>
      </c>
    </row>
    <row r="33" spans="1:29" s="684" customFormat="1" ht="15">
      <c r="A33" s="777"/>
      <c r="B33" s="720" t="s">
        <v>1718</v>
      </c>
      <c r="C33" s="1091"/>
      <c r="D33" s="722">
        <v>100</v>
      </c>
      <c r="E33" s="725"/>
      <c r="F33" s="1090">
        <f>LOOKUP(E33,103:103,104:104)-LOOKUP(C33,103:103,104:104)+100</f>
        <v>100</v>
      </c>
      <c r="G33" s="724"/>
      <c r="H33" s="722">
        <f>LOOKUP(G33,103:103,104:104)-LOOKUP(C33,103:103,104:104)+100</f>
        <v>100</v>
      </c>
      <c r="I33" s="724"/>
      <c r="J33" s="722">
        <f>LOOKUP(I33,103:103,104:104)-LOOKUP(C33,103:103,104:104)+100</f>
        <v>100</v>
      </c>
      <c r="K33" s="869"/>
      <c r="L33" s="863"/>
      <c r="M33" s="871"/>
      <c r="N33" s="871"/>
      <c r="O33" s="871"/>
      <c r="P33" s="3660"/>
      <c r="Q33" s="1136" t="str">
        <f t="shared" si="11"/>
        <v>项目建筑规模</v>
      </c>
      <c r="R33" s="903" t="s">
        <v>1697</v>
      </c>
      <c r="S33" s="904">
        <f t="shared" si="12"/>
        <v>100</v>
      </c>
      <c r="T33" s="903" t="s">
        <v>1697</v>
      </c>
      <c r="U33" s="904">
        <f t="shared" si="13"/>
        <v>100</v>
      </c>
      <c r="V33" s="903" t="s">
        <v>1697</v>
      </c>
      <c r="W33" s="904">
        <f t="shared" si="14"/>
        <v>100</v>
      </c>
      <c r="X33" s="905"/>
      <c r="Y33" s="3664"/>
      <c r="Z33" s="913" t="str">
        <f t="shared" si="15"/>
        <v>项目建筑规模</v>
      </c>
      <c r="AA33" s="912">
        <f t="shared" si="3"/>
        <v>1</v>
      </c>
      <c r="AB33" s="912">
        <f t="shared" si="4"/>
        <v>1</v>
      </c>
      <c r="AC33" s="912">
        <f t="shared" si="5"/>
        <v>1</v>
      </c>
    </row>
    <row r="34" spans="1:29" ht="15">
      <c r="A34" s="772"/>
      <c r="B34" s="720" t="s">
        <v>1719</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60"/>
      <c r="Q34" s="819" t="str">
        <f t="shared" si="11"/>
        <v>建筑结构</v>
      </c>
      <c r="R34" s="901" t="s">
        <v>1697</v>
      </c>
      <c r="S34" s="902">
        <f t="shared" si="12"/>
        <v>100</v>
      </c>
      <c r="T34" s="901" t="s">
        <v>1697</v>
      </c>
      <c r="U34" s="902">
        <f t="shared" si="13"/>
        <v>100</v>
      </c>
      <c r="V34" s="901" t="s">
        <v>1697</v>
      </c>
      <c r="W34" s="902">
        <f t="shared" si="14"/>
        <v>100</v>
      </c>
      <c r="X34" s="895"/>
      <c r="Y34" s="3664"/>
      <c r="Z34" s="884" t="str">
        <f t="shared" si="15"/>
        <v>建筑结构</v>
      </c>
      <c r="AA34" s="912">
        <f t="shared" si="3"/>
        <v>1</v>
      </c>
      <c r="AB34" s="912">
        <f t="shared" si="4"/>
        <v>1</v>
      </c>
      <c r="AC34" s="912">
        <f t="shared" si="5"/>
        <v>1</v>
      </c>
    </row>
    <row r="35" spans="1:29" ht="15">
      <c r="A35" s="772"/>
      <c r="B35" s="720" t="s">
        <v>1721</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60"/>
      <c r="Q35" s="819" t="str">
        <f t="shared" si="11"/>
        <v>公共部分装修</v>
      </c>
      <c r="R35" s="901" t="s">
        <v>1697</v>
      </c>
      <c r="S35" s="902">
        <f t="shared" si="12"/>
        <v>100</v>
      </c>
      <c r="T35" s="901" t="s">
        <v>1697</v>
      </c>
      <c r="U35" s="902">
        <f t="shared" si="13"/>
        <v>100</v>
      </c>
      <c r="V35" s="901" t="s">
        <v>1697</v>
      </c>
      <c r="W35" s="902">
        <f t="shared" si="14"/>
        <v>100</v>
      </c>
      <c r="X35" s="895"/>
      <c r="Y35" s="3664"/>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60"/>
      <c r="Q36" s="819" t="str">
        <f t="shared" si="11"/>
        <v>成新度</v>
      </c>
      <c r="R36" s="901" t="s">
        <v>1697</v>
      </c>
      <c r="S36" s="902">
        <f t="shared" si="12"/>
        <v>100</v>
      </c>
      <c r="T36" s="901" t="s">
        <v>1697</v>
      </c>
      <c r="U36" s="902">
        <f t="shared" si="13"/>
        <v>100</v>
      </c>
      <c r="V36" s="901" t="s">
        <v>1697</v>
      </c>
      <c r="W36" s="902">
        <f t="shared" si="14"/>
        <v>100</v>
      </c>
      <c r="X36" s="895"/>
      <c r="Y36" s="3664"/>
      <c r="Z36" s="884" t="str">
        <f t="shared" si="15"/>
        <v>成新度</v>
      </c>
      <c r="AA36" s="912">
        <f t="shared" si="3"/>
        <v>1</v>
      </c>
      <c r="AB36" s="912">
        <f t="shared" si="4"/>
        <v>1</v>
      </c>
      <c r="AC36" s="912">
        <f t="shared" si="5"/>
        <v>1</v>
      </c>
    </row>
    <row r="37" spans="1:29" s="682" customFormat="1" ht="15">
      <c r="A37" s="774"/>
      <c r="B37" s="720" t="s">
        <v>1723</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60"/>
      <c r="Q37" s="900" t="str">
        <f t="shared" si="11"/>
        <v>市政基础设施</v>
      </c>
      <c r="R37" s="896" t="s">
        <v>1697</v>
      </c>
      <c r="S37" s="897">
        <f t="shared" si="12"/>
        <v>100</v>
      </c>
      <c r="T37" s="896" t="s">
        <v>1697</v>
      </c>
      <c r="U37" s="897">
        <f t="shared" si="13"/>
        <v>100</v>
      </c>
      <c r="V37" s="896" t="s">
        <v>1697</v>
      </c>
      <c r="W37" s="897">
        <f t="shared" si="14"/>
        <v>100</v>
      </c>
      <c r="X37" s="898"/>
      <c r="Y37" s="3664"/>
      <c r="Z37" s="911" t="str">
        <f t="shared" si="15"/>
        <v>市政基础设施</v>
      </c>
      <c r="AA37" s="910">
        <f t="shared" si="3"/>
        <v>1</v>
      </c>
      <c r="AB37" s="910">
        <f t="shared" si="4"/>
        <v>1</v>
      </c>
      <c r="AC37" s="910">
        <f t="shared" si="5"/>
        <v>1</v>
      </c>
    </row>
    <row r="38" spans="1:29" ht="15">
      <c r="A38" s="772"/>
      <c r="B38" s="720" t="s">
        <v>1774</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60" t="s">
        <v>1717</v>
      </c>
      <c r="Q38" s="819" t="str">
        <f t="shared" si="11"/>
        <v>业态</v>
      </c>
      <c r="R38" s="901" t="s">
        <v>1697</v>
      </c>
      <c r="S38" s="902">
        <f t="shared" si="12"/>
        <v>100</v>
      </c>
      <c r="T38" s="901" t="s">
        <v>1697</v>
      </c>
      <c r="U38" s="902">
        <f t="shared" si="13"/>
        <v>100</v>
      </c>
      <c r="V38" s="901" t="s">
        <v>1697</v>
      </c>
      <c r="W38" s="902">
        <f t="shared" si="14"/>
        <v>100</v>
      </c>
      <c r="X38" s="895"/>
      <c r="Y38" s="3664" t="s">
        <v>1717</v>
      </c>
      <c r="Z38" s="884" t="str">
        <f t="shared" si="15"/>
        <v>业态</v>
      </c>
      <c r="AA38" s="912">
        <f t="shared" si="3"/>
        <v>1</v>
      </c>
      <c r="AB38" s="912">
        <f t="shared" si="4"/>
        <v>1</v>
      </c>
      <c r="AC38" s="912">
        <f t="shared" si="5"/>
        <v>1</v>
      </c>
    </row>
    <row r="39" spans="1:29" ht="15">
      <c r="A39" s="772"/>
      <c r="B39" s="720" t="s">
        <v>1775</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60"/>
      <c r="Q39" s="819" t="str">
        <f t="shared" si="11"/>
        <v>层高</v>
      </c>
      <c r="R39" s="901" t="s">
        <v>1697</v>
      </c>
      <c r="S39" s="902">
        <f t="shared" si="12"/>
        <v>100</v>
      </c>
      <c r="T39" s="901" t="s">
        <v>1697</v>
      </c>
      <c r="U39" s="902">
        <f t="shared" si="13"/>
        <v>100</v>
      </c>
      <c r="V39" s="901" t="s">
        <v>1697</v>
      </c>
      <c r="W39" s="902">
        <f t="shared" si="14"/>
        <v>100</v>
      </c>
      <c r="X39" s="895"/>
      <c r="Y39" s="3664"/>
      <c r="Z39" s="884" t="str">
        <f t="shared" si="15"/>
        <v>层高</v>
      </c>
      <c r="AA39" s="912">
        <f t="shared" si="3"/>
        <v>1</v>
      </c>
      <c r="AB39" s="912">
        <f t="shared" si="4"/>
        <v>1</v>
      </c>
      <c r="AC39" s="912">
        <f t="shared" si="5"/>
        <v>1</v>
      </c>
    </row>
    <row r="40" spans="1:29" ht="15">
      <c r="A40" s="772"/>
      <c r="B40" s="720" t="s">
        <v>1776</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60"/>
      <c r="Q40" s="819" t="str">
        <f t="shared" si="11"/>
        <v>单套建筑面积</v>
      </c>
      <c r="R40" s="901" t="s">
        <v>1697</v>
      </c>
      <c r="S40" s="902">
        <f t="shared" si="12"/>
        <v>100</v>
      </c>
      <c r="T40" s="901" t="s">
        <v>1697</v>
      </c>
      <c r="U40" s="902">
        <f t="shared" si="13"/>
        <v>100</v>
      </c>
      <c r="V40" s="901" t="s">
        <v>1697</v>
      </c>
      <c r="W40" s="902">
        <f t="shared" si="14"/>
        <v>100</v>
      </c>
      <c r="X40" s="895"/>
      <c r="Y40" s="3664"/>
      <c r="Z40" s="884" t="str">
        <f t="shared" si="15"/>
        <v>单套建筑面积</v>
      </c>
      <c r="AA40" s="912">
        <f t="shared" si="3"/>
        <v>1</v>
      </c>
      <c r="AB40" s="912">
        <f t="shared" si="4"/>
        <v>1</v>
      </c>
      <c r="AC40" s="912">
        <f t="shared" si="5"/>
        <v>1</v>
      </c>
    </row>
    <row r="41" spans="1:29" s="684" customFormat="1" ht="15">
      <c r="A41" s="777"/>
      <c r="B41" s="879" t="s">
        <v>1777</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60"/>
      <c r="Q41" s="1136" t="str">
        <f t="shared" si="11"/>
        <v>进深比</v>
      </c>
      <c r="R41" s="903" t="s">
        <v>1697</v>
      </c>
      <c r="S41" s="904">
        <f t="shared" si="12"/>
        <v>100</v>
      </c>
      <c r="T41" s="903" t="s">
        <v>1697</v>
      </c>
      <c r="U41" s="904">
        <f t="shared" si="13"/>
        <v>100</v>
      </c>
      <c r="V41" s="903" t="s">
        <v>1697</v>
      </c>
      <c r="W41" s="904">
        <f t="shared" si="14"/>
        <v>100</v>
      </c>
      <c r="X41" s="905"/>
      <c r="Y41" s="3664"/>
      <c r="Z41" s="913" t="str">
        <f t="shared" si="15"/>
        <v>进深比</v>
      </c>
      <c r="AA41" s="912">
        <f t="shared" si="3"/>
        <v>1</v>
      </c>
      <c r="AB41" s="912">
        <f t="shared" si="4"/>
        <v>1</v>
      </c>
      <c r="AC41" s="912">
        <f t="shared" si="5"/>
        <v>1</v>
      </c>
    </row>
    <row r="42" spans="1:29" ht="15">
      <c r="A42" s="772"/>
      <c r="B42" s="720" t="s">
        <v>1726</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60"/>
      <c r="Q42" s="819" t="str">
        <f t="shared" si="11"/>
        <v>内部装修</v>
      </c>
      <c r="R42" s="901" t="s">
        <v>1697</v>
      </c>
      <c r="S42" s="902">
        <f t="shared" si="12"/>
        <v>100</v>
      </c>
      <c r="T42" s="901" t="s">
        <v>1697</v>
      </c>
      <c r="U42" s="902">
        <f t="shared" si="13"/>
        <v>100</v>
      </c>
      <c r="V42" s="901" t="s">
        <v>1697</v>
      </c>
      <c r="W42" s="902">
        <f t="shared" si="14"/>
        <v>100</v>
      </c>
      <c r="X42" s="895"/>
      <c r="Y42" s="3664"/>
      <c r="Z42" s="884" t="str">
        <f t="shared" si="15"/>
        <v>内部装修</v>
      </c>
      <c r="AA42" s="912">
        <f t="shared" si="3"/>
        <v>1</v>
      </c>
      <c r="AB42" s="912">
        <f t="shared" si="4"/>
        <v>1</v>
      </c>
      <c r="AC42" s="912">
        <f t="shared" si="5"/>
        <v>1</v>
      </c>
    </row>
    <row r="43" spans="1:29" ht="15">
      <c r="A43" s="772"/>
      <c r="B43" s="720" t="s">
        <v>1727</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60"/>
      <c r="Q43" s="819" t="str">
        <f t="shared" si="11"/>
        <v>内部装修维护情况</v>
      </c>
      <c r="R43" s="901" t="s">
        <v>1697</v>
      </c>
      <c r="S43" s="902">
        <f t="shared" si="12"/>
        <v>100</v>
      </c>
      <c r="T43" s="901" t="s">
        <v>1697</v>
      </c>
      <c r="U43" s="902">
        <f t="shared" si="13"/>
        <v>100</v>
      </c>
      <c r="V43" s="901" t="s">
        <v>1697</v>
      </c>
      <c r="W43" s="902">
        <f t="shared" si="14"/>
        <v>100</v>
      </c>
      <c r="X43" s="895"/>
      <c r="Y43" s="3664"/>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60"/>
      <c r="Q44" s="900">
        <f t="shared" si="11"/>
        <v>111</v>
      </c>
      <c r="R44" s="896" t="s">
        <v>1697</v>
      </c>
      <c r="S44" s="897">
        <f t="shared" si="12"/>
        <v>100</v>
      </c>
      <c r="T44" s="896" t="s">
        <v>1697</v>
      </c>
      <c r="U44" s="897">
        <f t="shared" si="13"/>
        <v>100</v>
      </c>
      <c r="V44" s="896" t="s">
        <v>1697</v>
      </c>
      <c r="W44" s="897">
        <f t="shared" si="14"/>
        <v>100</v>
      </c>
      <c r="X44" s="898"/>
      <c r="Y44" s="3664"/>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60"/>
      <c r="Q45" s="819">
        <f t="shared" si="11"/>
        <v>111</v>
      </c>
      <c r="R45" s="901" t="s">
        <v>1697</v>
      </c>
      <c r="S45" s="902">
        <f t="shared" si="12"/>
        <v>100</v>
      </c>
      <c r="T45" s="901" t="s">
        <v>1697</v>
      </c>
      <c r="U45" s="902">
        <f t="shared" si="13"/>
        <v>100</v>
      </c>
      <c r="V45" s="901" t="s">
        <v>1697</v>
      </c>
      <c r="W45" s="902">
        <f t="shared" si="14"/>
        <v>100</v>
      </c>
      <c r="X45" s="895"/>
      <c r="Y45" s="3664"/>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61"/>
      <c r="Q46" s="819">
        <f t="shared" si="11"/>
        <v>111</v>
      </c>
      <c r="R46" s="901" t="s">
        <v>1697</v>
      </c>
      <c r="S46" s="902">
        <f t="shared" si="12"/>
        <v>100</v>
      </c>
      <c r="T46" s="901" t="s">
        <v>1697</v>
      </c>
      <c r="U46" s="902">
        <f t="shared" si="13"/>
        <v>100</v>
      </c>
      <c r="V46" s="901" t="s">
        <v>1697</v>
      </c>
      <c r="W46" s="902">
        <f t="shared" si="14"/>
        <v>100</v>
      </c>
      <c r="X46" s="895"/>
      <c r="Y46" s="3665"/>
      <c r="Z46" s="884">
        <f t="shared" si="15"/>
        <v>111</v>
      </c>
      <c r="AA46" s="912">
        <f t="shared" si="3"/>
        <v>1</v>
      </c>
      <c r="AB46" s="912">
        <f t="shared" si="4"/>
        <v>1</v>
      </c>
      <c r="AC46" s="912">
        <f t="shared" si="5"/>
        <v>1</v>
      </c>
    </row>
    <row r="47" spans="1:29" ht="15">
      <c r="A47" s="779" t="s">
        <v>1728</v>
      </c>
      <c r="B47" s="1111"/>
      <c r="C47" s="1112" t="s">
        <v>124</v>
      </c>
      <c r="D47" s="1113"/>
      <c r="E47" s="1114">
        <v>45000</v>
      </c>
      <c r="F47" s="1115"/>
      <c r="G47" s="1114">
        <v>45000</v>
      </c>
      <c r="H47" s="1117"/>
      <c r="I47" s="1114">
        <v>40000</v>
      </c>
      <c r="J47" s="1117"/>
      <c r="K47" s="875"/>
      <c r="L47" s="876"/>
      <c r="M47" s="796"/>
      <c r="N47" s="853"/>
      <c r="O47" s="796"/>
      <c r="P47" s="3649" t="str">
        <f>A47</f>
        <v>成交单价（元/平方米）</v>
      </c>
      <c r="Q47" s="3649"/>
      <c r="R47" s="3636">
        <f>E47</f>
        <v>45000</v>
      </c>
      <c r="S47" s="3636"/>
      <c r="T47" s="3636">
        <f>G47</f>
        <v>45000</v>
      </c>
      <c r="U47" s="3636"/>
      <c r="V47" s="3636">
        <f>I47</f>
        <v>40000</v>
      </c>
      <c r="W47" s="3636"/>
      <c r="X47" s="841"/>
      <c r="Y47" s="914"/>
      <c r="Z47" s="841"/>
      <c r="AA47" s="841"/>
      <c r="AB47" s="841"/>
      <c r="AC47" s="841"/>
    </row>
    <row r="48" spans="1:29" ht="15">
      <c r="A48" s="787" t="s">
        <v>1729</v>
      </c>
      <c r="B48" s="1118"/>
      <c r="C48" s="1119">
        <f>R49</f>
        <v>31746</v>
      </c>
      <c r="D48" s="790" t="s">
        <v>1730</v>
      </c>
      <c r="E48" s="1120">
        <f>R48</f>
        <v>32967</v>
      </c>
      <c r="F48" s="791"/>
      <c r="G48" s="1119">
        <f>T48</f>
        <v>32967</v>
      </c>
      <c r="H48" s="791"/>
      <c r="I48" s="1120">
        <f>V48</f>
        <v>29304</v>
      </c>
      <c r="J48" s="791"/>
      <c r="K48" s="877">
        <f>F48+H48+J48</f>
        <v>0</v>
      </c>
      <c r="L48" s="876"/>
      <c r="M48" s="796"/>
      <c r="N48" s="853"/>
      <c r="O48" s="796"/>
      <c r="P48" s="3649" t="str">
        <f>A48</f>
        <v>比较价值（元/平方米）</v>
      </c>
      <c r="Q48" s="3649"/>
      <c r="R48" s="3650">
        <f>IF(F1="售价",ROUND(PRODUCT(R47,AA7:AA46),0),ROUND(PRODUCT(R47,AA7:AA46),1))</f>
        <v>32967</v>
      </c>
      <c r="S48" s="3650"/>
      <c r="T48" s="3650">
        <f>IF(F1="售价",ROUND(PRODUCT(T47,AB7:AB46),0),ROUND(PRODUCT(T47,AB7:AB46),1))</f>
        <v>32967</v>
      </c>
      <c r="U48" s="3650"/>
      <c r="V48" s="3650">
        <f>IF(F1="售价",ROUND(PRODUCT(V47,AC7:AC46),0),ROUND(PRODUCT(V47,AC7:AC46),1))</f>
        <v>29304</v>
      </c>
      <c r="W48" s="3650"/>
      <c r="X48" s="841"/>
      <c r="Y48" s="841"/>
      <c r="Z48" s="841"/>
      <c r="AA48" s="841"/>
      <c r="AB48" s="841"/>
      <c r="AC48" s="841"/>
    </row>
    <row r="49" spans="1:29" ht="15">
      <c r="A49" s="793" t="s">
        <v>1731</v>
      </c>
      <c r="B49" s="794"/>
      <c r="C49" s="1121">
        <f>R49</f>
        <v>31746</v>
      </c>
      <c r="D49" s="1121"/>
      <c r="E49" s="1121"/>
      <c r="F49" s="1121"/>
      <c r="G49" s="1121"/>
      <c r="H49" s="1121"/>
      <c r="I49" s="1121"/>
      <c r="J49" s="1121"/>
      <c r="K49" s="878"/>
      <c r="L49" s="876"/>
      <c r="M49" s="796"/>
      <c r="N49" s="853"/>
      <c r="O49" s="796"/>
      <c r="P49" s="3651" t="str">
        <f>A49</f>
        <v>估价对象XX用房的比较价值（楼面单价，元/平方米）</v>
      </c>
      <c r="Q49" s="3652"/>
      <c r="R49" s="3653">
        <f>IF(F1="售价",ROUND(IF(D48="简单平均",AVERAGE(R48:V48),R48*F48+T48*H48+V48*J48),0),ROUND(IF(D48="简单平均",AVERAGE(R48:V48),R48*F48+T48*H48+V48*J48),1))</f>
        <v>31746</v>
      </c>
      <c r="S49" s="3653"/>
      <c r="T49" s="3653"/>
      <c r="U49" s="3653"/>
      <c r="V49" s="3653"/>
      <c r="W49" s="3653"/>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1732</v>
      </c>
      <c r="D52" s="799"/>
      <c r="E52" s="800">
        <f>IF(E47&lt;E48,E48/E47-1,E47/E48-1)</f>
        <v>0.36500136500136504</v>
      </c>
      <c r="F52" s="801" t="str">
        <f>IF(OR(E52&gt;=0.3,E52&lt;=-0.3),"超过30%","")</f>
        <v>超过30%</v>
      </c>
      <c r="G52" s="800">
        <f>IF(G47&lt;G48,G48/G47-1,G47/G48-1)</f>
        <v>0.36500136500136504</v>
      </c>
      <c r="H52" s="801" t="str">
        <f>IF(OR(G52&gt;=0.3,G52&lt;=-0.3),"超过30%","")</f>
        <v>超过30%</v>
      </c>
      <c r="I52" s="800">
        <f>IF(I47&lt;I48,I48/I47-1,I47/I48-1)</f>
        <v>0.36500136500136504</v>
      </c>
      <c r="J52" s="801" t="str">
        <f>IF(OR(I52&gt;=0.3,I52&lt;=-0.3),"超过30%","")</f>
        <v>超过30%</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1733</v>
      </c>
      <c r="D53" s="802"/>
      <c r="E53" s="800">
        <f>IF(E48&lt;G48,G48/E48-1,E48/G48-1)</f>
        <v>0</v>
      </c>
      <c r="F53" s="801" t="str">
        <f>IF(OR(E53&gt;=0.2,E53&lt;=-0.2),"超过20%","")</f>
        <v/>
      </c>
      <c r="G53" s="800">
        <f>IF(G48&lt;I48,I48/G48-1,G48/I48-1)</f>
        <v>0.125</v>
      </c>
      <c r="H53" s="801" t="str">
        <f>IF(OR(G53&gt;=0.2,G53&lt;=-0.2),"超过20%","")</f>
        <v/>
      </c>
      <c r="I53" s="800">
        <f>IF(I48&lt;E48,E48/I48-1,I48/E48-1)</f>
        <v>0.125</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1734</v>
      </c>
      <c r="D54" s="802"/>
      <c r="E54" s="800">
        <f>IF(E47&lt;G47,G47/E47-1,E47/G47-1)</f>
        <v>0</v>
      </c>
      <c r="F54" s="801" t="str">
        <f>IF(OR(E54&gt;=0.3,E54&lt;=-0.3),"超过30%","")</f>
        <v/>
      </c>
      <c r="G54" s="800">
        <f>IF(G47&lt;I47,I47/G47-1,G47/I47-1)</f>
        <v>0.125</v>
      </c>
      <c r="H54" s="801" t="str">
        <f>IF(OR(G54&gt;=0.3,G54&lt;=-0.3),"超过30%","")</f>
        <v/>
      </c>
      <c r="I54" s="800">
        <f>IF(I47&lt;E47,E47/I47-1,I47/E47-1)</f>
        <v>0.125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1735</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1695</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1736</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1698</v>
      </c>
      <c r="B61" s="927"/>
      <c r="C61" s="928" t="s">
        <v>1737</v>
      </c>
      <c r="D61" s="3440" t="s">
        <v>2853</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1738</v>
      </c>
      <c r="B63" s="933" t="s">
        <v>1701</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1704</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1705</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1706</v>
      </c>
      <c r="B76" s="933" t="s">
        <v>1707</v>
      </c>
      <c r="C76" s="955" t="s">
        <v>1490</v>
      </c>
      <c r="D76" s="955" t="s">
        <v>1491</v>
      </c>
      <c r="E76" s="955" t="s">
        <v>1492</v>
      </c>
      <c r="F76" s="955" t="s">
        <v>1493</v>
      </c>
      <c r="G76" s="955" t="s">
        <v>1494</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1709</v>
      </c>
      <c r="C78" s="957" t="s">
        <v>1490</v>
      </c>
      <c r="D78" s="957" t="s">
        <v>1491</v>
      </c>
      <c r="E78" s="957" t="s">
        <v>1492</v>
      </c>
      <c r="F78" s="957" t="s">
        <v>1493</v>
      </c>
      <c r="G78" s="957" t="s">
        <v>1494</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1710</v>
      </c>
      <c r="C80" s="957" t="s">
        <v>1490</v>
      </c>
      <c r="D80" s="957" t="s">
        <v>1491</v>
      </c>
      <c r="E80" s="957" t="s">
        <v>1492</v>
      </c>
      <c r="F80" s="957" t="s">
        <v>1493</v>
      </c>
      <c r="G80" s="957" t="s">
        <v>1494</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1711</v>
      </c>
      <c r="C82" s="962" t="s">
        <v>1739</v>
      </c>
      <c r="D82" s="962" t="s">
        <v>1740</v>
      </c>
      <c r="E82" s="962" t="s">
        <v>1741</v>
      </c>
      <c r="F82" s="962" t="s">
        <v>1742</v>
      </c>
      <c r="G82" s="962" t="s">
        <v>1743</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1712</v>
      </c>
      <c r="C84" s="957" t="s">
        <v>1490</v>
      </c>
      <c r="D84" s="957" t="s">
        <v>1491</v>
      </c>
      <c r="E84" s="957" t="s">
        <v>1492</v>
      </c>
      <c r="F84" s="957" t="s">
        <v>1493</v>
      </c>
      <c r="G84" s="957" t="s">
        <v>1494</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1769</v>
      </c>
      <c r="C86" s="3441" t="s">
        <v>2854</v>
      </c>
      <c r="D86" s="3441" t="s">
        <v>2856</v>
      </c>
      <c r="E86" s="3441" t="s">
        <v>2857</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1508</v>
      </c>
      <c r="D90" s="946" t="s">
        <v>1496</v>
      </c>
      <c r="E90" s="946" t="s">
        <v>1506</v>
      </c>
      <c r="F90" s="946" t="s">
        <v>1502</v>
      </c>
      <c r="G90" s="946" t="s">
        <v>1859</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t="s">
        <v>2866</v>
      </c>
      <c r="D92" s="946" t="s">
        <v>2869</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130</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1715</v>
      </c>
      <c r="B100" s="933" t="s">
        <v>1773</v>
      </c>
      <c r="C100" s="934" t="s">
        <v>2867</v>
      </c>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1718</v>
      </c>
      <c r="C102" s="957" t="str">
        <f>C103&amp;"(含)"&amp;"-"&amp;D103</f>
        <v>0(含)-100</v>
      </c>
      <c r="D102" s="957" t="str">
        <f t="shared" ref="D102:L102" si="23">D103&amp;"(含)"&amp;"-"&amp;E103</f>
        <v>100(含)-200</v>
      </c>
      <c r="E102" s="957" t="str">
        <f t="shared" si="23"/>
        <v>200(含)-300</v>
      </c>
      <c r="F102" s="957" t="str">
        <f t="shared" si="23"/>
        <v>300(含)-2000</v>
      </c>
      <c r="G102" s="957" t="str">
        <f t="shared" si="23"/>
        <v>2000(含)-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v>2000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G104" si="24">D104-2</f>
        <v>96</v>
      </c>
      <c r="F104" s="937">
        <f t="shared" si="24"/>
        <v>94</v>
      </c>
      <c r="G104" s="937">
        <f t="shared" si="24"/>
        <v>92</v>
      </c>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1719</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1721</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1723</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1774</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100</v>
      </c>
      <c r="E115" s="941">
        <f t="shared" si="29"/>
        <v>100</v>
      </c>
      <c r="F115" s="941">
        <f t="shared" si="29"/>
        <v>100</v>
      </c>
      <c r="G115" s="941">
        <f t="shared" si="29"/>
        <v>100</v>
      </c>
      <c r="H115" s="941">
        <f t="shared" si="29"/>
        <v>100</v>
      </c>
      <c r="I115" s="941">
        <f t="shared" si="29"/>
        <v>100</v>
      </c>
      <c r="J115" s="941">
        <f t="shared" si="29"/>
        <v>100</v>
      </c>
      <c r="K115" s="941">
        <f t="shared" si="29"/>
        <v>100</v>
      </c>
      <c r="L115" s="941">
        <f t="shared" si="29"/>
        <v>100</v>
      </c>
      <c r="M115" s="992">
        <f t="shared" si="29"/>
        <v>100</v>
      </c>
      <c r="N115" s="988"/>
      <c r="O115" s="988"/>
      <c r="P115" s="1284"/>
      <c r="Q115" s="906"/>
      <c r="R115" s="796"/>
      <c r="S115" s="796"/>
      <c r="T115" s="796"/>
      <c r="U115" s="796"/>
      <c r="V115" s="796"/>
      <c r="W115" s="796"/>
      <c r="X115" s="796"/>
      <c r="Y115" s="796"/>
      <c r="Z115" s="796"/>
      <c r="AA115" s="796"/>
      <c r="AB115" s="796"/>
      <c r="AC115" s="796"/>
    </row>
    <row r="116" spans="1:29">
      <c r="A116" s="969"/>
      <c r="B116" s="938" t="s">
        <v>1775</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1776</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1778</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1726</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100</v>
      </c>
      <c r="E123" s="941">
        <f t="shared" si="31"/>
        <v>100</v>
      </c>
      <c r="F123" s="941">
        <f t="shared" si="31"/>
        <v>100</v>
      </c>
      <c r="G123" s="941">
        <f t="shared" si="31"/>
        <v>100</v>
      </c>
      <c r="H123" s="941">
        <f t="shared" si="31"/>
        <v>100</v>
      </c>
      <c r="I123" s="941">
        <f t="shared" si="31"/>
        <v>100</v>
      </c>
      <c r="J123" s="941">
        <f t="shared" si="31"/>
        <v>100</v>
      </c>
      <c r="K123" s="941">
        <f t="shared" si="31"/>
        <v>100</v>
      </c>
      <c r="L123" s="941">
        <f t="shared" si="31"/>
        <v>100</v>
      </c>
      <c r="M123" s="992">
        <f t="shared" si="31"/>
        <v>100</v>
      </c>
      <c r="N123" s="988"/>
      <c r="O123" s="988"/>
      <c r="P123" s="1284"/>
      <c r="Q123" s="906"/>
      <c r="R123" s="796"/>
      <c r="S123" s="796"/>
      <c r="T123" s="796"/>
      <c r="U123" s="796"/>
      <c r="V123" s="796"/>
      <c r="W123" s="796"/>
      <c r="X123" s="796"/>
      <c r="Y123" s="796"/>
      <c r="Z123" s="796"/>
      <c r="AA123" s="796"/>
      <c r="AB123" s="796"/>
      <c r="AC123" s="796"/>
    </row>
    <row r="124" spans="1:29">
      <c r="A124" s="969"/>
      <c r="B124" s="938" t="s">
        <v>1727</v>
      </c>
      <c r="C124" s="957" t="s">
        <v>1490</v>
      </c>
      <c r="D124" s="957" t="s">
        <v>1491</v>
      </c>
      <c r="E124" s="957" t="s">
        <v>1492</v>
      </c>
      <c r="F124" s="957" t="s">
        <v>1493</v>
      </c>
      <c r="G124" s="957" t="s">
        <v>1494</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985</v>
      </c>
      <c r="B1" s="2341"/>
      <c r="C1" s="2342" t="s">
        <v>1085</v>
      </c>
      <c r="D1" s="378"/>
      <c r="E1" s="378"/>
      <c r="F1" s="378"/>
      <c r="G1" s="2343">
        <f>MATCH(B1,'数据-取费表'!A6:A16,0)+5</f>
        <v>7</v>
      </c>
      <c r="H1" s="1327" t="str">
        <f>IF(ISERROR(FIND("住宅",B1)),"非住宅","住宅")</f>
        <v>非住宅</v>
      </c>
    </row>
    <row r="2" spans="1:8" s="368" customFormat="1" ht="18" customHeight="1">
      <c r="A2" s="380" t="s">
        <v>986</v>
      </c>
      <c r="B2" s="2344">
        <f ca="1">ROUND(IF(D2="——",C52/10000,C52/10000-E2),4)</f>
        <v>842.23080000000004</v>
      </c>
      <c r="C2" s="379" t="s">
        <v>987</v>
      </c>
      <c r="D2" s="2345" t="s">
        <v>124</v>
      </c>
      <c r="E2" s="2346" t="e">
        <f ca="1">SUMIF(INDIRECT("'"&amp;G2&amp;"'"&amp;"!A:A"),"承租人权益价值",INDIRECT("'"&amp;G2&amp;"'"&amp;"!c:c"))</f>
        <v>#REF!</v>
      </c>
      <c r="F2" s="2347" t="s">
        <v>987</v>
      </c>
      <c r="G2" s="2348"/>
    </row>
    <row r="3" spans="1:8" s="368" customFormat="1" ht="18" customHeight="1">
      <c r="A3" s="383" t="s">
        <v>988</v>
      </c>
      <c r="B3" s="384">
        <f ca="1">ROUND(B2*10000/(IF(B1="",'数据-汇总表'!E3,INDIRECT("'数据-取费表'!k"&amp;$G$1))),0)</f>
        <v>4550</v>
      </c>
      <c r="C3" s="379" t="s">
        <v>989</v>
      </c>
      <c r="D3" s="379"/>
      <c r="E3" s="379"/>
      <c r="F3" s="379"/>
      <c r="G3" s="379"/>
    </row>
    <row r="4" spans="1:8" s="369" customFormat="1" ht="15.75">
      <c r="A4" s="385" t="s">
        <v>990</v>
      </c>
      <c r="B4" s="386"/>
      <c r="C4" s="386"/>
      <c r="D4" s="386"/>
      <c r="E4" s="386"/>
      <c r="F4" s="386"/>
      <c r="G4" s="387"/>
    </row>
    <row r="5" spans="1:8" s="370" customFormat="1" ht="13.5" customHeight="1">
      <c r="A5" s="388" t="s">
        <v>991</v>
      </c>
      <c r="B5" s="389" t="s">
        <v>992</v>
      </c>
      <c r="C5" s="390">
        <f ca="1">C6+C7+C8</f>
        <v>372607</v>
      </c>
      <c r="D5" s="390" t="s">
        <v>993</v>
      </c>
      <c r="E5" s="391" t="s">
        <v>994</v>
      </c>
      <c r="F5" s="391" t="s">
        <v>891</v>
      </c>
      <c r="G5" s="392"/>
    </row>
    <row r="6" spans="1:8" s="370" customFormat="1" ht="13.5" customHeight="1">
      <c r="A6" s="393" t="s">
        <v>995</v>
      </c>
      <c r="B6" s="394" t="s">
        <v>996</v>
      </c>
      <c r="C6" s="395">
        <f ca="1">收益法!B2</f>
        <v>2309</v>
      </c>
      <c r="D6" s="396"/>
      <c r="E6" s="397"/>
      <c r="F6" s="397"/>
      <c r="G6" s="398"/>
    </row>
    <row r="7" spans="1:8" s="370" customFormat="1" ht="13.5" customHeight="1">
      <c r="A7" s="393" t="s">
        <v>997</v>
      </c>
      <c r="B7" s="394" t="s">
        <v>998</v>
      </c>
      <c r="C7" s="399">
        <f ca="1">ROUND(C6*F7,0)</f>
        <v>70</v>
      </c>
      <c r="D7" s="399"/>
      <c r="E7" s="397"/>
      <c r="F7" s="400">
        <f>IF(项目基本情况!B8="出让",0,'数据-取费表'!B48+'数据-取费表'!B49)</f>
        <v>3.0499999999999999E-2</v>
      </c>
      <c r="G7" s="398"/>
    </row>
    <row r="8" spans="1:8" s="371" customFormat="1">
      <c r="A8" s="393" t="s">
        <v>999</v>
      </c>
      <c r="B8" s="394" t="s">
        <v>1000</v>
      </c>
      <c r="C8" s="399">
        <f ca="1">IF(G8="已包含在土地购买价格中",0,C9+C10)</f>
        <v>370228</v>
      </c>
      <c r="D8" s="401"/>
      <c r="E8" s="399"/>
      <c r="F8" s="400"/>
      <c r="G8" s="2349" t="s">
        <v>1001</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1006</v>
      </c>
      <c r="B10" s="404" t="s">
        <v>1007</v>
      </c>
      <c r="C10" s="405">
        <f ca="1">ROUND(D10*E10,0)</f>
        <v>370228</v>
      </c>
      <c r="D10" s="406">
        <f ca="1">IF(B1="",'数据-汇总表'!E6,IF(INDIRECT("'数据-取费表'!c"&amp;$G$1)="住宅",INDIRECT("'数据-取费表'!s"&amp;$G$1),INDIRECT("'数据-取费表'!k"&amp;$G$1)+INDIRECT("'数据-取费表'!s"&amp;$G$1)))</f>
        <v>1851.14</v>
      </c>
      <c r="E10" s="405">
        <f>'数据-取费表'!B28</f>
        <v>200</v>
      </c>
      <c r="F10" s="400"/>
      <c r="G10" s="407"/>
    </row>
    <row r="11" spans="1:8" s="370" customFormat="1" ht="13.5" hidden="1" customHeight="1">
      <c r="A11" s="408" t="s">
        <v>1008</v>
      </c>
      <c r="B11" s="394" t="s">
        <v>1009</v>
      </c>
      <c r="C11" s="390"/>
      <c r="D11" s="409"/>
      <c r="E11" s="397"/>
      <c r="F11" s="397"/>
      <c r="G11" s="398"/>
    </row>
    <row r="12" spans="1:8" s="370" customFormat="1" ht="13.5" hidden="1" customHeight="1">
      <c r="A12" s="408" t="s">
        <v>1010</v>
      </c>
      <c r="B12" s="394" t="s">
        <v>927</v>
      </c>
      <c r="C12" s="390">
        <v>0</v>
      </c>
      <c r="D12" s="409"/>
      <c r="E12" s="410"/>
      <c r="F12" s="400">
        <v>3.0499999999999999E-2</v>
      </c>
      <c r="G12" s="398"/>
    </row>
    <row r="13" spans="1:8" s="370" customFormat="1" ht="13.5" hidden="1" customHeight="1">
      <c r="A13" s="408" t="s">
        <v>1011</v>
      </c>
      <c r="B13" s="394" t="s">
        <v>1012</v>
      </c>
      <c r="C13" s="390"/>
      <c r="D13" s="409"/>
      <c r="E13" s="397"/>
      <c r="F13" s="397"/>
      <c r="G13" s="398"/>
    </row>
    <row r="14" spans="1:8" s="370" customFormat="1" ht="13.5" hidden="1" customHeight="1">
      <c r="A14" s="408" t="s">
        <v>1013</v>
      </c>
      <c r="B14" s="394" t="s">
        <v>1000</v>
      </c>
      <c r="C14" s="390"/>
      <c r="D14" s="409"/>
      <c r="E14" s="397"/>
      <c r="F14" s="397"/>
      <c r="G14" s="398" t="s">
        <v>1014</v>
      </c>
    </row>
    <row r="15" spans="1:8" s="370" customFormat="1" ht="13.5" hidden="1" customHeight="1">
      <c r="A15" s="408" t="s">
        <v>1015</v>
      </c>
      <c r="B15" s="394" t="s">
        <v>1016</v>
      </c>
      <c r="C15" s="399"/>
      <c r="D15" s="409"/>
      <c r="E15" s="397"/>
      <c r="F15" s="397"/>
      <c r="G15" s="398" t="s">
        <v>1017</v>
      </c>
    </row>
    <row r="16" spans="1:8"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IF(G19="已包含在土地取得成本中","0",ROUND(D19*E19,0))</f>
        <v>0</v>
      </c>
      <c r="D19" s="414">
        <f ca="1">D9+D10</f>
        <v>1851.14</v>
      </c>
      <c r="E19" s="390">
        <f>'数据-取费表'!B31</f>
        <v>200</v>
      </c>
      <c r="F19" s="415"/>
      <c r="G19" s="2349" t="s">
        <v>1026</v>
      </c>
    </row>
    <row r="20" spans="1:7" s="370" customFormat="1" ht="13.5" customHeight="1">
      <c r="A20" s="388" t="s">
        <v>1027</v>
      </c>
      <c r="B20" s="389" t="s">
        <v>1028</v>
      </c>
      <c r="C20" s="416">
        <f ca="1">ROUND((C5+C19)*F20,0)</f>
        <v>7452</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2350">
        <f ca="1">ROUND(SUM(C23:C25),0)</f>
        <v>12607</v>
      </c>
      <c r="D22" s="419">
        <f ca="1">C26</f>
        <v>2.9999999999999997E-4</v>
      </c>
      <c r="E22" s="420" t="s">
        <v>1032</v>
      </c>
      <c r="F22" s="423">
        <f ca="1">'数据-取费表'!B40</f>
        <v>3.3500000000000002E-2</v>
      </c>
      <c r="G22" s="421" t="str">
        <f>IF('数据-取费表'!B22&lt;=1,"单利计息","复利计息")</f>
        <v>单利计息</v>
      </c>
    </row>
    <row r="23" spans="1:7" s="370" customFormat="1" ht="13.5" customHeight="1">
      <c r="A23" s="424" t="s">
        <v>995</v>
      </c>
      <c r="B23" s="394" t="s">
        <v>1036</v>
      </c>
      <c r="C23" s="2351">
        <f ca="1">ROUND(IF('数据-取费表'!B22&lt;=1,C5*F22*'数据-取费表'!B22,C5*(POWER((1+F22),'数据-取费表'!B22)-1)),0)</f>
        <v>12482</v>
      </c>
      <c r="D23" s="426"/>
      <c r="E23" s="426"/>
      <c r="F23" s="427"/>
      <c r="G23" s="428" t="s">
        <v>1037</v>
      </c>
    </row>
    <row r="24" spans="1:7" s="370" customFormat="1" ht="13.5" customHeight="1">
      <c r="A24" s="424" t="s">
        <v>997</v>
      </c>
      <c r="B24" s="394" t="s">
        <v>1038</v>
      </c>
      <c r="C24" s="2351">
        <f ca="1">ROUND(IF('数据-取费表'!B22&lt;=1,C19*F22*('数据-取费表'!B19/2+'数据-取费表'!B20),C19*(POWER((1+F22),('数据-取费表'!B19/2+'数据-取费表'!B20))-1)),0)</f>
        <v>0</v>
      </c>
      <c r="D24" s="426"/>
      <c r="E24" s="426"/>
      <c r="F24" s="427"/>
      <c r="G24" s="428" t="s">
        <v>1039</v>
      </c>
    </row>
    <row r="25" spans="1:7" s="370" customFormat="1" ht="24">
      <c r="A25" s="424" t="s">
        <v>999</v>
      </c>
      <c r="B25" s="394" t="s">
        <v>1040</v>
      </c>
      <c r="C25" s="2351">
        <f ca="1">ROUND(IF('数据-取费表'!B22&lt;=1,C20*F22*'数据-取费表'!B22/2,C20*(POWER((1+F22),'数据-取费表'!B22/2)-1)),0)</f>
        <v>125</v>
      </c>
      <c r="D25" s="426"/>
      <c r="E25" s="429"/>
      <c r="F25" s="427"/>
      <c r="G25" s="430" t="s">
        <v>1041</v>
      </c>
    </row>
    <row r="26" spans="1:7" s="370" customFormat="1">
      <c r="A26" s="424" t="s">
        <v>1042</v>
      </c>
      <c r="B26" s="394" t="s">
        <v>1043</v>
      </c>
      <c r="C26" s="426">
        <f ca="1">ROUND(IF('数据-取费表'!B22&lt;=1,F21*F22*'数据-取费表'!B22/2,F21*(POWER((1+F22),'数据-取费表'!B22/2)-1)),4)</f>
        <v>2.9999999999999997E-4</v>
      </c>
      <c r="D26" s="426"/>
      <c r="E26" s="429"/>
      <c r="F26" s="427"/>
      <c r="G26" s="431"/>
    </row>
    <row r="27" spans="1:7" s="370" customFormat="1" ht="24.75">
      <c r="A27" s="388" t="s">
        <v>1044</v>
      </c>
      <c r="B27" s="432" t="s">
        <v>1045</v>
      </c>
      <c r="C27" s="433">
        <f ca="1">C28</f>
        <v>76012</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ROUND((C5+C19+C20)*F27,0)</f>
        <v>76012</v>
      </c>
      <c r="D28" s="419"/>
      <c r="E28" s="420"/>
      <c r="F28" s="434"/>
      <c r="G28" s="435"/>
    </row>
    <row r="29" spans="1:7" s="370" customFormat="1" ht="13.5" customHeight="1">
      <c r="A29" s="424" t="s">
        <v>997</v>
      </c>
      <c r="B29" s="436" t="s">
        <v>1048</v>
      </c>
      <c r="C29" s="426">
        <f ca="1">ROUND(C21*F27,4)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508107</v>
      </c>
      <c r="D31" s="439"/>
      <c r="E31" s="390"/>
      <c r="F31" s="440"/>
      <c r="G31" s="421" t="s">
        <v>1053</v>
      </c>
    </row>
    <row r="32" spans="1:7" s="369" customFormat="1" ht="15.75">
      <c r="A32" s="441" t="s">
        <v>1086</v>
      </c>
      <c r="B32" s="442"/>
      <c r="C32" s="442"/>
      <c r="D32" s="442"/>
      <c r="E32" s="442"/>
      <c r="F32" s="442"/>
      <c r="G32" s="443"/>
    </row>
    <row r="33" spans="1:7" s="370" customFormat="1" ht="13.5" customHeight="1">
      <c r="A33" s="388" t="s">
        <v>991</v>
      </c>
      <c r="B33" s="389" t="s">
        <v>1087</v>
      </c>
      <c r="C33" s="444">
        <f ca="1">SUM(C34:C38)</f>
        <v>7173168</v>
      </c>
      <c r="D33" s="416"/>
      <c r="E33" s="391"/>
      <c r="F33" s="429"/>
      <c r="G33" s="421"/>
    </row>
    <row r="34" spans="1:7" s="372" customFormat="1" ht="13.5" customHeight="1">
      <c r="A34" s="424" t="s">
        <v>995</v>
      </c>
      <c r="B34" s="394" t="s">
        <v>1056</v>
      </c>
      <c r="C34" s="399">
        <f ca="1">ROUND(IF(B1="",SUMPRODUCT('数据-取费表'!K6:K14,'数据-取费表'!L6:L14),INDIRECT("'数据-取费表'!l"&amp;$G$1)*INDIRECT("'数据-取费表'!k"&amp;$G$1)+'数据-取费表'!L14*INDIRECT("'数据-取费表'!S"&amp;$G$1)),0)</f>
        <v>6478990</v>
      </c>
      <c r="D34" s="396"/>
      <c r="E34" s="399"/>
      <c r="F34" s="445"/>
      <c r="G34" s="398"/>
    </row>
    <row r="35" spans="1:7" ht="13.5" customHeight="1">
      <c r="A35" s="424" t="s">
        <v>997</v>
      </c>
      <c r="B35" s="394" t="s">
        <v>1058</v>
      </c>
      <c r="C35" s="399">
        <f ca="1">ROUND(C34*F35,0)</f>
        <v>194370</v>
      </c>
      <c r="D35" s="399"/>
      <c r="E35" s="399"/>
      <c r="F35" s="446">
        <f>'数据-取费表'!B33</f>
        <v>0.03</v>
      </c>
      <c r="G35" s="398" t="s">
        <v>1059</v>
      </c>
    </row>
    <row r="36" spans="1:7" ht="24">
      <c r="A36" s="424" t="s">
        <v>999</v>
      </c>
      <c r="B36" s="394" t="s">
        <v>1060</v>
      </c>
      <c r="C36" s="399">
        <f ca="1">ROUND(IF(B1="",SUM('数据-取费表'!AP6:AP13)*F36,IF(INDIRECT("'数据-取费表'!c"&amp;$G$1)="住宅",INDIRECT("'数据-取费表'!k"&amp;$G$1)*INDIRECT("'数据-取费表'!l"&amp;$G$1)*F36,0)),0)</f>
        <v>0</v>
      </c>
      <c r="D36" s="399"/>
      <c r="E36" s="399"/>
      <c r="F36" s="446">
        <f>'数据-取费表'!B34</f>
        <v>0</v>
      </c>
      <c r="G36" s="447" t="s">
        <v>1061</v>
      </c>
    </row>
    <row r="37" spans="1:7" s="372" customFormat="1" ht="13.5" customHeight="1">
      <c r="A37" s="424" t="s">
        <v>1042</v>
      </c>
      <c r="B37" s="394" t="s">
        <v>1062</v>
      </c>
      <c r="C37" s="437">
        <f ca="1">ROUND(E37*D37,0)</f>
        <v>370228</v>
      </c>
      <c r="D37" s="396">
        <f ca="1">D19</f>
        <v>1851.14</v>
      </c>
      <c r="E37" s="437">
        <f>'数据-取费表'!B35</f>
        <v>200</v>
      </c>
      <c r="F37" s="446"/>
      <c r="G37" s="448"/>
    </row>
    <row r="38" spans="1:7" ht="13.5" customHeight="1">
      <c r="A38" s="424" t="s">
        <v>1064</v>
      </c>
      <c r="B38" s="394" t="s">
        <v>927</v>
      </c>
      <c r="C38" s="399">
        <f ca="1">ROUND(C34*F38,0)</f>
        <v>129580</v>
      </c>
      <c r="D38" s="399"/>
      <c r="E38" s="399"/>
      <c r="F38" s="446">
        <f>'数据-取费表'!B36</f>
        <v>0.02</v>
      </c>
      <c r="G38" s="398" t="s">
        <v>1059</v>
      </c>
    </row>
    <row r="39" spans="1:7" s="370" customFormat="1" ht="13.5" customHeight="1">
      <c r="A39" s="388" t="s">
        <v>1024</v>
      </c>
      <c r="B39" s="389" t="s">
        <v>1028</v>
      </c>
      <c r="C39" s="416">
        <f ca="1">ROUND(C33*F20,0)</f>
        <v>143463</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122554</v>
      </c>
      <c r="D41" s="419">
        <f ca="1">C44</f>
        <v>2.9999999999999997E-4</v>
      </c>
      <c r="E41" s="420" t="s">
        <v>1066</v>
      </c>
      <c r="F41" s="423">
        <f ca="1">F22</f>
        <v>3.3500000000000002E-2</v>
      </c>
      <c r="G41" s="421" t="str">
        <f>IF('数据-取费表'!B22&lt;=1,"单利计息","复利计息")</f>
        <v>单利计息</v>
      </c>
    </row>
    <row r="42" spans="1:7" ht="13.5" customHeight="1">
      <c r="A42" s="424" t="s">
        <v>995</v>
      </c>
      <c r="B42" s="394" t="s">
        <v>1036</v>
      </c>
      <c r="C42" s="426">
        <f ca="1">ROUND(IF('数据-取费表'!B22&lt;=1,C33*F22*'数据-取费表'!B20/2,C33*(POWER((1+F22),'数据-取费表'!B20/2)-1)),0)</f>
        <v>120151</v>
      </c>
      <c r="D42" s="426"/>
      <c r="E42" s="426"/>
      <c r="F42" s="427"/>
      <c r="G42" s="3630" t="s">
        <v>1088</v>
      </c>
    </row>
    <row r="43" spans="1:7" ht="13.5" customHeight="1">
      <c r="A43" s="424" t="s">
        <v>997</v>
      </c>
      <c r="B43" s="394" t="s">
        <v>1038</v>
      </c>
      <c r="C43" s="426">
        <f ca="1">ROUND(IF('数据-取费表'!B22&lt;=1,C39*F22*'数据-取费表'!B20/2,C39*(POWER((1+F22),'数据-取费表'!B20/2)-1)),0)</f>
        <v>2403</v>
      </c>
      <c r="D43" s="426"/>
      <c r="E43" s="426"/>
      <c r="F43" s="427"/>
      <c r="G43" s="3631"/>
    </row>
    <row r="44" spans="1:7" ht="13.5" customHeight="1">
      <c r="A44" s="424" t="s">
        <v>999</v>
      </c>
      <c r="B44" s="394" t="s">
        <v>1040</v>
      </c>
      <c r="C44" s="426">
        <f ca="1">ROUND(IF('数据-取费表'!B22&lt;=1,C40*F22*'数据-取费表'!B20/2,C40*(POWER((1+F22),'数据-取费表'!B20/2)-1)),4)</f>
        <v>2.9999999999999997E-4</v>
      </c>
      <c r="D44" s="426"/>
      <c r="E44" s="426"/>
      <c r="F44" s="427"/>
      <c r="G44" s="3632"/>
    </row>
    <row r="45" spans="1:7" s="370" customFormat="1" ht="13.5" customHeight="1">
      <c r="A45" s="388" t="s">
        <v>1034</v>
      </c>
      <c r="B45" s="432" t="s">
        <v>1045</v>
      </c>
      <c r="C45" s="433">
        <f ca="1">C46</f>
        <v>1463326</v>
      </c>
      <c r="D45" s="419">
        <f ca="1">C47</f>
        <v>4.0000000000000001E-3</v>
      </c>
      <c r="E45" s="420" t="s">
        <v>1066</v>
      </c>
      <c r="F45" s="434">
        <f ca="1">F27</f>
        <v>0.2</v>
      </c>
      <c r="G45" s="435" t="s">
        <v>1069</v>
      </c>
    </row>
    <row r="46" spans="1:7" s="370" customFormat="1" ht="13.5" customHeight="1">
      <c r="A46" s="424" t="s">
        <v>995</v>
      </c>
      <c r="B46" s="436" t="s">
        <v>1070</v>
      </c>
      <c r="C46" s="437">
        <f ca="1">ROUND((C33+C39)*F27,0)</f>
        <v>1463326</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449">
        <f>ROUND(F30/(1+'数据-取费表'!C42),4)</f>
        <v>5.33E-2</v>
      </c>
      <c r="D48" s="420" t="s">
        <v>1066</v>
      </c>
      <c r="E48" s="416"/>
      <c r="F48" s="423">
        <f>F30</f>
        <v>5.6000000000000001E-2</v>
      </c>
      <c r="G48" s="421" t="s">
        <v>1072</v>
      </c>
    </row>
    <row r="49" spans="1:7" ht="16.5" customHeight="1">
      <c r="A49" s="388" t="s">
        <v>1049</v>
      </c>
      <c r="B49" s="389" t="s">
        <v>1089</v>
      </c>
      <c r="C49" s="416">
        <f ca="1">ROUND((C33+C39+C41+C45)/(1-C40-D41-D45-C48),0)</f>
        <v>9651465</v>
      </c>
      <c r="D49" s="416"/>
      <c r="E49" s="416"/>
      <c r="F49" s="451"/>
      <c r="G49" s="421" t="s">
        <v>1074</v>
      </c>
    </row>
    <row r="50" spans="1:7" s="372" customFormat="1">
      <c r="A50" s="388" t="s">
        <v>1075</v>
      </c>
      <c r="B50" s="389" t="s">
        <v>1076</v>
      </c>
      <c r="C50" s="416"/>
      <c r="D50" s="416"/>
      <c r="E50" s="416"/>
      <c r="F50" s="451">
        <f>IF('数据-取费表'!B24=0,'数据-取费表'!N16,1)</f>
        <v>0.82</v>
      </c>
      <c r="G50" s="435"/>
    </row>
    <row r="51" spans="1:7" ht="16.5" customHeight="1">
      <c r="A51" s="388" t="s">
        <v>1078</v>
      </c>
      <c r="B51" s="389" t="s">
        <v>1090</v>
      </c>
      <c r="C51" s="416">
        <f ca="1">ROUND(C49*F50,0)</f>
        <v>7914201</v>
      </c>
      <c r="D51" s="416"/>
      <c r="E51" s="416"/>
      <c r="F51" s="451"/>
      <c r="G51" s="421" t="s">
        <v>1080</v>
      </c>
    </row>
    <row r="52" spans="1:7" s="369" customFormat="1" ht="15.75">
      <c r="A52" s="452" t="s">
        <v>1081</v>
      </c>
      <c r="B52" s="453"/>
      <c r="C52" s="454">
        <f ca="1">C31+C51</f>
        <v>8422308</v>
      </c>
      <c r="D52" s="453"/>
      <c r="E52" s="453"/>
      <c r="F52" s="453"/>
      <c r="G52" s="455"/>
    </row>
    <row r="55" spans="1:7" ht="15">
      <c r="B55" s="456" t="s">
        <v>1082</v>
      </c>
      <c r="C55" s="457"/>
    </row>
    <row r="56" spans="1:7">
      <c r="B56" s="458" t="s">
        <v>1083</v>
      </c>
      <c r="C56" s="460">
        <f ca="1">1-C57</f>
        <v>6.0000000000000053E-2</v>
      </c>
    </row>
    <row r="57" spans="1:7">
      <c r="B57" s="458" t="s">
        <v>1084</v>
      </c>
      <c r="C57" s="459">
        <f ca="1">ROUND(C51/C52,3)</f>
        <v>0.94</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1091</v>
      </c>
      <c r="B1" s="1685"/>
      <c r="C1" s="2257"/>
      <c r="D1" s="2258"/>
      <c r="E1" s="2259"/>
      <c r="F1" s="2259"/>
      <c r="G1" s="2260"/>
      <c r="H1" s="2259"/>
      <c r="I1" s="2259"/>
      <c r="J1" s="2259"/>
      <c r="K1" s="2328">
        <f>MATCH(C1,'数据-取费表'!A6:A16,0)+5</f>
        <v>7</v>
      </c>
    </row>
    <row r="2" spans="1:33" ht="18" customHeight="1">
      <c r="A2" s="380" t="s">
        <v>986</v>
      </c>
      <c r="B2" s="384">
        <f ca="1">C32</f>
        <v>0</v>
      </c>
      <c r="C2" s="2261" t="s">
        <v>1092</v>
      </c>
      <c r="D2" s="2261"/>
      <c r="E2" s="2259"/>
      <c r="F2" s="2259"/>
      <c r="G2" s="2259"/>
      <c r="H2" s="2259"/>
      <c r="I2" s="2259"/>
      <c r="J2" s="2259"/>
      <c r="K2" s="2259"/>
    </row>
    <row r="3" spans="1:33" ht="18" customHeight="1">
      <c r="A3" s="383" t="s">
        <v>988</v>
      </c>
      <c r="B3" s="384">
        <f ca="1">ROUND(B2*10000/IF(C1="",'数据-汇总表'!E3,INDIRECT("'数据-取费表'!K"&amp;$K$1)),0)</f>
        <v>0</v>
      </c>
      <c r="C3" s="2261" t="s">
        <v>1093</v>
      </c>
      <c r="D3" s="2261"/>
      <c r="E3" s="2259"/>
      <c r="F3" s="2259"/>
      <c r="G3" s="2259"/>
      <c r="H3" s="2259"/>
      <c r="I3" s="2259"/>
      <c r="J3" s="2259"/>
      <c r="K3" s="2259"/>
    </row>
    <row r="4" spans="1:33" s="2246" customFormat="1" ht="16.5" customHeight="1">
      <c r="A4" s="2262" t="s">
        <v>1094</v>
      </c>
      <c r="B4" s="2263"/>
      <c r="C4" s="2264">
        <f>SUM(C8:K8)</f>
        <v>0</v>
      </c>
      <c r="D4" s="2263"/>
      <c r="E4" s="2263"/>
      <c r="F4" s="2263"/>
      <c r="G4" s="2263"/>
      <c r="H4" s="2263"/>
      <c r="I4" s="2263"/>
      <c r="J4" s="2263"/>
      <c r="K4" s="2329"/>
    </row>
    <row r="5" spans="1:33" s="2247" customFormat="1" ht="15">
      <c r="A5" s="2265" t="s">
        <v>1095</v>
      </c>
      <c r="B5" s="2266" t="s">
        <v>1096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896</v>
      </c>
      <c r="B6" s="1648" t="s">
        <v>1097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900</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945</v>
      </c>
      <c r="B8" s="2272" t="s">
        <v>1098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1099</v>
      </c>
      <c r="B9" s="2263"/>
      <c r="C9" s="2263"/>
      <c r="D9" s="2263"/>
      <c r="E9" s="2263"/>
      <c r="F9" s="2263"/>
      <c r="G9" s="2263"/>
      <c r="H9" s="2263"/>
      <c r="I9" s="2263"/>
      <c r="J9" s="2263"/>
      <c r="K9" s="2329"/>
    </row>
    <row r="10" spans="1:33" s="2249" customFormat="1" ht="13.5" customHeight="1">
      <c r="A10" s="2265" t="s">
        <v>1095</v>
      </c>
      <c r="B10" s="2275" t="s">
        <v>1096</v>
      </c>
      <c r="C10" s="2276" t="s">
        <v>1100</v>
      </c>
      <c r="D10" s="2277" t="s">
        <v>1101</v>
      </c>
      <c r="E10" s="2277" t="s">
        <v>1102</v>
      </c>
      <c r="F10" s="2277" t="s">
        <v>1103</v>
      </c>
      <c r="G10" s="2275"/>
      <c r="H10" s="2278"/>
      <c r="I10" s="2278"/>
      <c r="J10" s="2278"/>
      <c r="K10" s="2335"/>
    </row>
    <row r="11" spans="1:33" s="2250" customFormat="1" ht="13.5" customHeight="1">
      <c r="A11" s="2279" t="s">
        <v>1002</v>
      </c>
      <c r="B11" s="2280" t="s">
        <v>1104</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1006</v>
      </c>
      <c r="B12" s="2280" t="s">
        <v>1105</v>
      </c>
      <c r="C12" s="615">
        <f ca="1">ROUND(C11*F12,0)</f>
        <v>0</v>
      </c>
      <c r="D12" s="2282"/>
      <c r="E12" s="1651"/>
      <c r="F12" s="2283">
        <f>'数据-取费表'!B33</f>
        <v>0.03</v>
      </c>
      <c r="G12" s="2275" t="s">
        <v>1106</v>
      </c>
      <c r="H12" s="2278"/>
      <c r="I12" s="2278"/>
      <c r="J12" s="2278"/>
      <c r="K12" s="2335"/>
    </row>
    <row r="13" spans="1:33" s="2250" customFormat="1" ht="13.5" customHeight="1">
      <c r="A13" s="2279" t="s">
        <v>1107</v>
      </c>
      <c r="B13" s="2280" t="s">
        <v>1108</v>
      </c>
      <c r="C13" s="615">
        <f ca="1">ROUND(IF(C1="",SUMIF('数据-取费表'!C:C,"住宅",'数据-取费表'!P:P)*F13,IF(INDIRECT("'数据-取费表'!c"&amp;$K$1)="住宅",INDIRECT("'数据-取费表'!P"&amp;$K$1)*F13,0)),0)</f>
        <v>0</v>
      </c>
      <c r="D13" s="2284"/>
      <c r="E13" s="1651"/>
      <c r="F13" s="2283">
        <f>'数据-取费表'!B34</f>
        <v>0</v>
      </c>
      <c r="G13" s="2275" t="s">
        <v>1109</v>
      </c>
      <c r="H13" s="2278"/>
      <c r="I13" s="2278"/>
      <c r="J13" s="2278"/>
      <c r="K13" s="2335"/>
    </row>
    <row r="14" spans="1:33" s="2251" customFormat="1" ht="13.5" customHeight="1">
      <c r="A14" s="2279" t="s">
        <v>1110</v>
      </c>
      <c r="B14" s="2280" t="s">
        <v>1111</v>
      </c>
      <c r="C14" s="615">
        <f ca="1">ROUND(D14*E14*F11/10000,0)</f>
        <v>0</v>
      </c>
      <c r="D14" s="2284">
        <f ca="1">IF(C1="",'数据-汇总表'!E3,INDIRECT("'数据-取费表'!K"&amp;$K$1)+INDIRECT("'数据-取费表'!S"&amp;$K$1))</f>
        <v>1851.14</v>
      </c>
      <c r="E14" s="615">
        <f>'数据-取费表'!B35</f>
        <v>200</v>
      </c>
      <c r="F14" s="2285"/>
      <c r="G14" s="2275" t="s">
        <v>1112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1113</v>
      </c>
      <c r="B15" s="2280" t="s">
        <v>1114</v>
      </c>
      <c r="C15" s="2286">
        <f ca="1">ROUND(C11*F15,0)</f>
        <v>0</v>
      </c>
      <c r="D15" s="2287"/>
      <c r="E15" s="2286"/>
      <c r="F15" s="2283">
        <f>'数据-取费表'!B36</f>
        <v>0.02</v>
      </c>
      <c r="G15" s="1648" t="s">
        <v>1115</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919</v>
      </c>
      <c r="B16" s="2280" t="s">
        <v>1116</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923</v>
      </c>
      <c r="B17" s="2280" t="s">
        <v>1117</v>
      </c>
      <c r="C17" s="615">
        <f ca="1">ROUND(D17*E17/10000,0)</f>
        <v>0</v>
      </c>
      <c r="D17" s="2284">
        <f ca="1">D14</f>
        <v>1851.14</v>
      </c>
      <c r="E17" s="615">
        <f>'数据-取费表'!B32</f>
        <v>0</v>
      </c>
      <c r="F17" s="2287"/>
      <c r="G17" s="1648" t="s">
        <v>1118</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1119</v>
      </c>
      <c r="B18" s="2280" t="s">
        <v>1120</v>
      </c>
      <c r="C18" s="615">
        <f ca="1">C19+C20-IF(C1="",'数据-取费表'!B29,IF(G18="已全部缴纳",C19+C20,H18))</f>
        <v>0</v>
      </c>
      <c r="D18" s="2284"/>
      <c r="E18" s="615"/>
      <c r="F18" s="2285"/>
      <c r="G18" s="2289"/>
      <c r="H18" s="2290"/>
      <c r="I18" s="2336" t="s">
        <v>1121</v>
      </c>
      <c r="J18" s="1763"/>
      <c r="K18" s="1764"/>
    </row>
    <row r="19" spans="1:33" s="2250" customFormat="1" ht="13.5" customHeight="1">
      <c r="A19" s="2279" t="s">
        <v>1002</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1006</v>
      </c>
      <c r="B20" s="2280" t="s">
        <v>1122</v>
      </c>
      <c r="C20" s="615">
        <f ca="1">ROUND(D20*E20/10000,0)</f>
        <v>37</v>
      </c>
      <c r="D20" s="2284">
        <f ca="1">IF(C1="",'数据-汇总表'!E6,IF(INDIRECT("'数据-取费表'!c"&amp;$K$1)="住宅",INDIRECT("'数据-取费表'!s"&amp;$K$1),INDIRECT("'数据-取费表'!k"&amp;$K$1)+INDIRECT("'数据-取费表'!s"&amp;$K$1)))</f>
        <v>1851.14</v>
      </c>
      <c r="E20" s="615">
        <f>'数据-取费表'!B28</f>
        <v>200</v>
      </c>
      <c r="F20" s="2285"/>
      <c r="G20" s="1762"/>
      <c r="H20" s="2292"/>
      <c r="I20" s="2292"/>
      <c r="J20" s="2292"/>
      <c r="K20" s="2337"/>
    </row>
    <row r="21" spans="1:33" s="2250" customFormat="1" ht="13.5" customHeight="1">
      <c r="A21" s="2268" t="s">
        <v>896</v>
      </c>
      <c r="B21" s="2293" t="s">
        <v>1123</v>
      </c>
      <c r="C21" s="2294">
        <f ca="1">C16+C17+C18</f>
        <v>0</v>
      </c>
      <c r="D21" s="2295"/>
      <c r="E21" s="2296"/>
      <c r="F21" s="2296"/>
      <c r="G21" s="1648" t="s">
        <v>1124</v>
      </c>
      <c r="H21" s="1763"/>
      <c r="I21" s="1763"/>
      <c r="J21" s="1763"/>
      <c r="K21" s="1764"/>
    </row>
    <row r="22" spans="1:33" s="2250" customFormat="1" ht="13.5" customHeight="1">
      <c r="A22" s="2268" t="s">
        <v>900</v>
      </c>
      <c r="B22" s="2293" t="s">
        <v>1125</v>
      </c>
      <c r="C22" s="2294">
        <f ca="1">ROUND(C21*F22,0)</f>
        <v>0</v>
      </c>
      <c r="D22" s="2296"/>
      <c r="E22" s="2296"/>
      <c r="F22" s="2297">
        <f>'数据-取费表'!B37</f>
        <v>0.02</v>
      </c>
      <c r="G22" s="2275" t="s">
        <v>1126</v>
      </c>
      <c r="H22" s="2278"/>
      <c r="I22" s="2278"/>
      <c r="J22" s="2278"/>
      <c r="K22" s="2335"/>
    </row>
    <row r="23" spans="1:33" s="2250" customFormat="1" ht="13.5" customHeight="1">
      <c r="A23" s="2268" t="s">
        <v>945</v>
      </c>
      <c r="B23" s="2293" t="s">
        <v>1127</v>
      </c>
      <c r="C23" s="2294">
        <f ca="1">ROUND(C4*F23*F11,0)</f>
        <v>0</v>
      </c>
      <c r="D23" s="2296"/>
      <c r="E23" s="2296"/>
      <c r="F23" s="2297">
        <f>'数据-取费表'!B38</f>
        <v>0.02</v>
      </c>
      <c r="G23" s="2275" t="s">
        <v>1128</v>
      </c>
      <c r="H23" s="2278"/>
      <c r="I23" s="2278"/>
      <c r="J23" s="2278"/>
      <c r="K23" s="2335"/>
    </row>
    <row r="24" spans="1:33" s="2250" customFormat="1" ht="13.5" customHeight="1">
      <c r="A24" s="2268" t="s">
        <v>948</v>
      </c>
      <c r="B24" s="2293" t="s">
        <v>1129</v>
      </c>
      <c r="C24" s="2298">
        <f>ROUND(F24/(1+'数据-取费表'!C42),4)</f>
        <v>2.9000000000000001E-2</v>
      </c>
      <c r="D24" s="2296" t="s">
        <v>1130</v>
      </c>
      <c r="E24" s="2296"/>
      <c r="F24" s="2297">
        <f>IF(项目基本情况!B8="出让",0,'数据-取费表'!B48+'数据-取费表'!B49)</f>
        <v>3.0499999999999999E-2</v>
      </c>
      <c r="G24" s="2275" t="s">
        <v>1131</v>
      </c>
      <c r="H24" s="2299"/>
      <c r="I24" s="2299"/>
      <c r="J24" s="2299"/>
      <c r="K24" s="2338"/>
    </row>
    <row r="25" spans="1:33" s="2250" customFormat="1" ht="13.5" customHeight="1">
      <c r="A25" s="2268" t="s">
        <v>952</v>
      </c>
      <c r="B25" s="2295" t="s">
        <v>1132</v>
      </c>
      <c r="C25" s="2300">
        <f ca="1">C27</f>
        <v>0</v>
      </c>
      <c r="D25" s="2298">
        <f ca="1">C26</f>
        <v>0</v>
      </c>
      <c r="E25" s="2301" t="s">
        <v>1130</v>
      </c>
      <c r="F25" s="2302">
        <f ca="1">'数据-取费表'!B40</f>
        <v>3.3500000000000002E-2</v>
      </c>
      <c r="G25" s="1648" t="str">
        <f>IF('数据-取费表'!B22&lt;=1,"单利计息。","复利计息。")&amp;"后续开发成本、管理费用及销售费用产生的利息。"</f>
        <v>单利计息。后续开发成本、管理费用及销售费用产生的利息。</v>
      </c>
      <c r="H25" s="2299"/>
      <c r="I25" s="2299"/>
      <c r="J25" s="2299"/>
      <c r="K25" s="2338"/>
    </row>
    <row r="26" spans="1:33" s="2252" customFormat="1" ht="13.5" customHeight="1">
      <c r="A26" s="2279" t="s">
        <v>919</v>
      </c>
      <c r="B26" s="2303" t="s">
        <v>1133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（(1)+取得税费率/(1+5%)）×年利率×建设期</v>
      </c>
      <c r="H26" s="1763"/>
      <c r="I26" s="1763"/>
      <c r="J26" s="1763"/>
      <c r="K26" s="1764"/>
    </row>
    <row r="27" spans="1:33" s="2252" customFormat="1" ht="13.5" customHeight="1">
      <c r="A27" s="2279" t="s">
        <v>923</v>
      </c>
      <c r="B27" s="2303" t="s">
        <v>1134</v>
      </c>
      <c r="C27" s="2309">
        <f ca="1">ROUND(IF('数据-取费表'!B22&lt;=1,(C21+C22+C23)*F25*'数据-取费表'!B24/2,(C21+C22+C23)*(POWER((1+F25),'数据-取费表'!B24/2)-1)),0)</f>
        <v>0</v>
      </c>
      <c r="D27" s="2305"/>
      <c r="E27" s="2306"/>
      <c r="F27" s="2307"/>
      <c r="G27" s="2308" t="str">
        <f>IF('数据-取费表'!B22&lt;=1,"（1）-（3）项×年利率×建设期÷2","（1）-（3）项×((1+年利率)^(建设期÷2)-1)")</f>
        <v>（1）-（3）项×年利率×建设期÷2</v>
      </c>
      <c r="H27" s="1763"/>
      <c r="I27" s="1763"/>
      <c r="J27" s="1763"/>
      <c r="K27" s="1764"/>
    </row>
    <row r="28" spans="1:33" s="2253" customFormat="1" ht="13.5" customHeight="1">
      <c r="A28" s="2268" t="s">
        <v>953</v>
      </c>
      <c r="B28" s="2310" t="s">
        <v>1135</v>
      </c>
      <c r="C28" s="2311">
        <f ca="1">C30</f>
        <v>0</v>
      </c>
      <c r="D28" s="2298">
        <f ca="1">C29</f>
        <v>0</v>
      </c>
      <c r="E28" s="2301" t="s">
        <v>1130</v>
      </c>
      <c r="F28" s="919">
        <f ca="1">IF(C1="",'数据-取费表'!Q16,INDIRECT("'数据-取费表'!q"&amp;$K$1))</f>
        <v>0.2</v>
      </c>
      <c r="G28" s="2312"/>
      <c r="H28" s="2299"/>
      <c r="I28" s="2299"/>
      <c r="J28" s="2299"/>
      <c r="K28" s="2338"/>
    </row>
    <row r="29" spans="1:33" s="2254" customFormat="1" ht="13.5" customHeight="1">
      <c r="A29" s="2279" t="s">
        <v>919</v>
      </c>
      <c r="B29" s="2313" t="s">
        <v>1136</v>
      </c>
      <c r="C29" s="2305">
        <f ca="1">ROUND((1+C24)*F28*'数据-取费表'!B24/'数据-取费表'!B20,4)</f>
        <v>0</v>
      </c>
      <c r="D29" s="2305"/>
      <c r="E29" s="2306"/>
      <c r="F29" s="2314"/>
      <c r="G29" s="1648" t="s">
        <v>1137</v>
      </c>
      <c r="H29" s="1763"/>
      <c r="I29" s="1763"/>
      <c r="J29" s="1763"/>
      <c r="K29" s="1764"/>
    </row>
    <row r="30" spans="1:33" s="2254" customFormat="1" ht="13.5" customHeight="1">
      <c r="A30" s="2279" t="s">
        <v>923</v>
      </c>
      <c r="B30" s="2313" t="s">
        <v>1138</v>
      </c>
      <c r="C30" s="2315">
        <f ca="1">ROUND((C21+C22+C23)*F28,0)</f>
        <v>0</v>
      </c>
      <c r="D30" s="2305"/>
      <c r="E30" s="2306"/>
      <c r="F30" s="2314"/>
      <c r="G30" s="1648"/>
      <c r="H30" s="1763"/>
      <c r="I30" s="1763"/>
      <c r="J30" s="1763"/>
      <c r="K30" s="1764"/>
    </row>
    <row r="31" spans="1:33" s="2250" customFormat="1" ht="13.5" customHeight="1">
      <c r="A31" s="2316" t="s">
        <v>1139</v>
      </c>
      <c r="B31" s="2317" t="s">
        <v>1140</v>
      </c>
      <c r="C31" s="2318">
        <f>ROUND(C4*F31/(1+'数据-取费表'!C42),0)</f>
        <v>0</v>
      </c>
      <c r="D31" s="2319"/>
      <c r="E31" s="2320"/>
      <c r="F31" s="2321">
        <f>'数据-取费表'!B41</f>
        <v>5.6000000000000001E-2</v>
      </c>
      <c r="G31" s="2322" t="s">
        <v>1141</v>
      </c>
      <c r="H31" s="2323"/>
      <c r="I31" s="2323"/>
      <c r="J31" s="2323"/>
      <c r="K31" s="2339"/>
    </row>
    <row r="32" spans="1:33" s="2249" customFormat="1" ht="13.5" customHeight="1">
      <c r="A32" s="2324" t="s">
        <v>1142</v>
      </c>
      <c r="B32" s="2325"/>
      <c r="C32" s="2326">
        <f ca="1">ROUND((C4-C21-C22-C23-C25-C28-C31)/(1+C24+D25+D28),0)</f>
        <v>0</v>
      </c>
      <c r="D32" s="2325"/>
      <c r="E32" s="2325"/>
      <c r="F32" s="2325"/>
      <c r="G32" s="2327" t="s">
        <v>1143</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K1" zoomScaleNormal="80" workbookViewId="0">
      <selection activeCell="S10" sqref="S10"/>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0" width="12" style="1864"/>
    <col min="21" max="21" width="13.875" style="1864" bestFit="1" customWidth="1"/>
    <col min="22"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1851.14</v>
      </c>
      <c r="E1" s="1867"/>
      <c r="F1" s="1867"/>
      <c r="G1" s="1867"/>
      <c r="H1" s="1867"/>
      <c r="I1" s="1867"/>
      <c r="J1" s="1867"/>
      <c r="K1" s="1860"/>
      <c r="L1" s="2063" t="s">
        <v>1334</v>
      </c>
      <c r="M1" s="2064">
        <f>SUMPRODUCT((区片价!B5:B9=I2)*(区片价!C3:G3=E2)*(区片价!C5:G9))</f>
        <v>0</v>
      </c>
      <c r="N1" s="2065">
        <f>SUMPRODUCT((因素修正幅度!B5:B9=I2)*(因素修正幅度!C3:G3=E2)*(因素修正幅度!C5:G9))</f>
        <v>0</v>
      </c>
      <c r="O1" s="1861"/>
      <c r="P1" s="1861"/>
      <c r="Q1" s="1860"/>
      <c r="R1" s="2155" t="s">
        <v>1335</v>
      </c>
      <c r="S1" s="2155" t="s">
        <v>1336</v>
      </c>
      <c r="T1" s="2155" t="s">
        <v>1337</v>
      </c>
      <c r="U1" s="2155" t="s">
        <v>1338</v>
      </c>
      <c r="V1" s="2155" t="s">
        <v>1339</v>
      </c>
      <c r="W1" s="2156"/>
      <c r="X1" s="2156"/>
      <c r="Y1" s="2156"/>
      <c r="Z1" s="2156"/>
      <c r="AA1" s="2156"/>
      <c r="AB1" s="2156"/>
      <c r="AC1" s="2167"/>
      <c r="AD1" s="2168"/>
      <c r="AE1" s="2168"/>
      <c r="AF1" s="2168"/>
      <c r="AG1" s="2168"/>
      <c r="AH1" s="2168"/>
      <c r="AI1" s="2168"/>
      <c r="AJ1" s="2177"/>
    </row>
    <row r="2" spans="1:36" ht="15.75">
      <c r="A2" s="380" t="s">
        <v>986</v>
      </c>
      <c r="B2" s="384" t="e">
        <f>C30</f>
        <v>#REF!</v>
      </c>
      <c r="C2" s="1868" t="s">
        <v>987</v>
      </c>
      <c r="D2" s="1869" t="s">
        <v>1340</v>
      </c>
      <c r="E2" s="1870" t="s">
        <v>1765</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Ⅴ-28</v>
      </c>
      <c r="J2" s="2066"/>
      <c r="K2" s="1860"/>
      <c r="L2" s="2067" t="s">
        <v>1343</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13804</v>
      </c>
      <c r="U2" s="1864">
        <f>ROUND('数据-取费表'!V20,2)</f>
        <v>617.04999999999995</v>
      </c>
      <c r="V2" s="2157">
        <f>ROUND(T2*U2/10000,0)</f>
        <v>852</v>
      </c>
      <c r="W2" s="2156"/>
      <c r="X2" s="2156"/>
      <c r="Y2" s="2156"/>
      <c r="Z2" s="2156"/>
      <c r="AA2" s="2156"/>
      <c r="AB2" s="2156"/>
      <c r="AC2" s="2167"/>
      <c r="AD2" s="2168"/>
      <c r="AE2" s="2168"/>
      <c r="AF2" s="2168"/>
      <c r="AG2" s="2168"/>
      <c r="AH2" s="2168"/>
      <c r="AI2" s="2168"/>
      <c r="AJ2" s="2177"/>
    </row>
    <row r="3" spans="1:36" ht="15.75">
      <c r="A3" s="383" t="s">
        <v>988</v>
      </c>
      <c r="B3" s="384" t="e">
        <f>ROUND(B2*10000/D1,0)</f>
        <v>#REF!</v>
      </c>
      <c r="C3" s="1868" t="s">
        <v>989</v>
      </c>
      <c r="D3" s="1869" t="s">
        <v>1344</v>
      </c>
      <c r="E3" s="1872" t="s">
        <v>1907</v>
      </c>
      <c r="F3" s="1873" t="s">
        <v>2862</v>
      </c>
      <c r="G3" s="1874" t="e">
        <f>IF(F3="宗地容积率",'数据-汇总表'!I4,IF(F3="估价对象容积率",'数据-汇总表'!I6,'数据-汇总表'!I7))</f>
        <v>#DIV/0!</v>
      </c>
      <c r="H3" s="1875" t="s">
        <v>1346</v>
      </c>
      <c r="I3" s="2069">
        <v>1</v>
      </c>
      <c r="J3" s="2066" t="s">
        <v>1347</v>
      </c>
      <c r="K3" s="1860"/>
      <c r="L3" s="2067" t="s">
        <v>1348</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10880</v>
      </c>
      <c r="U3" s="1864">
        <f>ROUND('数据-取费表'!V21,2)</f>
        <v>617.04999999999995</v>
      </c>
      <c r="V3" s="2157">
        <f>ROUND(T3*U3/10000,0)</f>
        <v>671</v>
      </c>
      <c r="W3" s="2156"/>
      <c r="X3" s="2156"/>
      <c r="Y3" s="2156"/>
      <c r="Z3" s="2156"/>
      <c r="AA3" s="2156"/>
      <c r="AB3" s="2156"/>
      <c r="AC3" s="2167"/>
      <c r="AD3" s="2168"/>
      <c r="AE3" s="2168"/>
      <c r="AF3" s="2168"/>
      <c r="AG3" s="2168"/>
      <c r="AH3" s="2168"/>
      <c r="AI3" s="2168"/>
      <c r="AJ3" s="2177"/>
    </row>
    <row r="4" spans="1:36" ht="15.75">
      <c r="A4" s="3679"/>
      <c r="B4" s="3680"/>
      <c r="C4" s="3680"/>
      <c r="D4" s="3681"/>
      <c r="E4" s="3681"/>
      <c r="F4" s="3681"/>
      <c r="G4" s="3681"/>
      <c r="H4" s="3681"/>
      <c r="I4" s="3681"/>
      <c r="J4" s="3682"/>
      <c r="K4" s="1860"/>
      <c r="L4" s="2067" t="s">
        <v>1349</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9196</v>
      </c>
      <c r="U4" s="1864">
        <f>ROUND('数据-基础表'!I13-基准地价修正!U2-基准地价修正!U3,2)</f>
        <v>617.04</v>
      </c>
      <c r="V4" s="2157">
        <f t="shared" ref="V3:V16" si="1">ROUND(T4*U4/10000,0)</f>
        <v>567</v>
      </c>
      <c r="W4" s="2156"/>
      <c r="X4" s="2156"/>
      <c r="Y4" s="2156"/>
      <c r="Z4" s="2156"/>
      <c r="AA4" s="2156"/>
      <c r="AB4" s="2156"/>
      <c r="AC4" s="2167"/>
      <c r="AD4" s="2168"/>
      <c r="AE4" s="2168"/>
      <c r="AF4" s="2168"/>
      <c r="AG4" s="2168"/>
      <c r="AH4" s="2168"/>
      <c r="AI4" s="2168"/>
      <c r="AJ4" s="2177"/>
    </row>
    <row r="5" spans="1:36" s="1859" customFormat="1" ht="15">
      <c r="A5" s="1876" t="s">
        <v>892</v>
      </c>
      <c r="B5" s="1877" t="s">
        <v>1350</v>
      </c>
      <c r="C5" s="1878">
        <f>ROUND(IF(E2="商业",C6*C7*C17+C20,(IF(E2="住宅",C6*C13*C17+C20,IF(E2="办公",C6*C12*C17+C20,C6+C20)))),0)</f>
        <v>13094</v>
      </c>
      <c r="D5" s="1879">
        <f>ROUND(C6*C17+C20,0)</f>
        <v>13094</v>
      </c>
      <c r="E5" s="1879"/>
      <c r="F5" s="1880"/>
      <c r="G5" s="1881"/>
      <c r="H5" s="1881"/>
      <c r="I5" s="1881"/>
      <c r="J5" s="2070"/>
      <c r="K5" s="2071"/>
      <c r="L5" s="2067" t="s">
        <v>1351</v>
      </c>
      <c r="M5" s="2068">
        <f>SUMPRODUCT((区片价!B87:B126=I2)*(区片价!C3:G3=E2)*(区片价!C87:G126))</f>
        <v>13110</v>
      </c>
      <c r="N5" s="2065">
        <f>SUMPRODUCT((因素修正幅度!B87:B126=I2)*(因素修正幅度!C3:G3=E2)*(因素修正幅度!C87:G126))</f>
        <v>9.7000000000000003E-2</v>
      </c>
      <c r="O5" s="1860"/>
      <c r="P5" s="1860"/>
      <c r="Q5" s="1860"/>
      <c r="R5" s="2155">
        <v>4</v>
      </c>
      <c r="S5" s="2157">
        <f>ROUND(SUMPRODUCT((B106:B110=R5)*(C105:N105=G2)*(C106:N110)),4)</f>
        <v>0.88239999999999996</v>
      </c>
      <c r="T5" s="2157">
        <f t="shared" si="0"/>
        <v>8110</v>
      </c>
      <c r="U5" s="3446"/>
      <c r="V5" s="2157">
        <f t="shared" si="1"/>
        <v>0</v>
      </c>
      <c r="W5" s="2156"/>
      <c r="X5" s="2156"/>
      <c r="Y5" s="2156"/>
      <c r="Z5" s="2156"/>
      <c r="AA5" s="2156"/>
      <c r="AB5" s="2156"/>
      <c r="AC5" s="2169"/>
      <c r="AD5" s="2170"/>
      <c r="AE5" s="2170"/>
      <c r="AF5" s="2170"/>
      <c r="AG5" s="2170"/>
      <c r="AH5" s="2170"/>
      <c r="AI5" s="2170"/>
      <c r="AJ5" s="2178"/>
    </row>
    <row r="6" spans="1:36" ht="15">
      <c r="A6" s="1882" t="s">
        <v>991</v>
      </c>
      <c r="B6" s="1883" t="s">
        <v>1352</v>
      </c>
      <c r="C6" s="1884">
        <f>SUMIF(L1:L12,G2,M1:M12)</f>
        <v>13110</v>
      </c>
      <c r="D6" s="1885"/>
      <c r="E6" s="1886"/>
      <c r="F6" s="1886"/>
      <c r="G6" s="1887"/>
      <c r="H6" s="1887"/>
      <c r="I6" s="1887"/>
      <c r="J6" s="2072"/>
      <c r="K6" s="1576"/>
      <c r="L6" s="2067" t="s">
        <v>1353</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7794</v>
      </c>
      <c r="U6" s="3446"/>
      <c r="V6" s="2157" t="e">
        <f>ROUND(T6*#REF!/10000,0)</f>
        <v>#REF!</v>
      </c>
      <c r="W6" s="2156"/>
      <c r="X6" s="2156"/>
      <c r="Y6" s="2156"/>
      <c r="Z6" s="2156"/>
      <c r="AA6" s="2156"/>
      <c r="AB6" s="2156"/>
      <c r="AC6" s="2169"/>
      <c r="AD6" s="2170"/>
      <c r="AE6" s="2170"/>
      <c r="AF6" s="2170"/>
      <c r="AG6" s="2170"/>
      <c r="AH6" s="2170"/>
      <c r="AI6" s="2170"/>
      <c r="AJ6" s="2178"/>
    </row>
    <row r="7" spans="1:36" ht="24">
      <c r="A7" s="1888" t="s">
        <v>1354</v>
      </c>
      <c r="B7" s="1889" t="s">
        <v>1355</v>
      </c>
      <c r="C7" s="1890">
        <f>IF(C8="不临65条商业街",1,ROUND(1+(1.6*E8+1.2*E9+0.8*E10+0.4*E11)*C9,4))</f>
        <v>1</v>
      </c>
      <c r="D7" s="1891" t="s">
        <v>1356</v>
      </c>
      <c r="E7" s="1892">
        <v>1</v>
      </c>
      <c r="F7" s="1893"/>
      <c r="G7" s="1894"/>
      <c r="H7" s="1894"/>
      <c r="I7" s="1894"/>
      <c r="J7" s="2073"/>
      <c r="K7" s="1576"/>
      <c r="L7" s="2067" t="s">
        <v>1357</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3446"/>
      <c r="V7" s="2157">
        <f t="shared" si="1"/>
        <v>0</v>
      </c>
      <c r="W7" s="2160" t="s">
        <v>1358</v>
      </c>
      <c r="X7" s="2161" t="str">
        <f>G2</f>
        <v>五级</v>
      </c>
      <c r="Y7" s="2161" t="s">
        <v>1359</v>
      </c>
      <c r="Z7" s="2171" t="e">
        <f>G3</f>
        <v>#DIV/0!</v>
      </c>
      <c r="AA7" s="2156"/>
      <c r="AB7" s="2156"/>
      <c r="AC7" s="2167"/>
      <c r="AD7" s="2168"/>
      <c r="AE7" s="2168"/>
      <c r="AF7" s="2168"/>
      <c r="AG7" s="2168"/>
      <c r="AH7" s="2168"/>
      <c r="AI7" s="2168"/>
      <c r="AJ7" s="2177"/>
    </row>
    <row r="8" spans="1:36" ht="25.5">
      <c r="A8" s="1895"/>
      <c r="B8" s="1875" t="s">
        <v>1360</v>
      </c>
      <c r="C8" s="1896" t="s">
        <v>1361</v>
      </c>
      <c r="D8" s="1897" t="s">
        <v>1362</v>
      </c>
      <c r="E8" s="1898">
        <f>ROUND(C11/E7,4)</f>
        <v>0</v>
      </c>
      <c r="F8" s="1899" t="s">
        <v>1363</v>
      </c>
      <c r="G8" s="1900"/>
      <c r="H8" s="1900"/>
      <c r="I8" s="1900"/>
      <c r="J8" s="2074"/>
      <c r="K8" s="1860"/>
      <c r="L8" s="2067" t="s">
        <v>1364</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83" t="s">
        <v>1365</v>
      </c>
      <c r="X8" s="3684"/>
      <c r="Y8" s="2172" t="s">
        <v>1366</v>
      </c>
      <c r="Z8" s="2172" t="s">
        <v>1367</v>
      </c>
      <c r="AA8" s="2172" t="s">
        <v>1368</v>
      </c>
      <c r="AB8" s="2172" t="s">
        <v>1369</v>
      </c>
      <c r="AC8" s="2172" t="s">
        <v>1370</v>
      </c>
      <c r="AD8" s="2172" t="s">
        <v>1371</v>
      </c>
      <c r="AE8" s="2172" t="s">
        <v>1372</v>
      </c>
      <c r="AF8" s="2172" t="s">
        <v>1373</v>
      </c>
      <c r="AG8" s="2172" t="s">
        <v>1374</v>
      </c>
      <c r="AH8" s="2172" t="s">
        <v>1375</v>
      </c>
      <c r="AI8" s="2172" t="s">
        <v>1376</v>
      </c>
      <c r="AJ8" s="2172" t="s">
        <v>1377</v>
      </c>
    </row>
    <row r="9" spans="1:36" ht="15">
      <c r="A9" s="1895"/>
      <c r="B9" s="1875" t="s">
        <v>1378</v>
      </c>
      <c r="C9" s="1901">
        <f>SUMIF(修正!C71:C138,C8,修正!E71:E138)</f>
        <v>0</v>
      </c>
      <c r="D9" s="821" t="s">
        <v>1379</v>
      </c>
      <c r="E9" s="821">
        <f>ROUND(C11/E7,4)</f>
        <v>0</v>
      </c>
      <c r="F9" s="1899" t="s">
        <v>1380</v>
      </c>
      <c r="G9" s="1900"/>
      <c r="H9" s="1900"/>
      <c r="I9" s="1900"/>
      <c r="J9" s="2074"/>
      <c r="K9" s="1860"/>
      <c r="L9" s="2067" t="s">
        <v>1381</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97"/>
      <c r="X9" s="2162" t="s">
        <v>1382</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1383</v>
      </c>
      <c r="C10" s="821">
        <f>SUMIF(修正!C71:C138,C8,修正!F71:F138)</f>
        <v>0</v>
      </c>
      <c r="D10" s="821" t="s">
        <v>1384</v>
      </c>
      <c r="E10" s="821">
        <f>ROUND(C11/E7,4)</f>
        <v>0</v>
      </c>
      <c r="F10" s="1899" t="s">
        <v>1385</v>
      </c>
      <c r="G10" s="1900"/>
      <c r="H10" s="1900"/>
      <c r="I10" s="1900"/>
      <c r="J10" s="2074"/>
      <c r="K10" s="1860"/>
      <c r="L10" s="2067" t="s">
        <v>1386</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97"/>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1387</v>
      </c>
      <c r="C11" s="1904">
        <f>C10/4</f>
        <v>0</v>
      </c>
      <c r="D11" s="1904" t="s">
        <v>1388</v>
      </c>
      <c r="E11" s="1904">
        <f>ROUND(C11/E7,4)</f>
        <v>0</v>
      </c>
      <c r="F11" s="1905" t="s">
        <v>1389</v>
      </c>
      <c r="G11" s="1906"/>
      <c r="H11" s="1906"/>
      <c r="I11" s="1906"/>
      <c r="J11" s="2075"/>
      <c r="K11" s="1860"/>
      <c r="L11" s="2067" t="s">
        <v>1390</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1391</v>
      </c>
      <c r="B12" s="1907" t="s">
        <v>1392</v>
      </c>
      <c r="C12" s="1908">
        <v>1</v>
      </c>
      <c r="D12" s="1909" t="s">
        <v>1393</v>
      </c>
      <c r="E12" s="1910" t="s">
        <v>1394</v>
      </c>
      <c r="F12" s="1911"/>
      <c r="G12" s="1912"/>
      <c r="H12" s="1912"/>
      <c r="I12" s="1912"/>
      <c r="J12" s="2076"/>
      <c r="K12" s="1860"/>
      <c r="L12" s="2077" t="s">
        <v>1395</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1396</v>
      </c>
      <c r="B13" s="1913" t="s">
        <v>1397</v>
      </c>
      <c r="C13" s="1890">
        <f>ROUND(C16*D16*E16*F16*G16*H16*I16*J16,4)</f>
        <v>0</v>
      </c>
      <c r="D13" s="1914" t="s">
        <v>1398</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1399</v>
      </c>
      <c r="C14" s="1919" t="s">
        <v>1400</v>
      </c>
      <c r="D14" s="1920" t="s">
        <v>1401</v>
      </c>
      <c r="E14" s="1921" t="s">
        <v>1402</v>
      </c>
      <c r="F14" s="1922" t="s">
        <v>1403</v>
      </c>
      <c r="G14" s="1922" t="s">
        <v>1403</v>
      </c>
      <c r="H14" s="1922" t="s">
        <v>1403</v>
      </c>
      <c r="I14" s="1922" t="s">
        <v>1403</v>
      </c>
      <c r="J14" s="1922" t="s">
        <v>1403</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t="s">
        <v>2859</v>
      </c>
      <c r="D15" s="1925" t="s">
        <v>483</v>
      </c>
      <c r="E15" s="1926"/>
      <c r="F15" s="1927" t="s">
        <v>1404</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1405</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1406</v>
      </c>
      <c r="B17" s="1933" t="s">
        <v>1407</v>
      </c>
      <c r="C17" s="1934">
        <f>ROUND(IF(OR(E2="工业",E2="公共服务"),1,IF(AND(E18=0,E19=0),1,IF(AND(E18=J24,E19=G19),0.8,IF(E19=0,1+E17*(-0.2),1+E17*G17*(-0.2))))),4)</f>
        <v>1</v>
      </c>
      <c r="D17" s="1935" t="s">
        <v>1408</v>
      </c>
      <c r="E17" s="1934">
        <f>ROUND(G18/I18,2)</f>
        <v>0</v>
      </c>
      <c r="F17" s="1935" t="s">
        <v>1409</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1410</v>
      </c>
      <c r="E18" s="1940"/>
      <c r="F18" s="1941" t="s">
        <v>1411</v>
      </c>
      <c r="G18" s="1938">
        <f>ROUND(1-(1/(POWER(1+G24,E18))),4)</f>
        <v>0</v>
      </c>
      <c r="H18" s="1941" t="s">
        <v>1412</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1413</v>
      </c>
      <c r="E19" s="1945"/>
      <c r="F19" s="1946" t="s">
        <v>1414</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89" t="s">
        <v>1415</v>
      </c>
      <c r="B20" s="1947" t="s">
        <v>1416</v>
      </c>
      <c r="C20" s="1948">
        <f>ROUND(IF(F21="与级别开发程度一致",0,(G21-E21)/C21),0)</f>
        <v>-16</v>
      </c>
      <c r="D20" s="1949" t="s">
        <v>1417</v>
      </c>
      <c r="E20" s="1950"/>
      <c r="F20" s="3685" t="s">
        <v>1418</v>
      </c>
      <c r="G20" s="3686"/>
      <c r="H20" s="1951" t="s">
        <v>342</v>
      </c>
      <c r="I20" s="1951" t="s">
        <v>343</v>
      </c>
      <c r="J20" s="2089" t="s">
        <v>344</v>
      </c>
      <c r="K20" s="2090" t="s">
        <v>345</v>
      </c>
      <c r="L20" s="2090" t="s">
        <v>346</v>
      </c>
      <c r="M20" s="2090" t="s">
        <v>347</v>
      </c>
      <c r="N20" s="2090" t="s">
        <v>349</v>
      </c>
      <c r="O20" s="2091" t="s">
        <v>124</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0"/>
      <c r="B21" s="1952" t="s">
        <v>1419</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2865</v>
      </c>
      <c r="G21" s="1957">
        <f>SUM(H21:O21)</f>
        <v>275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903</v>
      </c>
      <c r="B22" s="1959" t="s">
        <v>1420</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908</v>
      </c>
      <c r="B23" s="1964" t="s">
        <v>1421</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1422</v>
      </c>
      <c r="E23" s="1967">
        <v>44197</v>
      </c>
      <c r="F23" s="1966" t="s">
        <v>1423</v>
      </c>
      <c r="G23" s="1968">
        <f>'数据-取费表'!B2</f>
        <v>45540</v>
      </c>
      <c r="H23" s="1969" t="s">
        <v>1424</v>
      </c>
      <c r="I23" s="2098" t="str">
        <f>IF(H23="季度增幅（自定义）",SUMIF(N25:N28,E2,O25:O28),"")</f>
        <v/>
      </c>
      <c r="J23" s="2099" t="s">
        <v>2863</v>
      </c>
      <c r="K23" s="2095"/>
      <c r="L23" s="2100" t="s">
        <v>1425</v>
      </c>
      <c r="M23" s="2101">
        <f>ROUND(SUMIF(地价!B2:G2,E2,地价!B16:G16),0)</f>
        <v>350</v>
      </c>
      <c r="N23" s="2102" t="s">
        <v>1426</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911</v>
      </c>
      <c r="B24" s="1971" t="s">
        <v>1427</v>
      </c>
      <c r="C24" s="1972">
        <f>ROUND(POWER(1+G24,J24-I24)*(POWER(1+G24,I24)-1)/(POWER(1+G24,J24)-1),4)</f>
        <v>0.8024</v>
      </c>
      <c r="D24" s="1973" t="s">
        <v>1428</v>
      </c>
      <c r="E24" s="1974">
        <f>存贷款利率!E26/100</f>
        <v>4.3499999999999997E-2</v>
      </c>
      <c r="F24" s="1973" t="s">
        <v>1429</v>
      </c>
      <c r="G24" s="1975">
        <f>SUMIF(M30:Q30,E2,M33:Q33)</f>
        <v>5.5E-2</v>
      </c>
      <c r="H24" s="1973" t="s">
        <v>1430</v>
      </c>
      <c r="I24" s="2105">
        <f>SUMIF('数据-取费表'!C6:C15,E2,'数据-取费表'!F6:F15)/COUNTIF('数据-取费表'!C6:C15,E2)</f>
        <v>23</v>
      </c>
      <c r="J24" s="2106">
        <f>IF(E2="住宅",70,IF(E2="商业",40,50))</f>
        <v>40</v>
      </c>
      <c r="K24" s="2095"/>
      <c r="L24" s="2107" t="s">
        <v>1431</v>
      </c>
      <c r="M24" s="2108">
        <f>ROUND(SUMPRODUCT((地价!A4:A16=YEAR(G23)&amp;"-"&amp;ROUNDUP(MONTH(G23)/3,0))*(地价!B2:G2=E2)*(地价!B4:G16)),0)</f>
        <v>0</v>
      </c>
      <c r="N24" s="2109" t="s">
        <v>1432</v>
      </c>
      <c r="O24" s="2110" t="s">
        <v>1433</v>
      </c>
      <c r="P24" s="2111" t="s">
        <v>1434</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933</v>
      </c>
      <c r="B25" s="1977" t="s">
        <v>2864</v>
      </c>
      <c r="C25" s="813">
        <f>IF(B25="容积率修正",IF(G3&lt;10,D26,J26),C27)</f>
        <v>1.5019</v>
      </c>
      <c r="D25" s="1978"/>
      <c r="E25" s="1978"/>
      <c r="F25" s="1978"/>
      <c r="G25" s="1978"/>
      <c r="H25" s="1978"/>
      <c r="I25" s="1978"/>
      <c r="J25" s="2112"/>
      <c r="K25" s="2095"/>
      <c r="L25" s="2096"/>
      <c r="M25" s="2096"/>
      <c r="N25" s="2113" t="s">
        <v>1435</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1436</v>
      </c>
      <c r="B26" s="1979" t="s">
        <v>1437</v>
      </c>
      <c r="C26" s="1980" t="s">
        <v>1438</v>
      </c>
      <c r="D26" s="819" t="e">
        <f>IF(E26=G26,F26,IF(G3&lt;10,ROUND(F26+(H26-F26)*(G3-E26)/(G26-E26),4),"——"))</f>
        <v>#DIV/0!</v>
      </c>
      <c r="E26" s="1874" t="e">
        <f>ROUNDDOWN(G3,1)</f>
        <v>#DIV/0!</v>
      </c>
      <c r="F26" s="81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874" t="e">
        <f>ROUNDUP(G3,1)</f>
        <v>#DIV/0!</v>
      </c>
      <c r="H26" s="81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80" t="s">
        <v>1439</v>
      </c>
      <c r="J26" s="2116" t="e">
        <f>IF(G3&gt;=10,D115,"——")</f>
        <v>#DIV/0!</v>
      </c>
      <c r="K26" s="2095"/>
      <c r="L26" s="2096"/>
      <c r="M26" s="2096"/>
      <c r="N26" s="2113" t="s">
        <v>1440</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1441</v>
      </c>
      <c r="B27" s="1981" t="s">
        <v>1442</v>
      </c>
      <c r="C27" s="1982">
        <f>ROUND(IF(I3&lt;6,SUMPRODUCT((B106:B110=I3)*(C105:N105=G2)*(C106:N110)),SUMIF(C105:N105,G2,C112:N112)),4)</f>
        <v>1.5019</v>
      </c>
      <c r="D27" s="1983"/>
      <c r="E27" s="1983"/>
      <c r="F27" s="1984"/>
      <c r="G27" s="1985"/>
      <c r="H27" s="1986"/>
      <c r="I27" s="2117"/>
      <c r="J27" s="2118"/>
      <c r="K27" s="1860"/>
      <c r="L27" s="1861"/>
      <c r="M27" s="1861"/>
      <c r="N27" s="2113" t="s">
        <v>1443</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1444</v>
      </c>
      <c r="B28" s="1964" t="s">
        <v>1445</v>
      </c>
      <c r="C28" s="1965">
        <f>SUMIF(A47:A101,E2,B47:B101)</f>
        <v>1.0481</v>
      </c>
      <c r="D28" s="1987"/>
      <c r="E28" s="1988"/>
      <c r="F28" s="1988"/>
      <c r="G28" s="1988"/>
      <c r="H28" s="1988"/>
      <c r="I28" s="1988"/>
      <c r="J28" s="2119"/>
      <c r="K28" s="2095"/>
      <c r="L28" s="2096"/>
      <c r="M28" s="2096"/>
      <c r="N28" s="2120" t="s">
        <v>1446</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1447</v>
      </c>
      <c r="B29" s="1989" t="s">
        <v>1448</v>
      </c>
      <c r="C29" s="1990"/>
      <c r="D29" s="1894"/>
      <c r="E29" s="1894"/>
      <c r="F29" s="1991"/>
      <c r="G29" s="1894"/>
      <c r="H29" s="1894"/>
      <c r="I29" s="1894"/>
      <c r="J29" s="2073"/>
      <c r="K29" s="1860"/>
      <c r="L29" s="1861"/>
      <c r="M29" s="1861"/>
      <c r="N29" s="2123" t="s">
        <v>1449</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1450</v>
      </c>
      <c r="C30" s="1993" t="e">
        <f>IF(B25="容积率修正",E33+SUM(E37:E42),SUM(V2:V16)+SUM(E37:E42))</f>
        <v>#REF!</v>
      </c>
      <c r="D30" s="1994"/>
      <c r="E30" s="1983"/>
      <c r="F30" s="1995"/>
      <c r="G30" s="1983"/>
      <c r="H30" s="1983"/>
      <c r="I30" s="1983"/>
      <c r="J30" s="2126"/>
      <c r="K30" s="1860"/>
      <c r="L30" s="2127" t="s">
        <v>1340</v>
      </c>
      <c r="M30" s="2128" t="s">
        <v>1451</v>
      </c>
      <c r="N30" s="2128" t="s">
        <v>1452</v>
      </c>
      <c r="O30" s="2128" t="s">
        <v>1453</v>
      </c>
      <c r="P30" s="2128" t="s">
        <v>1454</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1455</v>
      </c>
      <c r="C31" s="1997" t="e">
        <f>E34+SUM(I37:I42)</f>
        <v>#REF!</v>
      </c>
      <c r="D31" s="1998"/>
      <c r="E31" s="1999"/>
      <c r="F31" s="2000"/>
      <c r="G31" s="1999"/>
      <c r="H31" s="1999"/>
      <c r="I31" s="1999"/>
      <c r="J31" s="2129"/>
      <c r="K31" s="1860"/>
      <c r="L31" s="2130" t="s">
        <v>1456</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1457</v>
      </c>
      <c r="C32" s="2003" t="s">
        <v>1458</v>
      </c>
      <c r="D32" s="2003" t="s">
        <v>562</v>
      </c>
      <c r="E32" s="2004" t="s">
        <v>1459</v>
      </c>
      <c r="F32" s="2005"/>
      <c r="G32" s="1916"/>
      <c r="H32" s="1916"/>
      <c r="I32" s="1916"/>
      <c r="J32" s="2079"/>
      <c r="K32" s="1860"/>
      <c r="L32" s="2131" t="s">
        <v>1429</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1460</v>
      </c>
      <c r="C33" s="2008">
        <f>ROUND(C5*C22*C23*C24*C25*C28,0)</f>
        <v>13804</v>
      </c>
      <c r="D33" s="3445">
        <f>'数据-基础表'!I13</f>
        <v>1851.14</v>
      </c>
      <c r="E33" s="886">
        <f>ROUND(C33*D33/10000,0)</f>
        <v>2555</v>
      </c>
      <c r="F33" s="2010" t="s">
        <v>1461</v>
      </c>
      <c r="G33" s="2011"/>
      <c r="H33" s="2011"/>
      <c r="I33" s="2011"/>
      <c r="J33" s="2133"/>
      <c r="K33" s="1860"/>
      <c r="L33" s="2134" t="s">
        <v>1462</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1463</v>
      </c>
      <c r="C34" s="1954" t="e">
        <f>ROUND(IF(E2="工业",C33*M42,IF(B25="楼层修正",SUM(V2:V16)*M41*10000/D34,C33*M41)),0)</f>
        <v>#REF!</v>
      </c>
      <c r="D34" s="2014"/>
      <c r="E34" s="886" t="e">
        <f>ROUND(IF(B25="楼层修正",SUM(V2:V16)*M40,C34*D34/10000),0)</f>
        <v>#REF!</v>
      </c>
      <c r="F34" s="2015" t="s">
        <v>1464</v>
      </c>
      <c r="G34" s="2016"/>
      <c r="H34" s="2016"/>
      <c r="I34" s="2016"/>
      <c r="J34" s="2136"/>
      <c r="K34" s="1860"/>
      <c r="L34" s="2134" t="s">
        <v>1465</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1466</v>
      </c>
      <c r="C35" s="2019" t="s">
        <v>1467</v>
      </c>
      <c r="D35" s="1916"/>
      <c r="E35" s="2020"/>
      <c r="F35" s="2020"/>
      <c r="G35" s="1914" t="s">
        <v>1464</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1458</v>
      </c>
      <c r="D36" s="799" t="s">
        <v>562</v>
      </c>
      <c r="E36" s="799" t="s">
        <v>1459</v>
      </c>
      <c r="F36" s="1852" t="s">
        <v>1468</v>
      </c>
      <c r="G36" s="2022" t="s">
        <v>1458</v>
      </c>
      <c r="H36" s="2022" t="s">
        <v>562</v>
      </c>
      <c r="I36" s="2022" t="s">
        <v>1459</v>
      </c>
      <c r="J36" s="431"/>
      <c r="K36" s="2138" t="s">
        <v>1469</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1"/>
      <c r="B37" s="2023" t="s">
        <v>1470</v>
      </c>
      <c r="C37" s="2008">
        <f>ROUND(D5*C22*C23*C24*C28*F37,0)</f>
        <v>5515</v>
      </c>
      <c r="D37" s="3445"/>
      <c r="E37" s="821">
        <f>ROUND(C37*D37/10000,0)</f>
        <v>0</v>
      </c>
      <c r="F37" s="821">
        <f>SUMIF(修正!A57:A68,G2,修正!B57:B68)</f>
        <v>0.6</v>
      </c>
      <c r="G37" s="821">
        <f>ROUND(IF(E2="工业",C37*$M$42,C37*$M$41),0)</f>
        <v>1379</v>
      </c>
      <c r="H37" s="821">
        <f>D37</f>
        <v>0</v>
      </c>
      <c r="I37" s="821">
        <f>ROUND(G37*H37/10000,0)</f>
        <v>0</v>
      </c>
      <c r="J37" s="2141"/>
      <c r="K37" s="2142" t="s">
        <v>1471</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2"/>
      <c r="B38" s="1919" t="s">
        <v>1472</v>
      </c>
      <c r="C38" s="2008">
        <f>ROUND(D5*C22*C23*C24*C28*F38,0)</f>
        <v>2757</v>
      </c>
      <c r="D38" s="2009"/>
      <c r="E38" s="821">
        <f t="shared" ref="E38:E42" si="4">ROUND(C38*D38/10000,0)</f>
        <v>0</v>
      </c>
      <c r="F38" s="821">
        <f>SUMIF(修正!A57:A68,G2,修正!C57:C68)</f>
        <v>0.3</v>
      </c>
      <c r="G38" s="821">
        <f>ROUND(IF(E2="工业",C38*$M$42,C38*$M$41),0)</f>
        <v>689</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2"/>
      <c r="B39" s="1919" t="s">
        <v>1473</v>
      </c>
      <c r="C39" s="2008">
        <f>ROUND(D5*C22*C23*C24*C28*F39,0)</f>
        <v>2298</v>
      </c>
      <c r="D39" s="2009"/>
      <c r="E39" s="821">
        <f t="shared" si="4"/>
        <v>0</v>
      </c>
      <c r="F39" s="821">
        <f>SUMIF(修正!A57:A68,G2,修正!D57:D68)</f>
        <v>0.25</v>
      </c>
      <c r="G39" s="821">
        <f>ROUND(IF(E2="工业",C39*$M$42,C39*$M$41),0)</f>
        <v>575</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1474</v>
      </c>
      <c r="C40" s="821">
        <f>ROUND(D5*C22*C23*C24*C28*F40,0)</f>
        <v>2298</v>
      </c>
      <c r="D40" s="2009"/>
      <c r="E40" s="821">
        <f t="shared" si="4"/>
        <v>0</v>
      </c>
      <c r="F40" s="2008">
        <f>SUMIF(修正!A57:A68,G2,修正!E57:E68)</f>
        <v>0.25</v>
      </c>
      <c r="G40" s="821">
        <f>ROUND(IF(E2="工业",C40*$M$42,C40*$M$41),0)</f>
        <v>575</v>
      </c>
      <c r="H40" s="821">
        <f t="shared" si="5"/>
        <v>0</v>
      </c>
      <c r="I40" s="821">
        <f t="shared" si="6"/>
        <v>0</v>
      </c>
      <c r="J40" s="2143"/>
      <c r="L40" s="2144" t="s">
        <v>1475</v>
      </c>
      <c r="M40" s="2145"/>
      <c r="Z40" s="2028"/>
      <c r="AA40" s="2028"/>
      <c r="AB40" s="2028"/>
      <c r="AC40" s="2028"/>
      <c r="AD40" s="2028"/>
      <c r="AE40" s="2028"/>
      <c r="AF40" s="2028"/>
      <c r="AG40" s="2028"/>
      <c r="AH40" s="2028"/>
      <c r="AI40" s="2028"/>
      <c r="AJ40" s="2028"/>
    </row>
    <row r="41" spans="1:37" s="1860" customFormat="1">
      <c r="A41" s="2025"/>
      <c r="B41" s="1919" t="s">
        <v>1476</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1477</v>
      </c>
      <c r="M41" s="2147">
        <v>0.25</v>
      </c>
      <c r="Z41" s="2028"/>
      <c r="AA41" s="2028"/>
      <c r="AB41" s="2028"/>
      <c r="AC41" s="2028"/>
      <c r="AD41" s="2028"/>
      <c r="AE41" s="2028"/>
      <c r="AF41" s="2028"/>
      <c r="AG41" s="2028"/>
      <c r="AH41" s="2028"/>
      <c r="AI41" s="2028"/>
      <c r="AJ41" s="2028"/>
    </row>
    <row r="42" spans="1:37" s="1860" customFormat="1">
      <c r="A42" s="2012"/>
      <c r="B42" s="2026" t="s">
        <v>1478</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1454</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1479</v>
      </c>
      <c r="C44" s="1852">
        <f>ROUND(POWER(1+E44,H44-G44)*(POWER(1+E44,G44)-1)/(POWER(1+E44,H44)-1),4)</f>
        <v>0</v>
      </c>
      <c r="D44" s="821" t="s">
        <v>1429</v>
      </c>
      <c r="E44" s="2030">
        <f>G24</f>
        <v>5.5E-2</v>
      </c>
      <c r="F44" s="821" t="s">
        <v>1430</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1480</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1481</v>
      </c>
      <c r="B48" s="2038">
        <f>1+E50</f>
        <v>1.0481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1482</v>
      </c>
      <c r="B49" s="2044" t="s">
        <v>1483</v>
      </c>
      <c r="C49" s="2044" t="s">
        <v>1484</v>
      </c>
      <c r="D49" s="2044" t="s">
        <v>1485</v>
      </c>
      <c r="E49" s="2045" t="s">
        <v>1486</v>
      </c>
      <c r="F49" s="2046" t="s">
        <v>1487</v>
      </c>
      <c r="G49" s="2044" t="s">
        <v>1405</v>
      </c>
      <c r="H49" s="2047" t="s">
        <v>1488</v>
      </c>
      <c r="I49" s="2044" t="s">
        <v>1489</v>
      </c>
      <c r="J49" s="920" t="s">
        <v>1490</v>
      </c>
      <c r="K49" s="920" t="s">
        <v>1491</v>
      </c>
      <c r="L49" s="920" t="s">
        <v>1492</v>
      </c>
      <c r="M49" s="920" t="s">
        <v>1493</v>
      </c>
      <c r="N49" s="920" t="s">
        <v>1494</v>
      </c>
      <c r="AA49" s="2028"/>
      <c r="AB49" s="2028"/>
      <c r="AC49" s="2028"/>
      <c r="AD49" s="2028"/>
      <c r="AE49" s="2028"/>
      <c r="AF49" s="2028"/>
      <c r="AG49" s="2028"/>
      <c r="AH49" s="2028"/>
      <c r="AI49" s="2028"/>
      <c r="AJ49" s="2028"/>
      <c r="AK49" s="2028"/>
    </row>
    <row r="50" spans="1:37" s="1860" customFormat="1" ht="38.25">
      <c r="A50" s="2043" t="s">
        <v>1495</v>
      </c>
      <c r="B50" s="2048" t="str">
        <f>估价对象房地状况!C4</f>
        <v>估价对象位于XX商圈，周边商业氛围成熟，人流量大，商业繁华度好</v>
      </c>
      <c r="C50" s="1925" t="s">
        <v>1496</v>
      </c>
      <c r="D50" s="2049">
        <f t="shared" ref="D50:D58" si="7">SUMIF($J$49:$N$49,C50,J50:N50)</f>
        <v>1.4500000000000001E-2</v>
      </c>
      <c r="E50" s="2050">
        <f>ROUND(SUM(D50:D58),4)</f>
        <v>4.8099999999999997E-2</v>
      </c>
      <c r="F50" s="2051">
        <f>IF(E2="商业",SUMIF(L1:L12,G2,N1:N12),"——")</f>
        <v>9.7000000000000003E-2</v>
      </c>
      <c r="G50" s="2052">
        <f>H50</f>
        <v>1.4500000000000001E-2</v>
      </c>
      <c r="H50" s="2053">
        <f t="shared" ref="H50:H58" si="8">IFERROR(ROUNDDOWN($F$50*I50/2,4),"——")</f>
        <v>1.4500000000000001E-2</v>
      </c>
      <c r="I50" s="2152">
        <v>0.3</v>
      </c>
      <c r="J50" s="2153">
        <f t="shared" ref="J50:J58" si="9">K50+$G50</f>
        <v>2.9000000000000001E-2</v>
      </c>
      <c r="K50" s="2153">
        <f t="shared" ref="K50:K58" si="10">$L50+$G50</f>
        <v>1.4500000000000001E-2</v>
      </c>
      <c r="L50" s="2153">
        <v>0</v>
      </c>
      <c r="M50" s="2153">
        <f t="shared" ref="M50:N58" si="11">L50-$G50</f>
        <v>-1.4500000000000001E-2</v>
      </c>
      <c r="N50" s="2153">
        <f t="shared" si="11"/>
        <v>-2.9000000000000001E-2</v>
      </c>
      <c r="AA50" s="2028"/>
      <c r="AB50" s="2028"/>
      <c r="AC50" s="2028"/>
      <c r="AD50" s="2028"/>
      <c r="AE50" s="2028"/>
      <c r="AF50" s="2028"/>
      <c r="AG50" s="2028"/>
      <c r="AH50" s="2028"/>
      <c r="AI50" s="2028"/>
      <c r="AJ50" s="2028"/>
      <c r="AK50" s="2028"/>
    </row>
    <row r="51" spans="1:37" s="1860" customFormat="1" ht="38.25">
      <c r="A51" s="2043" t="s">
        <v>1497</v>
      </c>
      <c r="B51" s="2054" t="str">
        <f>估价对象房地状况!C18</f>
        <v>估价对象周边道路状况、公共交通通达情况、停车便捷程度，综合评价交通便捷度较好</v>
      </c>
      <c r="C51" s="1925" t="s">
        <v>1496</v>
      </c>
      <c r="D51" s="2049">
        <f t="shared" si="7"/>
        <v>1.06E-2</v>
      </c>
      <c r="E51" s="2055"/>
      <c r="F51" s="2051"/>
      <c r="G51" s="2052">
        <f t="shared" ref="G51:G58" si="12">H51</f>
        <v>1.06E-2</v>
      </c>
      <c r="H51" s="2053">
        <f t="shared" si="8"/>
        <v>1.06E-2</v>
      </c>
      <c r="I51" s="2152">
        <v>0.22</v>
      </c>
      <c r="J51" s="2153">
        <f t="shared" si="9"/>
        <v>2.12E-2</v>
      </c>
      <c r="K51" s="2153">
        <f t="shared" si="10"/>
        <v>1.06E-2</v>
      </c>
      <c r="L51" s="2153">
        <v>0</v>
      </c>
      <c r="M51" s="2153">
        <f t="shared" si="11"/>
        <v>-1.06E-2</v>
      </c>
      <c r="N51" s="2153">
        <f t="shared" si="11"/>
        <v>-2.12E-2</v>
      </c>
      <c r="AA51" s="2028"/>
      <c r="AB51" s="2028"/>
      <c r="AC51" s="2028"/>
      <c r="AD51" s="2028"/>
      <c r="AE51" s="2028"/>
      <c r="AF51" s="2028"/>
      <c r="AG51" s="2028"/>
      <c r="AH51" s="2028"/>
      <c r="AI51" s="2028"/>
      <c r="AJ51" s="2028"/>
      <c r="AK51" s="2028"/>
    </row>
    <row r="52" spans="1:37" s="1860" customFormat="1" ht="36">
      <c r="A52" s="2056" t="s">
        <v>1498</v>
      </c>
      <c r="B52" s="2054">
        <f>估价对象房地状况!C19</f>
        <v>0</v>
      </c>
      <c r="C52" s="1925" t="s">
        <v>1496</v>
      </c>
      <c r="D52" s="2049">
        <f t="shared" si="7"/>
        <v>5.7999999999999996E-3</v>
      </c>
      <c r="E52" s="2055"/>
      <c r="F52" s="2051"/>
      <c r="G52" s="2052">
        <f t="shared" si="12"/>
        <v>5.7999999999999996E-3</v>
      </c>
      <c r="H52" s="2053">
        <f t="shared" si="8"/>
        <v>5.7999999999999996E-3</v>
      </c>
      <c r="I52" s="2152">
        <v>0.12</v>
      </c>
      <c r="J52" s="2153">
        <f t="shared" si="9"/>
        <v>1.1599999999999999E-2</v>
      </c>
      <c r="K52" s="2153">
        <f t="shared" si="10"/>
        <v>5.7999999999999996E-3</v>
      </c>
      <c r="L52" s="2153">
        <v>0</v>
      </c>
      <c r="M52" s="2153">
        <f t="shared" si="11"/>
        <v>-5.7999999999999996E-3</v>
      </c>
      <c r="N52" s="2153">
        <f t="shared" si="11"/>
        <v>-1.1599999999999999E-2</v>
      </c>
      <c r="AA52" s="2028"/>
      <c r="AB52" s="2028"/>
      <c r="AC52" s="2028"/>
      <c r="AD52" s="2028"/>
      <c r="AE52" s="2028"/>
      <c r="AF52" s="2028"/>
      <c r="AG52" s="2028"/>
      <c r="AH52" s="2028"/>
      <c r="AI52" s="2028"/>
      <c r="AJ52" s="2028"/>
      <c r="AK52" s="2028"/>
    </row>
    <row r="53" spans="1:37" s="1860" customFormat="1" ht="36.75">
      <c r="A53" s="2043" t="s">
        <v>1499</v>
      </c>
      <c r="B53" s="2057" t="s">
        <v>1500</v>
      </c>
      <c r="C53" s="1925" t="s">
        <v>1496</v>
      </c>
      <c r="D53" s="2049">
        <f t="shared" si="7"/>
        <v>2.3999999999999998E-3</v>
      </c>
      <c r="E53" s="2055"/>
      <c r="F53" s="2051"/>
      <c r="G53" s="2052">
        <f t="shared" si="12"/>
        <v>2.3999999999999998E-3</v>
      </c>
      <c r="H53" s="2053">
        <f t="shared" si="8"/>
        <v>2.3999999999999998E-3</v>
      </c>
      <c r="I53" s="2152">
        <v>0.05</v>
      </c>
      <c r="J53" s="2153">
        <f t="shared" si="9"/>
        <v>4.7999999999999996E-3</v>
      </c>
      <c r="K53" s="2153">
        <f t="shared" si="10"/>
        <v>2.3999999999999998E-3</v>
      </c>
      <c r="L53" s="2153">
        <v>0</v>
      </c>
      <c r="M53" s="2153">
        <f t="shared" si="11"/>
        <v>-2.3999999999999998E-3</v>
      </c>
      <c r="N53" s="2153">
        <f t="shared" si="11"/>
        <v>-4.7999999999999996E-3</v>
      </c>
      <c r="AA53" s="2028"/>
      <c r="AB53" s="2028"/>
      <c r="AC53" s="2028"/>
      <c r="AD53" s="2028"/>
      <c r="AE53" s="2028"/>
      <c r="AF53" s="2028"/>
      <c r="AG53" s="2028"/>
      <c r="AH53" s="2028"/>
      <c r="AI53" s="2028"/>
      <c r="AJ53" s="2028"/>
      <c r="AK53" s="2028"/>
    </row>
    <row r="54" spans="1:37" s="1860" customFormat="1" ht="24">
      <c r="A54" s="2043" t="s">
        <v>1501</v>
      </c>
      <c r="B54" s="2054">
        <f>估价对象房地状况!C24</f>
        <v>0</v>
      </c>
      <c r="C54" s="1925" t="s">
        <v>1506</v>
      </c>
      <c r="D54" s="2049">
        <f t="shared" si="7"/>
        <v>0</v>
      </c>
      <c r="E54" s="2055"/>
      <c r="F54" s="2051"/>
      <c r="G54" s="2052">
        <f t="shared" si="12"/>
        <v>3.8E-3</v>
      </c>
      <c r="H54" s="2053">
        <f t="shared" si="8"/>
        <v>3.8E-3</v>
      </c>
      <c r="I54" s="2152">
        <v>0.08</v>
      </c>
      <c r="J54" s="2153">
        <f t="shared" si="9"/>
        <v>7.6E-3</v>
      </c>
      <c r="K54" s="2153">
        <f t="shared" si="10"/>
        <v>3.8E-3</v>
      </c>
      <c r="L54" s="2153">
        <v>0</v>
      </c>
      <c r="M54" s="2153">
        <f t="shared" si="11"/>
        <v>-3.8E-3</v>
      </c>
      <c r="N54" s="2153">
        <f t="shared" si="11"/>
        <v>-7.6E-3</v>
      </c>
      <c r="AA54" s="2028"/>
      <c r="AB54" s="2028"/>
      <c r="AC54" s="2028"/>
      <c r="AD54" s="2028"/>
      <c r="AE54" s="2028"/>
      <c r="AF54" s="2028"/>
      <c r="AG54" s="2028"/>
      <c r="AH54" s="2028"/>
      <c r="AI54" s="2028"/>
      <c r="AJ54" s="2028"/>
      <c r="AK54" s="2028"/>
    </row>
    <row r="55" spans="1:37" s="1860" customFormat="1" ht="24">
      <c r="A55" s="2043" t="s">
        <v>1503</v>
      </c>
      <c r="B55" s="2058" t="s">
        <v>1504</v>
      </c>
      <c r="C55" s="1925" t="s">
        <v>1496</v>
      </c>
      <c r="D55" s="2049">
        <f t="shared" si="7"/>
        <v>2.3999999999999998E-3</v>
      </c>
      <c r="E55" s="2055"/>
      <c r="F55" s="2051"/>
      <c r="G55" s="2052">
        <f t="shared" si="12"/>
        <v>2.3999999999999998E-3</v>
      </c>
      <c r="H55" s="2053">
        <f t="shared" si="8"/>
        <v>2.3999999999999998E-3</v>
      </c>
      <c r="I55" s="2152">
        <v>0.05</v>
      </c>
      <c r="J55" s="2153">
        <f t="shared" si="9"/>
        <v>4.7999999999999996E-3</v>
      </c>
      <c r="K55" s="2153">
        <f t="shared" si="10"/>
        <v>2.3999999999999998E-3</v>
      </c>
      <c r="L55" s="2153">
        <v>0</v>
      </c>
      <c r="M55" s="2153">
        <f t="shared" si="11"/>
        <v>-2.3999999999999998E-3</v>
      </c>
      <c r="N55" s="2153">
        <f t="shared" si="11"/>
        <v>-4.7999999999999996E-3</v>
      </c>
      <c r="AA55" s="2028"/>
      <c r="AB55" s="2028"/>
      <c r="AC55" s="2028"/>
      <c r="AD55" s="2028"/>
      <c r="AE55" s="2028"/>
      <c r="AF55" s="2028"/>
      <c r="AG55" s="2028"/>
      <c r="AH55" s="2028"/>
      <c r="AI55" s="2028"/>
      <c r="AJ55" s="2028"/>
      <c r="AK55" s="2028"/>
    </row>
    <row r="56" spans="1:37" s="1860" customFormat="1" ht="25.5">
      <c r="A56" s="2059" t="s">
        <v>1505</v>
      </c>
      <c r="B56" s="593" t="str">
        <f>估价对象房地状况!C21</f>
        <v>估价对象所在区域公共配套设施齐备情况</v>
      </c>
      <c r="C56" s="1925" t="s">
        <v>1496</v>
      </c>
      <c r="D56" s="2049">
        <f t="shared" si="7"/>
        <v>2.3999999999999998E-3</v>
      </c>
      <c r="E56" s="2055"/>
      <c r="F56" s="2051"/>
      <c r="G56" s="2052">
        <f t="shared" si="12"/>
        <v>2.3999999999999998E-3</v>
      </c>
      <c r="H56" s="2053">
        <f t="shared" si="8"/>
        <v>2.3999999999999998E-3</v>
      </c>
      <c r="I56" s="2152">
        <v>0.05</v>
      </c>
      <c r="J56" s="2153">
        <f t="shared" si="9"/>
        <v>4.7999999999999996E-3</v>
      </c>
      <c r="K56" s="2153">
        <f t="shared" si="10"/>
        <v>2.3999999999999998E-3</v>
      </c>
      <c r="L56" s="2153">
        <v>0</v>
      </c>
      <c r="M56" s="2153">
        <f t="shared" si="11"/>
        <v>-2.3999999999999998E-3</v>
      </c>
      <c r="N56" s="2153">
        <f t="shared" si="11"/>
        <v>-4.7999999999999996E-3</v>
      </c>
      <c r="AA56" s="2028"/>
      <c r="AB56" s="2028"/>
      <c r="AC56" s="2028"/>
      <c r="AD56" s="2028"/>
      <c r="AE56" s="2028"/>
      <c r="AF56" s="2028"/>
      <c r="AG56" s="2028"/>
      <c r="AH56" s="2028"/>
      <c r="AI56" s="2028"/>
      <c r="AJ56" s="2028"/>
      <c r="AK56" s="2028"/>
    </row>
    <row r="57" spans="1:37" s="1860" customFormat="1" ht="25.5">
      <c r="A57" s="2059" t="s">
        <v>1507</v>
      </c>
      <c r="B57" s="2054" t="str">
        <f>估价对象房地状况!C22</f>
        <v>估价对象所在区域基础设施水平</v>
      </c>
      <c r="C57" s="1925" t="s">
        <v>1508</v>
      </c>
      <c r="D57" s="2049">
        <f t="shared" si="7"/>
        <v>7.6E-3</v>
      </c>
      <c r="E57" s="2055"/>
      <c r="F57" s="2051"/>
      <c r="G57" s="2052">
        <f t="shared" si="12"/>
        <v>3.8E-3</v>
      </c>
      <c r="H57" s="2053">
        <f t="shared" si="8"/>
        <v>3.8E-3</v>
      </c>
      <c r="I57" s="2152">
        <v>0.08</v>
      </c>
      <c r="J57" s="2153">
        <f t="shared" si="9"/>
        <v>7.6E-3</v>
      </c>
      <c r="K57" s="2153">
        <f t="shared" si="10"/>
        <v>3.8E-3</v>
      </c>
      <c r="L57" s="2153">
        <v>0</v>
      </c>
      <c r="M57" s="2153">
        <f t="shared" si="11"/>
        <v>-3.8E-3</v>
      </c>
      <c r="N57" s="2153">
        <f t="shared" si="11"/>
        <v>-7.6E-3</v>
      </c>
      <c r="AA57" s="2028"/>
      <c r="AB57" s="2028"/>
      <c r="AC57" s="2028"/>
      <c r="AD57" s="2028"/>
      <c r="AE57" s="2028"/>
      <c r="AF57" s="2028"/>
      <c r="AG57" s="2028"/>
      <c r="AH57" s="2028"/>
      <c r="AI57" s="2028"/>
      <c r="AJ57" s="2028"/>
      <c r="AK57" s="2028"/>
    </row>
    <row r="58" spans="1:37" s="1860" customFormat="1" ht="25.5">
      <c r="A58" s="2060" t="s">
        <v>1509</v>
      </c>
      <c r="B58" s="2061" t="str">
        <f>估价对象房地状况!C20</f>
        <v>区域自然环境：；人文环境；综合评价环境状况一般</v>
      </c>
      <c r="C58" s="1925" t="s">
        <v>1496</v>
      </c>
      <c r="D58" s="2049">
        <f t="shared" si="7"/>
        <v>2.3999999999999998E-3</v>
      </c>
      <c r="E58" s="2062"/>
      <c r="F58" s="2051"/>
      <c r="G58" s="2052">
        <f t="shared" si="12"/>
        <v>2.3999999999999998E-3</v>
      </c>
      <c r="H58" s="2053">
        <f t="shared" si="8"/>
        <v>2.3999999999999998E-3</v>
      </c>
      <c r="I58" s="2154">
        <v>0.05</v>
      </c>
      <c r="J58" s="2153">
        <f t="shared" si="9"/>
        <v>4.7999999999999996E-3</v>
      </c>
      <c r="K58" s="2153">
        <f t="shared" si="10"/>
        <v>2.3999999999999998E-3</v>
      </c>
      <c r="L58" s="2153">
        <v>0</v>
      </c>
      <c r="M58" s="2153">
        <f t="shared" si="11"/>
        <v>-2.3999999999999998E-3</v>
      </c>
      <c r="N58" s="2153">
        <f t="shared" si="11"/>
        <v>-4.7999999999999996E-3</v>
      </c>
      <c r="AA58" s="2028"/>
      <c r="AB58" s="2028"/>
      <c r="AC58" s="2028"/>
      <c r="AD58" s="2028"/>
      <c r="AE58" s="2028"/>
      <c r="AF58" s="2028"/>
      <c r="AG58" s="2028"/>
      <c r="AH58" s="2028"/>
      <c r="AI58" s="2028"/>
      <c r="AJ58" s="2028"/>
      <c r="AK58" s="2028"/>
    </row>
    <row r="59" spans="1:37" s="1860" customFormat="1" ht="15">
      <c r="A59" s="2037" t="s">
        <v>1510</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1482</v>
      </c>
      <c r="B60" s="2044"/>
      <c r="C60" s="2044" t="s">
        <v>1484</v>
      </c>
      <c r="D60" s="2044" t="s">
        <v>1485</v>
      </c>
      <c r="E60" s="2045" t="s">
        <v>1486</v>
      </c>
      <c r="F60" s="2046" t="s">
        <v>1511</v>
      </c>
      <c r="G60" s="2044" t="s">
        <v>1405</v>
      </c>
      <c r="H60" s="2047" t="s">
        <v>1488</v>
      </c>
      <c r="I60" s="2044" t="s">
        <v>1489</v>
      </c>
      <c r="J60" s="920" t="s">
        <v>1490</v>
      </c>
      <c r="K60" s="920" t="s">
        <v>1491</v>
      </c>
      <c r="L60" s="920" t="s">
        <v>1492</v>
      </c>
      <c r="M60" s="920" t="s">
        <v>1493</v>
      </c>
      <c r="N60" s="920" t="s">
        <v>1494</v>
      </c>
      <c r="AA60" s="2028"/>
      <c r="AB60" s="2028"/>
      <c r="AC60" s="2028"/>
      <c r="AD60" s="2028"/>
      <c r="AE60" s="2028"/>
      <c r="AF60" s="2028"/>
      <c r="AG60" s="2028"/>
      <c r="AH60" s="2028"/>
      <c r="AI60" s="2028"/>
      <c r="AJ60" s="2028"/>
      <c r="AK60" s="2028"/>
    </row>
    <row r="61" spans="1:37" s="1860" customFormat="1" ht="38.25">
      <c r="A61" s="2043" t="s">
        <v>1512</v>
      </c>
      <c r="B61" s="2048" t="str">
        <f>估价对象房地状况!C17</f>
        <v>估价对象位于XX商圈，周边办公楼项目较多，入驻率高，办公集聚程度较好</v>
      </c>
      <c r="C61" s="1925" t="s">
        <v>1506</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1497</v>
      </c>
      <c r="B62" s="2054" t="str">
        <f>估价对象房地状况!C18</f>
        <v>估价对象周边道路状况、公共交通通达情况、停车便捷程度，综合评价交通便捷度较好</v>
      </c>
      <c r="C62" s="1925" t="s">
        <v>1496</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1498</v>
      </c>
      <c r="B63" s="2054">
        <f>估价对象房地状况!C19</f>
        <v>0</v>
      </c>
      <c r="C63" s="1925" t="s">
        <v>1496</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1499</v>
      </c>
      <c r="B64" s="2057" t="s">
        <v>1500</v>
      </c>
      <c r="C64" s="1925" t="s">
        <v>1496</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1501</v>
      </c>
      <c r="B65" s="2054">
        <f>估价对象房地状况!C24</f>
        <v>0</v>
      </c>
      <c r="C65" s="1925" t="s">
        <v>1506</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1503</v>
      </c>
      <c r="B66" s="2058" t="s">
        <v>1504</v>
      </c>
      <c r="C66" s="1925" t="s">
        <v>1496</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1505</v>
      </c>
      <c r="B67" s="593" t="str">
        <f>估价对象房地状况!C21</f>
        <v>估价对象所在区域公共配套设施齐备情况</v>
      </c>
      <c r="C67" s="1925" t="s">
        <v>1508</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1507</v>
      </c>
      <c r="B68" s="593" t="str">
        <f>估价对象房地状况!C22</f>
        <v>估价对象所在区域基础设施水平</v>
      </c>
      <c r="C68" s="1925" t="s">
        <v>1496</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1509</v>
      </c>
      <c r="B69" s="2184" t="str">
        <f>估价对象房地状况!C20</f>
        <v>区域自然环境：；人文环境；综合评价环境状况一般</v>
      </c>
      <c r="C69" s="1925" t="s">
        <v>1496</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1513</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1482</v>
      </c>
      <c r="B71" s="2044"/>
      <c r="C71" s="2044" t="s">
        <v>1484</v>
      </c>
      <c r="D71" s="2044" t="s">
        <v>1485</v>
      </c>
      <c r="E71" s="2045" t="s">
        <v>1486</v>
      </c>
      <c r="F71" s="2046" t="s">
        <v>1511</v>
      </c>
      <c r="G71" s="2044" t="s">
        <v>1405</v>
      </c>
      <c r="H71" s="2047" t="s">
        <v>1488</v>
      </c>
      <c r="I71" s="2044" t="s">
        <v>1489</v>
      </c>
      <c r="J71" s="920" t="s">
        <v>1490</v>
      </c>
      <c r="K71" s="920" t="s">
        <v>1491</v>
      </c>
      <c r="L71" s="920" t="s">
        <v>1492</v>
      </c>
      <c r="M71" s="920" t="s">
        <v>1493</v>
      </c>
      <c r="N71" s="920" t="s">
        <v>1494</v>
      </c>
      <c r="AA71" s="2028"/>
      <c r="AB71" s="2028"/>
      <c r="AC71" s="2028"/>
      <c r="AD71" s="2028"/>
      <c r="AE71" s="2028"/>
      <c r="AF71" s="2028"/>
      <c r="AG71" s="2028"/>
      <c r="AH71" s="2028"/>
      <c r="AI71" s="2028"/>
      <c r="AJ71" s="2028"/>
      <c r="AK71" s="2028"/>
    </row>
    <row r="72" spans="1:37" s="1860" customFormat="1" ht="51">
      <c r="A72" s="2043" t="s">
        <v>1514</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1497</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1498</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1515</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1505</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1507</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1503</v>
      </c>
      <c r="B78" s="2058" t="s">
        <v>1504</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1509</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1516</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1517</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1482</v>
      </c>
      <c r="B82" s="2044"/>
      <c r="C82" s="2044" t="s">
        <v>1484</v>
      </c>
      <c r="D82" s="2044" t="s">
        <v>1485</v>
      </c>
      <c r="E82" s="2045" t="s">
        <v>1486</v>
      </c>
      <c r="F82" s="2046" t="s">
        <v>1511</v>
      </c>
      <c r="G82" s="2044" t="s">
        <v>1405</v>
      </c>
      <c r="H82" s="2047" t="s">
        <v>1488</v>
      </c>
      <c r="I82" s="2044" t="s">
        <v>1489</v>
      </c>
      <c r="J82" s="920" t="s">
        <v>1490</v>
      </c>
      <c r="K82" s="920" t="s">
        <v>1491</v>
      </c>
      <c r="L82" s="920" t="s">
        <v>1492</v>
      </c>
      <c r="M82" s="920" t="s">
        <v>1493</v>
      </c>
      <c r="N82" s="920" t="s">
        <v>1494</v>
      </c>
      <c r="Z82" s="1864"/>
      <c r="AA82" s="1862"/>
      <c r="AG82" s="1866"/>
      <c r="AK82" s="1862"/>
    </row>
    <row r="83" spans="1:37" ht="38.25">
      <c r="A83" s="2043" t="s">
        <v>1518</v>
      </c>
      <c r="B83" s="2054" t="str">
        <f>估价对象房地状况!G15</f>
        <v>估价对象位于XX开发区，园区建设成熟度XX，产业集聚程度XX</v>
      </c>
      <c r="C83" s="1925" t="s">
        <v>1506</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1497</v>
      </c>
      <c r="B84" s="2054" t="str">
        <f>估价对象房地状况!G16</f>
        <v>估价对象周边道路状况、公共交通通达情况、停车便捷程度，综合评价交通便捷度较好</v>
      </c>
      <c r="C84" s="1925" t="s">
        <v>1502</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1498</v>
      </c>
      <c r="B85" s="2054">
        <f>估价对象房地状况!G17</f>
        <v>0</v>
      </c>
      <c r="C85" s="1925" t="s">
        <v>1496</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1515</v>
      </c>
      <c r="B86" s="2054">
        <f>估价对象房地状况!G22</f>
        <v>0</v>
      </c>
      <c r="C86" s="1925" t="s">
        <v>1502</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1505</v>
      </c>
      <c r="B87" s="593" t="str">
        <f>估价对象房地状况!G19</f>
        <v>估价对象所在区域公共配套设施齐备情况</v>
      </c>
      <c r="C87" s="1925" t="s">
        <v>1506</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1507</v>
      </c>
      <c r="B88" s="593" t="str">
        <f>估价对象房地状况!G20</f>
        <v>估价对象所在区域基础设施水平</v>
      </c>
      <c r="C88" s="1925" t="s">
        <v>1506</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1503</v>
      </c>
      <c r="B89" s="2058" t="s">
        <v>1519</v>
      </c>
      <c r="C89" s="1925" t="s">
        <v>1496</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1520</v>
      </c>
      <c r="B90" s="2188" t="str">
        <f>估价对象房地状况!G18</f>
        <v>该园区内是否有污染型企业，绿化情况，卫生条件，整体环境状况判断</v>
      </c>
      <c r="C90" s="1925" t="s">
        <v>1496</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1482</v>
      </c>
      <c r="B92" s="2196"/>
      <c r="C92" s="2196" t="s">
        <v>1484</v>
      </c>
      <c r="D92" s="2196" t="s">
        <v>1485</v>
      </c>
      <c r="E92" s="2165" t="s">
        <v>1486</v>
      </c>
      <c r="F92" s="2197" t="s">
        <v>1511</v>
      </c>
      <c r="G92" s="2196" t="s">
        <v>1405</v>
      </c>
      <c r="H92" s="2198" t="s">
        <v>1488</v>
      </c>
      <c r="I92" s="2196" t="s">
        <v>1489</v>
      </c>
      <c r="J92" s="2230" t="s">
        <v>1490</v>
      </c>
      <c r="K92" s="2230" t="s">
        <v>1491</v>
      </c>
      <c r="L92" s="2230" t="s">
        <v>1492</v>
      </c>
      <c r="M92" s="2230" t="s">
        <v>1493</v>
      </c>
      <c r="N92" s="2230" t="s">
        <v>1494</v>
      </c>
    </row>
    <row r="93" spans="1:37" ht="24">
      <c r="A93" s="2056" t="s">
        <v>1521</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1497</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1498</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1499</v>
      </c>
      <c r="B96" s="2203" t="s">
        <v>1500</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1501</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1503</v>
      </c>
      <c r="B98" s="2204" t="s">
        <v>1504</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1505</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1507</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1509</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7" t="s">
        <v>1522</v>
      </c>
      <c r="B103" s="3687"/>
      <c r="C103" s="3687"/>
      <c r="D103" s="3687"/>
      <c r="E103" s="3687"/>
      <c r="F103" s="3687"/>
      <c r="G103" s="3687"/>
      <c r="H103" s="3687"/>
      <c r="I103" s="3687"/>
      <c r="J103" s="3687"/>
      <c r="K103" s="2208"/>
      <c r="L103" s="2208"/>
      <c r="M103" s="2208"/>
      <c r="N103" s="2208"/>
    </row>
    <row r="104" spans="1:14">
      <c r="A104" s="3693" t="s">
        <v>1523</v>
      </c>
      <c r="B104" s="3693" t="s">
        <v>1524</v>
      </c>
      <c r="C104" s="2210" t="s">
        <v>1525</v>
      </c>
      <c r="D104" s="2211"/>
      <c r="E104" s="2211"/>
      <c r="F104" s="2211"/>
      <c r="G104" s="2211"/>
      <c r="H104" s="2211"/>
      <c r="I104" s="2211"/>
      <c r="J104" s="2231"/>
      <c r="K104" s="2232"/>
      <c r="L104" s="2232"/>
      <c r="M104" s="2232"/>
      <c r="N104" s="2232"/>
    </row>
    <row r="105" spans="1:14">
      <c r="A105" s="3693"/>
      <c r="B105" s="3693"/>
      <c r="C105" s="2209" t="s">
        <v>1366</v>
      </c>
      <c r="D105" s="2209" t="s">
        <v>1367</v>
      </c>
      <c r="E105" s="2209" t="s">
        <v>1368</v>
      </c>
      <c r="F105" s="2209" t="s">
        <v>1369</v>
      </c>
      <c r="G105" s="2209" t="s">
        <v>1370</v>
      </c>
      <c r="H105" s="2209" t="s">
        <v>1371</v>
      </c>
      <c r="I105" s="2209" t="s">
        <v>1372</v>
      </c>
      <c r="J105" s="2209" t="s">
        <v>1373</v>
      </c>
      <c r="K105" s="2209" t="s">
        <v>1374</v>
      </c>
      <c r="L105" s="2209" t="s">
        <v>1375</v>
      </c>
      <c r="M105" s="2209" t="s">
        <v>1376</v>
      </c>
      <c r="N105" s="2209" t="s">
        <v>1377</v>
      </c>
    </row>
    <row r="106" spans="1:14">
      <c r="A106" s="3694" t="s">
        <v>1526</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5"/>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5"/>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5"/>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5"/>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5"/>
      <c r="B111" s="2209" t="s">
        <v>1382</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6"/>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88" t="s">
        <v>1527</v>
      </c>
      <c r="B113" s="3688"/>
      <c r="C113" s="3688"/>
      <c r="D113" s="3688"/>
      <c r="E113" s="3688"/>
      <c r="F113" s="3688"/>
      <c r="G113" s="3688"/>
      <c r="H113" s="3688"/>
      <c r="I113" s="3688"/>
      <c r="J113" s="3688"/>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1528</v>
      </c>
      <c r="B116" s="2216" t="e">
        <f>G3</f>
        <v>#DIV/0!</v>
      </c>
      <c r="C116" s="2217" t="s">
        <v>1529</v>
      </c>
      <c r="D116" s="2218" t="e">
        <f>SUMPRODUCT((A118:A122=F116)*(B117:M117=H116)*B118:M122)</f>
        <v>#DIV/0!</v>
      </c>
      <c r="E116" s="1869" t="s">
        <v>1340</v>
      </c>
      <c r="F116" s="2219" t="str">
        <f>E2</f>
        <v>商业</v>
      </c>
      <c r="G116" s="1869" t="s">
        <v>1341</v>
      </c>
      <c r="H116" s="2219" t="str">
        <f>G2</f>
        <v>五级</v>
      </c>
      <c r="I116" s="1869"/>
      <c r="J116" s="2233"/>
      <c r="K116" s="2233"/>
      <c r="L116" s="2233"/>
      <c r="M116" s="2233"/>
      <c r="N116" s="2214"/>
    </row>
    <row r="117" spans="1:14">
      <c r="A117" s="2220"/>
      <c r="B117" s="2221" t="s">
        <v>1530</v>
      </c>
      <c r="C117" s="2221" t="s">
        <v>1531</v>
      </c>
      <c r="D117" s="2221" t="s">
        <v>1532</v>
      </c>
      <c r="E117" s="2222" t="s">
        <v>1533</v>
      </c>
      <c r="F117" s="2222" t="s">
        <v>1534</v>
      </c>
      <c r="G117" s="2222" t="s">
        <v>1535</v>
      </c>
      <c r="H117" s="2223" t="s">
        <v>1536</v>
      </c>
      <c r="I117" s="2223" t="s">
        <v>1537</v>
      </c>
      <c r="J117" s="2234" t="s">
        <v>1538</v>
      </c>
      <c r="K117" s="2234" t="s">
        <v>1539</v>
      </c>
      <c r="L117" s="2234" t="s">
        <v>1540</v>
      </c>
      <c r="M117" s="2235" t="s">
        <v>1541</v>
      </c>
      <c r="N117" s="2214"/>
    </row>
    <row r="118" spans="1:14">
      <c r="A118" s="2224" t="s">
        <v>1451</v>
      </c>
      <c r="B118" s="2198" t="e">
        <f>ROUND(0.9968-0.011*B116,4)</f>
        <v>#DIV/0!</v>
      </c>
      <c r="C118" s="2198" t="e">
        <f>B118</f>
        <v>#DIV/0!</v>
      </c>
      <c r="D118" s="2198" t="e">
        <f>ROUND(0.949-0.014*B116,4)</f>
        <v>#DIV/0!</v>
      </c>
      <c r="E118" s="2198" t="e">
        <f>D118</f>
        <v>#DIV/0!</v>
      </c>
      <c r="F118" s="2198" t="e">
        <f>E118</f>
        <v>#DIV/0!</v>
      </c>
      <c r="G118" s="2198" t="e">
        <f>F118</f>
        <v>#DIV/0!</v>
      </c>
      <c r="H118" s="2198" t="e">
        <f>G118</f>
        <v>#DIV/0!</v>
      </c>
      <c r="I118" s="2198" t="e">
        <f>ROUND(0.8486-0.018*B116,4)</f>
        <v>#DIV/0!</v>
      </c>
      <c r="J118" s="2198" t="e">
        <f t="shared" ref="J118:M122" si="38">I118</f>
        <v>#DIV/0!</v>
      </c>
      <c r="K118" s="2198" t="e">
        <f t="shared" si="38"/>
        <v>#DIV/0!</v>
      </c>
      <c r="L118" s="2198" t="e">
        <f t="shared" si="38"/>
        <v>#DIV/0!</v>
      </c>
      <c r="M118" s="2236" t="e">
        <f t="shared" si="38"/>
        <v>#DIV/0!</v>
      </c>
      <c r="N118" s="2214"/>
    </row>
    <row r="119" spans="1:14">
      <c r="A119" s="2224" t="s">
        <v>1452</v>
      </c>
      <c r="B119" s="2198" t="e">
        <f>ROUND(0.993-0.0112*B116,4)</f>
        <v>#DIV/0!</v>
      </c>
      <c r="C119" s="2198" t="e">
        <f>B119</f>
        <v>#DIV/0!</v>
      </c>
      <c r="D119" s="2198" t="e">
        <f>ROUND(0.9415-0.0142*B116,4)</f>
        <v>#DIV/0!</v>
      </c>
      <c r="E119" s="2198" t="e">
        <f t="shared" ref="E119:H120" si="39">D119</f>
        <v>#DIV/0!</v>
      </c>
      <c r="F119" s="2198" t="e">
        <f t="shared" si="39"/>
        <v>#DIV/0!</v>
      </c>
      <c r="G119" s="2198" t="e">
        <f t="shared" si="39"/>
        <v>#DIV/0!</v>
      </c>
      <c r="H119" s="2198" t="e">
        <f t="shared" si="39"/>
        <v>#DIV/0!</v>
      </c>
      <c r="I119" s="2198" t="e">
        <f>ROUND(0.838-0.0182*B116,4)</f>
        <v>#DIV/0!</v>
      </c>
      <c r="J119" s="2198" t="e">
        <f t="shared" si="38"/>
        <v>#DIV/0!</v>
      </c>
      <c r="K119" s="2198" t="e">
        <f t="shared" si="38"/>
        <v>#DIV/0!</v>
      </c>
      <c r="L119" s="2198" t="e">
        <f t="shared" si="38"/>
        <v>#DIV/0!</v>
      </c>
      <c r="M119" s="2236" t="e">
        <f t="shared" si="38"/>
        <v>#DIV/0!</v>
      </c>
      <c r="N119" s="2214"/>
    </row>
    <row r="120" spans="1:14">
      <c r="A120" s="2224" t="s">
        <v>1453</v>
      </c>
      <c r="B120" s="2198" t="e">
        <f>ROUND(0.9448-0.0115*B116,4)</f>
        <v>#DIV/0!</v>
      </c>
      <c r="C120" s="2198" t="e">
        <f>B120</f>
        <v>#DIV/0!</v>
      </c>
      <c r="D120" s="2198" t="e">
        <f>ROUND(0.937-0.0145*B116,4)</f>
        <v>#DIV/0!</v>
      </c>
      <c r="E120" s="2198" t="e">
        <f t="shared" si="39"/>
        <v>#DIV/0!</v>
      </c>
      <c r="F120" s="2198" t="e">
        <f t="shared" si="39"/>
        <v>#DIV/0!</v>
      </c>
      <c r="G120" s="2198" t="e">
        <f t="shared" si="39"/>
        <v>#DIV/0!</v>
      </c>
      <c r="H120" s="2198" t="e">
        <f t="shared" si="39"/>
        <v>#DIV/0!</v>
      </c>
      <c r="I120" s="2198" t="e">
        <f>ROUND(0.7965-0.0185*B116,4)</f>
        <v>#DIV/0!</v>
      </c>
      <c r="J120" s="2198" t="e">
        <f t="shared" si="38"/>
        <v>#DIV/0!</v>
      </c>
      <c r="K120" s="2198" t="e">
        <f t="shared" si="38"/>
        <v>#DIV/0!</v>
      </c>
      <c r="L120" s="2198" t="e">
        <f t="shared" si="38"/>
        <v>#DIV/0!</v>
      </c>
      <c r="M120" s="2236" t="e">
        <f t="shared" si="38"/>
        <v>#DIV/0!</v>
      </c>
      <c r="N120" s="2214"/>
    </row>
    <row r="121" spans="1:14">
      <c r="A121" s="2225" t="s">
        <v>1454</v>
      </c>
      <c r="B121" s="2226" t="e">
        <f>ROUND(0.7836-0.012*B116,4)</f>
        <v>#DIV/0!</v>
      </c>
      <c r="C121" s="2226" t="e">
        <f>B121</f>
        <v>#DIV/0!</v>
      </c>
      <c r="D121" s="2226" t="e">
        <f>ROUND(0.753-0.015*B116,4)</f>
        <v>#DIV/0!</v>
      </c>
      <c r="E121" s="2226" t="e">
        <f>D121</f>
        <v>#DIV/0!</v>
      </c>
      <c r="F121" s="2226" t="e">
        <f>E121</f>
        <v>#DIV/0!</v>
      </c>
      <c r="G121" s="2226" t="e">
        <f>ROUND(0.6612-0.018*B116,4)</f>
        <v>#DIV/0!</v>
      </c>
      <c r="H121" s="2226" t="e">
        <f>G121</f>
        <v>#DIV/0!</v>
      </c>
      <c r="I121" s="2226" t="e">
        <f>ROUND(0.5905-0.019*B116,4)</f>
        <v>#DIV/0!</v>
      </c>
      <c r="J121" s="2226" t="e">
        <f t="shared" si="38"/>
        <v>#DIV/0!</v>
      </c>
      <c r="K121" s="2226" t="e">
        <f t="shared" si="38"/>
        <v>#DIV/0!</v>
      </c>
      <c r="L121" s="2226" t="e">
        <f t="shared" si="38"/>
        <v>#DIV/0!</v>
      </c>
      <c r="M121" s="2237" t="e">
        <f t="shared" si="38"/>
        <v>#DIV/0!</v>
      </c>
      <c r="N121" s="2214"/>
    </row>
    <row r="122" spans="1:14">
      <c r="A122" s="2227" t="s">
        <v>280</v>
      </c>
      <c r="B122" s="2198" t="e">
        <f>ROUND(0.9404-0.0106*B116,4)</f>
        <v>#DIV/0!</v>
      </c>
      <c r="C122" s="2198" t="e">
        <f>B122</f>
        <v>#DIV/0!</v>
      </c>
      <c r="D122" s="2198" t="e">
        <f>ROUND(0.8955-0.0135*B116,4)</f>
        <v>#DIV/0!</v>
      </c>
      <c r="E122" s="2198" t="e">
        <f t="shared" ref="E122:H122" si="40">D122</f>
        <v>#DIV/0!</v>
      </c>
      <c r="F122" s="2198" t="e">
        <f t="shared" si="40"/>
        <v>#DIV/0!</v>
      </c>
      <c r="G122" s="2198" t="e">
        <f t="shared" si="40"/>
        <v>#DIV/0!</v>
      </c>
      <c r="H122" s="2198" t="e">
        <f t="shared" si="40"/>
        <v>#DIV/0!</v>
      </c>
      <c r="I122" s="2198" t="e">
        <f>ROUND(0.7632-0.0166*B116,4)</f>
        <v>#DIV/0!</v>
      </c>
      <c r="J122" s="2198" t="e">
        <f t="shared" si="38"/>
        <v>#DIV/0!</v>
      </c>
      <c r="K122" s="2198" t="e">
        <f t="shared" si="38"/>
        <v>#DIV/0!</v>
      </c>
      <c r="L122" s="2198" t="e">
        <f t="shared" si="38"/>
        <v>#DIV/0!</v>
      </c>
      <c r="M122" s="2236" t="e">
        <f t="shared" si="38"/>
        <v>#DIV/0!</v>
      </c>
      <c r="N122" s="221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8" sqref="J48"/>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1765</v>
      </c>
      <c r="D1" s="1580" t="s">
        <v>124</v>
      </c>
      <c r="E1" s="1581" t="s">
        <v>1145</v>
      </c>
      <c r="F1" s="1582">
        <f ca="1">J53</f>
        <v>23</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2238">
        <f ca="1">C40+J29+L46</f>
        <v>2309</v>
      </c>
      <c r="C2" s="1586" t="s">
        <v>1147</v>
      </c>
      <c r="D2" s="1586"/>
      <c r="E2" s="1588"/>
      <c r="F2" s="1589"/>
      <c r="G2" s="1590"/>
      <c r="H2" s="1591"/>
      <c r="I2" s="1591"/>
      <c r="J2" s="1591"/>
      <c r="K2" s="1750"/>
      <c r="L2" s="1591"/>
      <c r="M2" s="1591"/>
    </row>
    <row r="3" spans="1:37" ht="18" customHeight="1">
      <c r="A3" s="1592" t="s">
        <v>1148</v>
      </c>
      <c r="B3" s="1593">
        <f ca="1">IF(ISERROR(B2*10000/F43),0,ROUND(B2*10000/F43,0))</f>
        <v>12473</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182</v>
      </c>
      <c r="D5" s="1602" t="s">
        <v>1157</v>
      </c>
      <c r="E5" s="1603"/>
      <c r="F5" s="1604"/>
      <c r="G5" s="1576"/>
      <c r="H5" s="1599">
        <v>1</v>
      </c>
      <c r="I5" s="1600" t="s">
        <v>1156</v>
      </c>
      <c r="J5" s="1601">
        <f ca="1">J6+J10+J12</f>
        <v>0</v>
      </c>
      <c r="K5" s="1602" t="s">
        <v>1157</v>
      </c>
      <c r="L5" s="1603"/>
      <c r="M5" s="1604"/>
    </row>
    <row r="6" spans="1:37" ht="18" customHeight="1">
      <c r="A6" s="1605" t="s">
        <v>896</v>
      </c>
      <c r="B6" s="3700" t="s">
        <v>1158</v>
      </c>
      <c r="C6" s="1606">
        <f ca="1">ROUND(F6*F8*F7*(1-F9)/10000,0)</f>
        <v>182</v>
      </c>
      <c r="D6" s="1607" t="s">
        <v>1159</v>
      </c>
      <c r="E6" s="1608" t="s">
        <v>1160</v>
      </c>
      <c r="F6" s="1609">
        <f ca="1">INDIRECT("'数据-取费表'!u"&amp;$G$1)</f>
        <v>3</v>
      </c>
      <c r="G6" s="1576"/>
      <c r="H6" s="1605" t="s">
        <v>896</v>
      </c>
      <c r="I6" s="3700" t="s">
        <v>1158</v>
      </c>
      <c r="J6" s="1680">
        <f ca="1">ROUND(M6*M8*M7*(1-M9)/10000,0)</f>
        <v>0</v>
      </c>
      <c r="K6" s="1607" t="s">
        <v>1161</v>
      </c>
      <c r="L6" s="1608" t="s">
        <v>1160</v>
      </c>
      <c r="M6" s="1609">
        <f ca="1">INDIRECT("'数据-取费表'!z"&amp;$G$1)</f>
        <v>0</v>
      </c>
    </row>
    <row r="7" spans="1:37" ht="18" customHeight="1">
      <c r="A7" s="1610"/>
      <c r="B7" s="3701"/>
      <c r="C7" s="1611"/>
      <c r="D7" s="1612"/>
      <c r="E7" s="1613" t="s">
        <v>1162</v>
      </c>
      <c r="F7" s="1609">
        <f ca="1">IF(INDIRECT("'数据-取费表'!ah"&amp;$G$1)="",INDIRECT("'数据-取费表'!k"&amp;$G$1),INDIRECT("'数据-取费表'!ah"&amp;$G$1))</f>
        <v>1851.14</v>
      </c>
      <c r="G7" s="1576"/>
      <c r="H7" s="1614"/>
      <c r="I7" s="3701"/>
      <c r="J7" s="1615"/>
      <c r="K7" s="1612"/>
      <c r="L7" s="1608" t="s">
        <v>1162</v>
      </c>
      <c r="M7" s="1609">
        <f ca="1">F7</f>
        <v>1851.14</v>
      </c>
    </row>
    <row r="8" spans="1:37" ht="18" customHeight="1">
      <c r="A8" s="1614"/>
      <c r="B8" s="3701"/>
      <c r="C8" s="1615"/>
      <c r="D8" s="1612"/>
      <c r="E8" s="1608" t="s">
        <v>1163</v>
      </c>
      <c r="F8" s="1609">
        <f ca="1">INDIRECT("'数据-取费表'!ai"&amp;$G$1)</f>
        <v>365</v>
      </c>
      <c r="G8" s="1576"/>
      <c r="H8" s="1614"/>
      <c r="I8" s="3701"/>
      <c r="J8" s="1615"/>
      <c r="K8" s="1612"/>
      <c r="L8" s="1608" t="s">
        <v>1163</v>
      </c>
      <c r="M8" s="1609">
        <f ca="1">INDIRECT("'数据-取费表'!ai"&amp;$G$1)</f>
        <v>365</v>
      </c>
    </row>
    <row r="9" spans="1:37" ht="18" customHeight="1">
      <c r="A9" s="1614"/>
      <c r="B9" s="3702"/>
      <c r="C9" s="1615"/>
      <c r="D9" s="1612"/>
      <c r="E9" s="1608" t="s">
        <v>1164</v>
      </c>
      <c r="F9" s="1616">
        <f ca="1">INDIRECT("'数据-取费表'!w"&amp;$G$1)</f>
        <v>0.1</v>
      </c>
      <c r="G9" s="1576"/>
      <c r="H9" s="1614"/>
      <c r="I9" s="3702"/>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0</v>
      </c>
      <c r="D10" s="1618" t="s">
        <v>1166</v>
      </c>
      <c r="E10" s="1619" t="s">
        <v>1167</v>
      </c>
      <c r="F10" s="1620" t="s">
        <v>1168</v>
      </c>
      <c r="G10" s="1576"/>
      <c r="H10" s="1605" t="s">
        <v>900</v>
      </c>
      <c r="I10" s="1617" t="s">
        <v>1165</v>
      </c>
      <c r="J10" s="1680">
        <f ca="1">ROUND(IF(M10="押一",J6/12*M11,IF(M10="押二",J6/12*2*M11,IF(M10="押三",J6/12*3*M11,J11*M11))),0)</f>
        <v>0</v>
      </c>
      <c r="K10" s="1618" t="s">
        <v>1166</v>
      </c>
      <c r="L10" s="1619" t="s">
        <v>1167</v>
      </c>
      <c r="M10" s="1620"/>
    </row>
    <row r="11" spans="1:37" ht="18" customHeight="1">
      <c r="A11" s="1621"/>
      <c r="B11" s="1622" t="s">
        <v>1169</v>
      </c>
      <c r="C11" s="1623"/>
      <c r="D11" s="2239"/>
      <c r="E11" s="1619" t="s">
        <v>1170</v>
      </c>
      <c r="F11" s="1624">
        <f ca="1">'数据-取费表'!B39</f>
        <v>1.4999999999999999E-2</v>
      </c>
      <c r="G11" s="1576"/>
      <c r="H11" s="1625"/>
      <c r="I11" s="1622" t="s">
        <v>1169</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790</v>
      </c>
      <c r="D13" s="1635" t="s">
        <v>1173</v>
      </c>
      <c r="E13" s="1635" t="s">
        <v>1174</v>
      </c>
      <c r="F13" s="1636">
        <f ca="1">INDIRECT("'数据-取费表'!y"&amp;$G$1)</f>
        <v>0.82</v>
      </c>
      <c r="G13" s="1576"/>
      <c r="H13" s="1632">
        <v>2</v>
      </c>
      <c r="I13" s="1633" t="s">
        <v>1172</v>
      </c>
      <c r="J13" s="1759">
        <f ca="1">ROUND(J14*J15,0)</f>
        <v>0</v>
      </c>
      <c r="K13" s="1658" t="s">
        <v>1173</v>
      </c>
      <c r="L13" s="1760"/>
      <c r="M13" s="1761"/>
    </row>
    <row r="14" spans="1:37" ht="18" customHeight="1">
      <c r="A14" s="1637" t="s">
        <v>919</v>
      </c>
      <c r="B14" s="1608" t="s">
        <v>1175</v>
      </c>
      <c r="C14" s="1638">
        <f ca="1">INDIRECT("'数据-取费表'!m"&amp;$G$1)+INDIRECT("'数据-取费表'!t"&amp;$G$1)</f>
        <v>648</v>
      </c>
      <c r="D14" s="1639" t="s">
        <v>1176</v>
      </c>
      <c r="E14" s="1640"/>
      <c r="F14" s="1641"/>
      <c r="G14" s="1576"/>
      <c r="H14" s="1637" t="s">
        <v>896</v>
      </c>
      <c r="I14" s="1608" t="s">
        <v>1177</v>
      </c>
      <c r="J14" s="615">
        <f ca="1">C29</f>
        <v>964</v>
      </c>
      <c r="K14" s="1762"/>
      <c r="L14" s="1763"/>
      <c r="M14" s="1764"/>
    </row>
    <row r="15" spans="1:37" s="1575" customFormat="1" ht="18" customHeight="1">
      <c r="A15" s="1637" t="s">
        <v>923</v>
      </c>
      <c r="B15" s="1608" t="s">
        <v>1105</v>
      </c>
      <c r="C15" s="615">
        <f ca="1">ROUND(C14*F15,0)</f>
        <v>19</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ROUND(INDIRECT("'数据-取费表'!m"&amp;$G$1)*F16,0)</f>
        <v>0</v>
      </c>
      <c r="D16" s="1608" t="s">
        <v>1178</v>
      </c>
      <c r="E16" s="1608" t="s">
        <v>1179</v>
      </c>
      <c r="F16" s="1646">
        <f ca="1">IF(INDIRECT("'数据-取费表'!c"&amp;$G$1)="住宅",'数据-取费表'!B34,0)</f>
        <v>0</v>
      </c>
      <c r="G16" s="1576"/>
      <c r="H16" s="1632" t="s">
        <v>1180</v>
      </c>
      <c r="I16" s="1633" t="s">
        <v>1181</v>
      </c>
      <c r="J16" s="1634">
        <f ca="1">ROUND(J17+J22+J23+J24,0)</f>
        <v>5</v>
      </c>
      <c r="K16" s="1658" t="s">
        <v>1182</v>
      </c>
      <c r="L16" s="1659"/>
      <c r="M16" s="1604"/>
    </row>
    <row r="17" spans="1:37" s="1575" customFormat="1" ht="18" customHeight="1">
      <c r="A17" s="1637" t="s">
        <v>1183</v>
      </c>
      <c r="B17" s="1608" t="s">
        <v>1184</v>
      </c>
      <c r="C17" s="615">
        <f ca="1">ROUND(F17*(F43+INDIRECT("'数据-取费表'!S"&amp;$G$1))/10000,0)</f>
        <v>37</v>
      </c>
      <c r="D17" s="1608" t="s">
        <v>1185</v>
      </c>
      <c r="E17" s="1608" t="s">
        <v>1186</v>
      </c>
      <c r="F17" s="1647">
        <f>'数据-取费表'!B35</f>
        <v>200</v>
      </c>
      <c r="G17" s="1644"/>
      <c r="H17" s="1637" t="s">
        <v>896</v>
      </c>
      <c r="I17" s="1608" t="s">
        <v>1187</v>
      </c>
      <c r="J17" s="1661">
        <f ca="1">ROUND(IF(AND(项目基本情况!B11="自然人",项目基本情况!B10="北京市"),J6*M17/(1+'数据-取费表'!C42),J18+J19+J20),2)</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13</v>
      </c>
      <c r="D18" s="1608" t="s">
        <v>1178</v>
      </c>
      <c r="E18" s="1608" t="s">
        <v>1179</v>
      </c>
      <c r="F18" s="1646">
        <f>'数据-取费表'!B36</f>
        <v>0.02</v>
      </c>
      <c r="G18" s="1644"/>
      <c r="H18" s="1637" t="s">
        <v>919</v>
      </c>
      <c r="I18" s="1608" t="s">
        <v>1191</v>
      </c>
      <c r="J18" s="615">
        <f ca="1">ROUND(J6*M18/(1+'数据-取费表'!C42),2)</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717</v>
      </c>
      <c r="D19" s="1648" t="s">
        <v>1194</v>
      </c>
      <c r="E19" s="617"/>
      <c r="F19" s="1647"/>
      <c r="G19" s="1576"/>
      <c r="H19" s="1637" t="s">
        <v>923</v>
      </c>
      <c r="I19" s="1608" t="s">
        <v>1195</v>
      </c>
      <c r="J19" s="615">
        <f ca="1">IF(K19="按租金收入计税",ROUND(J6*M19/(1+'数据-取费表'!C42),2),ROUND(C29*M19*0.7,2))</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14</v>
      </c>
      <c r="D20" s="1649" t="s">
        <v>1198</v>
      </c>
      <c r="E20" s="1608" t="s">
        <v>1179</v>
      </c>
      <c r="F20" s="1646">
        <f>'数据-取费表'!B37</f>
        <v>0.02</v>
      </c>
      <c r="G20" s="1644"/>
      <c r="H20" s="1637" t="s">
        <v>926</v>
      </c>
      <c r="I20" s="1607" t="s">
        <v>1199</v>
      </c>
      <c r="J20" s="1667">
        <f ca="1">ROUND(M20*M21/10000,2)</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单利计息。建造成本、管理费用、销售费用产生的利息。</v>
      </c>
      <c r="E22" s="617"/>
      <c r="F22" s="1647"/>
      <c r="G22" s="1576"/>
      <c r="H22" s="1637" t="s">
        <v>900</v>
      </c>
      <c r="I22" s="1608" t="s">
        <v>1207</v>
      </c>
      <c r="J22" s="615">
        <f ca="1">ROUND(J14*M22,2)</f>
        <v>4.82</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12</v>
      </c>
      <c r="D23" s="1651" t="str">
        <f>IF(F23&lt;=1,"(建造成本+管理费用)×利率×(建设周期÷2)","(建造成本+管理费用)×((1+利率)^(建设周期÷2)-1)")</f>
        <v>(建造成本+管理费用)×利率×(建设周期÷2)</v>
      </c>
      <c r="E23" s="1608" t="s">
        <v>1210</v>
      </c>
      <c r="F23" s="1652">
        <f>'数据-取费表'!B20</f>
        <v>1</v>
      </c>
      <c r="G23" s="1644"/>
      <c r="H23" s="1637" t="s">
        <v>945</v>
      </c>
      <c r="I23" s="1608" t="s">
        <v>1211</v>
      </c>
      <c r="J23" s="615">
        <f ca="1">ROUND(J13*M23,2)</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2.9999999999999997E-4</v>
      </c>
      <c r="D24" s="1651" t="str">
        <f>IF(F23&lt;=1,"销售费用×利率×(建设周期÷2)","销售费用×((1+利率)^(建设周期÷2)-1)")</f>
        <v>销售费用×利率×(建设周期÷2)</v>
      </c>
      <c r="E24" s="1608" t="s">
        <v>1214</v>
      </c>
      <c r="F24" s="1653">
        <f ca="1">'数据-取费表'!B40</f>
        <v>3.3500000000000002E-2</v>
      </c>
      <c r="G24" s="1644"/>
      <c r="H24" s="1645" t="s">
        <v>948</v>
      </c>
      <c r="I24" s="1630" t="s">
        <v>1197</v>
      </c>
      <c r="J24" s="1654">
        <f ca="1">ROUND(J5*M24,2)</f>
        <v>0</v>
      </c>
      <c r="K24" s="1655" t="s">
        <v>1215</v>
      </c>
      <c r="L24" s="1630" t="s">
        <v>1179</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952</v>
      </c>
      <c r="B25" s="1608" t="s">
        <v>1216</v>
      </c>
      <c r="C25" s="615"/>
      <c r="D25" s="1648" t="s">
        <v>1217</v>
      </c>
      <c r="E25" s="617"/>
      <c r="F25" s="1647"/>
      <c r="G25" s="1576"/>
      <c r="H25" s="1632" t="s">
        <v>1218</v>
      </c>
      <c r="I25" s="1676" t="s">
        <v>1219</v>
      </c>
      <c r="J25" s="1634">
        <f ca="1">J5-J16</f>
        <v>-5</v>
      </c>
      <c r="K25" s="1677" t="s">
        <v>1220</v>
      </c>
      <c r="L25" s="1678"/>
      <c r="M25" s="1679"/>
    </row>
    <row r="26" spans="1:37">
      <c r="A26" s="1637" t="s">
        <v>919</v>
      </c>
      <c r="B26" s="1608" t="s">
        <v>1221</v>
      </c>
      <c r="C26" s="615">
        <f ca="1">ROUND((C19+C20)*F26,0)</f>
        <v>146</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964</v>
      </c>
      <c r="D29" s="1655"/>
      <c r="E29" s="1630"/>
      <c r="F29" s="1656"/>
      <c r="G29" s="1644"/>
      <c r="H29" s="1657" t="s">
        <v>1236</v>
      </c>
      <c r="I29" s="1687" t="s">
        <v>1237</v>
      </c>
      <c r="J29" s="1688">
        <f ca="1">ROUND(J26/(1+F40)^F41,0)</f>
        <v>0</v>
      </c>
      <c r="K29" s="1689" t="s">
        <v>1238</v>
      </c>
      <c r="L29" s="1690"/>
      <c r="M29" s="1691">
        <f ca="1">INDIRECT("'数据-取费表'!k"&amp;$G$1)</f>
        <v>1851.14</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37</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ROUND(IF(AND(项目基本情况!B11="自然人",项目基本情况!B10="北京市"),C6*F31/(1+'数据-取费表'!C42),C32+C33+C34),2)</f>
        <v>30.51</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IF(项目基本情况!B11="自然人","——",ROUND(C6*F32/(1+'数据-取费表'!C42),2))</f>
        <v>9.7100000000000009</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IF(项目基本情况!B11="自然人","——",IF(D33="按租金收入计税",ROUND(C6*F33/(1+'数据-取费表'!C42),2),IF(D33="按房产原值计税",ROUND(C29*F33*0.7,2),INDIRECT("'数据-取费表'!Aj"&amp;$G$1))))</f>
        <v>20.8</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IF(项目基本情况!B11="自然人","——",ROUND(F34*F35/10000,2))</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ROUND(C29*F36,2)</f>
        <v>4.82</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ROUND(C13*F37,2)</f>
        <v>1.19</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ROUND(C5*F38,2)</f>
        <v>0.91</v>
      </c>
      <c r="D38" s="1655" t="s">
        <v>1215</v>
      </c>
      <c r="E38" s="1630" t="s">
        <v>1179</v>
      </c>
      <c r="F38" s="1631">
        <f ca="1">INDIRECT("'数据-取费表'!Am"&amp;$G$1)</f>
        <v>5.0000000000000001E-3</v>
      </c>
      <c r="G38" s="1576"/>
      <c r="H38" s="1666"/>
      <c r="I38" s="1769"/>
      <c r="J38" s="1770"/>
      <c r="K38" s="1778"/>
      <c r="L38" s="1666"/>
      <c r="M38" s="1666"/>
    </row>
    <row r="39" spans="1:18" ht="24.6" customHeight="1">
      <c r="A39" s="1632" t="s">
        <v>1218</v>
      </c>
      <c r="B39" s="1676" t="s">
        <v>1219</v>
      </c>
      <c r="C39" s="1634">
        <f ca="1">C5-C30</f>
        <v>145</v>
      </c>
      <c r="D39" s="1677" t="s">
        <v>1220</v>
      </c>
      <c r="E39" s="1678"/>
      <c r="F39" s="1679"/>
      <c r="G39" s="1576"/>
      <c r="H39" s="1666"/>
      <c r="I39" s="1769"/>
      <c r="J39" s="1770"/>
      <c r="K39" s="1778"/>
      <c r="L39" s="1666"/>
      <c r="M39" s="1666"/>
    </row>
    <row r="40" spans="1:18" ht="18" customHeight="1">
      <c r="A40" s="1599" t="s">
        <v>1224</v>
      </c>
      <c r="B40" s="1600" t="s">
        <v>1241</v>
      </c>
      <c r="C40" s="1680">
        <f ca="1">ROUND(C39*(1-((1+F42)/(1+F40))^F41)/(F40-F42),0)</f>
        <v>2236</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23</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ROUND(C40*10000/F43,0)</f>
        <v>12079</v>
      </c>
      <c r="D43" s="1689" t="s">
        <v>1243</v>
      </c>
      <c r="E43" s="1690" t="s">
        <v>1244</v>
      </c>
      <c r="F43" s="1691">
        <f ca="1">INDIRECT("'数据-取费表'!k"&amp;$G$1)</f>
        <v>1851.14</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1245</v>
      </c>
      <c r="P45" s="1681"/>
      <c r="Q45" s="1681"/>
      <c r="R45" s="1681"/>
    </row>
    <row r="46" spans="1:18" s="1576" customFormat="1">
      <c r="A46" s="1697" t="s">
        <v>1246</v>
      </c>
      <c r="C46" s="1698">
        <f ca="1">C68-C40</f>
        <v>-2313</v>
      </c>
      <c r="D46" s="1699" t="str">
        <f>C2</f>
        <v>万元</v>
      </c>
      <c r="E46" s="1692"/>
      <c r="F46" s="1692"/>
      <c r="I46" s="1781" t="s">
        <v>1247</v>
      </c>
      <c r="J46" s="1782"/>
      <c r="K46" s="1783"/>
      <c r="L46" s="1784">
        <f ca="1">IF(M47="住宅",0,IF(L48&gt;J51,L60,J60))</f>
        <v>73</v>
      </c>
      <c r="O46" s="1785" t="s">
        <v>1248</v>
      </c>
      <c r="P46" s="1786" t="s">
        <v>1249</v>
      </c>
      <c r="Q46" s="1832" t="s">
        <v>1250</v>
      </c>
      <c r="R46" s="1832" t="s">
        <v>1251</v>
      </c>
    </row>
    <row r="47" spans="1:18" s="1576" customFormat="1">
      <c r="A47" s="1700" t="s">
        <v>1151</v>
      </c>
      <c r="B47" s="1701" t="s">
        <v>1152</v>
      </c>
      <c r="C47" s="2240" t="s">
        <v>1153</v>
      </c>
      <c r="D47" s="1701" t="s">
        <v>1154</v>
      </c>
      <c r="E47" s="1702" t="s">
        <v>1155</v>
      </c>
      <c r="F47" s="608"/>
      <c r="G47" s="1703"/>
      <c r="I47" s="1787" t="s">
        <v>1252</v>
      </c>
      <c r="J47" s="1788" t="s">
        <v>1550</v>
      </c>
      <c r="K47" s="1789" t="s">
        <v>1253</v>
      </c>
      <c r="L47" s="1790">
        <f ca="1">INDIRECT("'数据-取费表'!d"&amp;$G$1)</f>
        <v>40</v>
      </c>
      <c r="M47" s="1791" t="str">
        <f>IF(ISNUMBER(FIND("住宅",C1)),"住宅","非住宅")</f>
        <v>非住宅</v>
      </c>
      <c r="O47" s="1792" t="s">
        <v>1002</v>
      </c>
      <c r="P47" s="1793" t="s">
        <v>1254</v>
      </c>
      <c r="Q47" s="1833">
        <f ca="1">C40+J29</f>
        <v>2236</v>
      </c>
      <c r="R47" s="1833" t="s">
        <v>1255</v>
      </c>
    </row>
    <row r="48" spans="1:18" s="1576" customFormat="1" ht="27.75">
      <c r="A48" s="1704" t="s">
        <v>1256</v>
      </c>
      <c r="B48" s="1600" t="s">
        <v>1156</v>
      </c>
      <c r="C48" s="616">
        <f ca="1">C49+C53+C55</f>
        <v>0</v>
      </c>
      <c r="D48" s="1705"/>
      <c r="E48" s="1706"/>
      <c r="F48" s="1707"/>
      <c r="G48" s="1703"/>
      <c r="H48" s="1708"/>
      <c r="I48" s="1794" t="s">
        <v>1257</v>
      </c>
      <c r="J48" s="1795" t="s">
        <v>1551</v>
      </c>
      <c r="K48" s="1796" t="s">
        <v>1258</v>
      </c>
      <c r="L48" s="1797">
        <f ca="1">INDIRECT("'数据-取费表'!f"&amp;$G$1)</f>
        <v>23</v>
      </c>
      <c r="O48" s="1792" t="s">
        <v>1006</v>
      </c>
      <c r="P48" s="1793" t="s">
        <v>1259</v>
      </c>
      <c r="Q48" s="1833">
        <f ca="1">J60</f>
        <v>73</v>
      </c>
      <c r="R48" s="1833" t="s">
        <v>1260</v>
      </c>
    </row>
    <row r="49" spans="1:18" s="1576" customFormat="1">
      <c r="A49" s="1709" t="s">
        <v>1261</v>
      </c>
      <c r="B49" s="1710" t="s">
        <v>1262</v>
      </c>
      <c r="C49" s="1711">
        <f ca="1">ROUND(F49*F51*F50*(1-F52)/10000,0)</f>
        <v>0</v>
      </c>
      <c r="D49" s="1712" t="s">
        <v>1161</v>
      </c>
      <c r="E49" s="1713" t="s">
        <v>1263</v>
      </c>
      <c r="F49" s="1714"/>
      <c r="G49" s="1715"/>
      <c r="H49" s="1708"/>
      <c r="I49" s="1794" t="s">
        <v>1264</v>
      </c>
      <c r="J49" s="1798">
        <f>'数据-取费表'!N17</f>
        <v>2008</v>
      </c>
      <c r="K49" s="1796" t="s">
        <v>1265</v>
      </c>
      <c r="L49" s="1799"/>
      <c r="O49" s="1800" t="s">
        <v>1266</v>
      </c>
      <c r="P49" s="1793" t="s">
        <v>1267</v>
      </c>
      <c r="Q49" s="1833">
        <f ca="1">C29</f>
        <v>964</v>
      </c>
      <c r="R49" s="1833" t="s">
        <v>1255</v>
      </c>
    </row>
    <row r="50" spans="1:18" s="1576" customFormat="1">
      <c r="A50" s="1716"/>
      <c r="B50" s="1717"/>
      <c r="C50" s="2241"/>
      <c r="D50" s="1719"/>
      <c r="E50" s="1720" t="s">
        <v>1162</v>
      </c>
      <c r="F50" s="1721">
        <f ca="1">F7</f>
        <v>1851.14</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c r="A51" s="1722"/>
      <c r="B51" s="1717"/>
      <c r="C51" s="1718"/>
      <c r="D51" s="1719"/>
      <c r="E51" s="1723" t="s">
        <v>1163</v>
      </c>
      <c r="F51" s="1609">
        <f ca="1">F8</f>
        <v>365</v>
      </c>
      <c r="I51" s="1803" t="s">
        <v>1272</v>
      </c>
      <c r="J51" s="1804">
        <f>IF(J49="",J50,J49+J50-YEAR('数据-取费表'!B2))</f>
        <v>44</v>
      </c>
      <c r="K51" s="1805" t="s">
        <v>1273</v>
      </c>
      <c r="L51" s="1806">
        <f ca="1">ROUND(-PV(INDIRECT("'数据-取费表'!h"&amp;$G$1),J51,(C39-C13*C76),0),0)</f>
        <v>1584</v>
      </c>
      <c r="M51" s="1807"/>
      <c r="O51" s="1800" t="s">
        <v>1274</v>
      </c>
      <c r="P51" s="1793" t="s">
        <v>1275</v>
      </c>
      <c r="Q51" s="1834">
        <f>J52</f>
        <v>7.4999999999999997E-2</v>
      </c>
      <c r="R51" s="1833"/>
    </row>
    <row r="52" spans="1:18" s="1576" customFormat="1">
      <c r="A52" s="1722"/>
      <c r="B52" s="1717"/>
      <c r="C52" s="1718"/>
      <c r="D52" s="1719"/>
      <c r="E52" s="1723" t="s">
        <v>1164</v>
      </c>
      <c r="F52" s="1724"/>
      <c r="I52" s="1808" t="s">
        <v>1276</v>
      </c>
      <c r="J52" s="1810">
        <f>'数据-取费表'!J6+0.5%</f>
        <v>7.4999999999999997E-2</v>
      </c>
      <c r="K52" s="1808" t="s">
        <v>1277</v>
      </c>
      <c r="L52" s="1810"/>
      <c r="O52" s="1800" t="s">
        <v>1278</v>
      </c>
      <c r="P52" s="1793" t="s">
        <v>1279</v>
      </c>
      <c r="Q52" s="1833">
        <f ca="1">J53</f>
        <v>23</v>
      </c>
      <c r="R52" s="1833" t="s">
        <v>1280</v>
      </c>
    </row>
    <row r="53" spans="1:18" s="1576" customFormat="1" ht="24">
      <c r="A53" s="2242" t="s">
        <v>1281</v>
      </c>
      <c r="B53" s="2243" t="s">
        <v>1165</v>
      </c>
      <c r="C53" s="614">
        <f ca="1">ROUND(IF(F53="押一",C49/12*F11,IF(F53="押二",C49/12*2*F11,IF(F53="押三",C49/12*3*F11,C54*F11))),0)</f>
        <v>0</v>
      </c>
      <c r="D53" s="1618" t="s">
        <v>1166</v>
      </c>
      <c r="E53" s="1619" t="s">
        <v>1167</v>
      </c>
      <c r="F53" s="1620"/>
      <c r="I53" s="1811" t="s">
        <v>1282</v>
      </c>
      <c r="J53" s="1812">
        <f ca="1">IF(M47="住宅",IF(D1="——",MAX(J51,L48),MAX(J51,L48-'数据-取费表'!B24)),IF(D1="——",MIN(J51,L48),MIN(J51,L48-'数据-取费表'!B24)))</f>
        <v>23</v>
      </c>
      <c r="K53" s="3698" t="s">
        <v>1283</v>
      </c>
      <c r="L53" s="3699"/>
      <c r="O53" s="1792" t="s">
        <v>1107</v>
      </c>
      <c r="P53" s="1793" t="s">
        <v>1284</v>
      </c>
      <c r="Q53" s="1833">
        <f ca="1">Q47+Q48</f>
        <v>2309</v>
      </c>
      <c r="R53" s="1833" t="s">
        <v>1285</v>
      </c>
    </row>
    <row r="54" spans="1:18" s="1576" customFormat="1">
      <c r="A54" s="2244"/>
      <c r="B54" s="1622" t="s">
        <v>1169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c r="A55" s="1626" t="s">
        <v>945</v>
      </c>
      <c r="B55" s="1627" t="s">
        <v>1171</v>
      </c>
      <c r="C55" s="1628"/>
      <c r="D55" s="1618"/>
      <c r="E55" s="1727"/>
      <c r="F55" s="1728"/>
      <c r="I55" s="1816" t="s">
        <v>1287</v>
      </c>
      <c r="J55" s="1817">
        <f ca="1">ROUND(IF(J47="钢混",J57/J50,1-(1-2%)*(J50-J57)/J50),3)</f>
        <v>0.35</v>
      </c>
      <c r="K55" s="1818" t="s">
        <v>1288</v>
      </c>
      <c r="L55" s="1819"/>
      <c r="O55" s="1785" t="s">
        <v>1248</v>
      </c>
      <c r="P55" s="1786" t="s">
        <v>1249</v>
      </c>
      <c r="Q55" s="1832" t="s">
        <v>1250</v>
      </c>
      <c r="R55" s="1832" t="s">
        <v>1251</v>
      </c>
    </row>
    <row r="56" spans="1:18" s="1576" customFormat="1" ht="24">
      <c r="A56" s="1729">
        <v>2</v>
      </c>
      <c r="B56" s="1730" t="s">
        <v>1172</v>
      </c>
      <c r="C56" s="416">
        <f ca="1">C13</f>
        <v>790</v>
      </c>
      <c r="D56" s="1731"/>
      <c r="E56" s="1732"/>
      <c r="F56" s="1728"/>
      <c r="I56" s="1820" t="s">
        <v>1289</v>
      </c>
      <c r="J56" s="1821" t="s">
        <v>485</v>
      </c>
      <c r="K56" s="1794" t="s">
        <v>1290</v>
      </c>
      <c r="L56" s="1797" t="str">
        <f ca="1">IF(L48&lt;J51,"——",L48-J53)</f>
        <v>——</v>
      </c>
      <c r="O56" s="1792" t="s">
        <v>1002</v>
      </c>
      <c r="P56" s="1793" t="s">
        <v>1254</v>
      </c>
      <c r="Q56" s="1833">
        <f ca="1">C40+J29</f>
        <v>2236</v>
      </c>
      <c r="R56" s="1833" t="s">
        <v>1255</v>
      </c>
    </row>
    <row r="57" spans="1:18" s="1576" customFormat="1" ht="24">
      <c r="A57" s="1733"/>
      <c r="B57" s="1734" t="s">
        <v>1235</v>
      </c>
      <c r="C57" s="426">
        <f ca="1">C29</f>
        <v>964</v>
      </c>
      <c r="D57" s="1735"/>
      <c r="E57" s="1736"/>
      <c r="F57" s="1737"/>
      <c r="I57" s="1822" t="s">
        <v>1291</v>
      </c>
      <c r="J57" s="1823">
        <f ca="1">IF(OR(M47="住宅",J51&lt;L48,J56="是"),"——",J51-L48)</f>
        <v>21</v>
      </c>
      <c r="K57" s="1794" t="s">
        <v>1292</v>
      </c>
      <c r="L57" s="1797" t="str">
        <f ca="1">IF(L48&lt;J51,"——",IF(L55="比较法",L49,IF(L55="基准地价",L50,L51)))</f>
        <v>——</v>
      </c>
      <c r="O57" s="1792" t="s">
        <v>1006</v>
      </c>
      <c r="P57" s="1793" t="s">
        <v>1293</v>
      </c>
      <c r="Q57" s="1833">
        <f ca="1">L60</f>
        <v>0</v>
      </c>
      <c r="R57" s="1833" t="s">
        <v>1294</v>
      </c>
    </row>
    <row r="58" spans="1:18" s="1576" customFormat="1" ht="24">
      <c r="A58" s="1738" t="s">
        <v>1180</v>
      </c>
      <c r="B58" s="1730" t="s">
        <v>1181</v>
      </c>
      <c r="C58" s="614">
        <f ca="1">ROUND(C59+C64+C65+C66,0)</f>
        <v>6</v>
      </c>
      <c r="D58" s="1739" t="s">
        <v>1182</v>
      </c>
      <c r="E58" s="1740"/>
      <c r="F58" s="1707"/>
      <c r="I58" s="1822" t="s">
        <v>1295</v>
      </c>
      <c r="J58" s="1824">
        <f ca="1">IF(J55&lt;0.4,0.4,J55)</f>
        <v>0.4</v>
      </c>
      <c r="K58" s="1805" t="s">
        <v>1296</v>
      </c>
      <c r="L58" s="1797" t="e">
        <f ca="1">ROUND(POWER(1+L52,L47-L48)*(POWER(1+L52,L48)-1)/(POWER(1+L52,L47)-1),4)</f>
        <v>#DIV/0!</v>
      </c>
      <c r="O58" s="1800" t="s">
        <v>1266</v>
      </c>
      <c r="P58" s="1793" t="s">
        <v>1297</v>
      </c>
      <c r="Q58" s="1833">
        <f>IF(L55="比较法",L49,IF(L55="基准地价",L50,0))</f>
        <v>0</v>
      </c>
      <c r="R58" s="1833" t="s">
        <v>1255</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1298</v>
      </c>
      <c r="J59" s="1823">
        <f ca="1">IF(OR(M47="住宅",J51&lt;L48,J56="是"),"——",ROUND(C29*J58,0))</f>
        <v>386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1270</v>
      </c>
      <c r="P59" s="1793" t="s">
        <v>1299</v>
      </c>
      <c r="Q59" s="1834">
        <f>L52</f>
        <v>0</v>
      </c>
      <c r="R59" s="1833"/>
    </row>
    <row r="60" spans="1:18" s="1576" customFormat="1" ht="15.75">
      <c r="A60" s="1637" t="s">
        <v>919</v>
      </c>
      <c r="B60" s="1734" t="s">
        <v>1191</v>
      </c>
      <c r="C60" s="615">
        <f ca="1">IF(项目基本情况!B11="自然人","——",ROUND(C48*F60/(1+'数据-取费表'!C42),2))</f>
        <v>0</v>
      </c>
      <c r="D60" s="1742" t="s">
        <v>1192</v>
      </c>
      <c r="E60" s="1734" t="s">
        <v>1179</v>
      </c>
      <c r="F60" s="1653">
        <f t="shared" ref="F60:F66" si="0">F32</f>
        <v>5.6000000000000001E-2</v>
      </c>
      <c r="I60" s="1825" t="s">
        <v>1300</v>
      </c>
      <c r="J60" s="1826">
        <f ca="1">IF(OR(M47="住宅",J51&lt;L48,J56="是"),"0",ROUND(J59/(1+J52)^J53,0))</f>
        <v>73</v>
      </c>
      <c r="K60" s="1827" t="s">
        <v>1301</v>
      </c>
      <c r="L60" s="1826">
        <f ca="1">IF(OR(M47="住宅",L48&lt;J51),0,ROUND(L57*(L58/L59-1),0))</f>
        <v>0</v>
      </c>
      <c r="O60" s="1800" t="s">
        <v>1274</v>
      </c>
      <c r="P60" s="1793" t="s">
        <v>1302</v>
      </c>
      <c r="Q60" s="1833" t="e">
        <f ca="1">L58</f>
        <v>#DIV/0!</v>
      </c>
      <c r="R60" s="1833" t="s">
        <v>1303</v>
      </c>
    </row>
    <row r="61" spans="1:18" s="1576" customFormat="1">
      <c r="A61" s="1637" t="s">
        <v>923</v>
      </c>
      <c r="B61" s="1734" t="s">
        <v>1195</v>
      </c>
      <c r="C61" s="615">
        <f ca="1">IF(项目基本情况!B11="自然人","——",IF(D61="按租金收入计税",ROUND(C49*F61/(1+'数据-取费表'!C42),2),IF(D61="按房产原值计税",ROUND(C57*F61*0.7,2),INDIRECT("'数据-取费表'!Aj"&amp;$G$1))))</f>
        <v>0</v>
      </c>
      <c r="D61" s="1665" t="s">
        <v>1196</v>
      </c>
      <c r="E61" s="1734" t="s">
        <v>1179</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c r="A62" s="1637" t="s">
        <v>926</v>
      </c>
      <c r="B62" s="1743" t="s">
        <v>1199</v>
      </c>
      <c r="C62" s="1667">
        <f ca="1">IF(项目基本情况!B11="自然人","——",ROUND(F62*F63/10000,2))</f>
        <v>0</v>
      </c>
      <c r="D62" s="1744" t="s">
        <v>1200</v>
      </c>
      <c r="E62" s="1734" t="s">
        <v>1201</v>
      </c>
      <c r="F62" s="1652">
        <f t="shared" si="0"/>
        <v>1.5</v>
      </c>
      <c r="I62" s="1828" t="s">
        <v>1305</v>
      </c>
      <c r="J62" s="1829" t="s">
        <v>1306</v>
      </c>
      <c r="K62" s="1829" t="s">
        <v>1307</v>
      </c>
      <c r="L62" s="1829" t="s">
        <v>1308</v>
      </c>
      <c r="M62" s="1830" t="s">
        <v>1309</v>
      </c>
      <c r="O62" s="1792" t="s">
        <v>1107</v>
      </c>
      <c r="P62" s="1793" t="s">
        <v>1284</v>
      </c>
      <c r="Q62" s="1833">
        <f ca="1">Q56+Q57</f>
        <v>2236</v>
      </c>
      <c r="R62" s="1833" t="s">
        <v>1285</v>
      </c>
    </row>
    <row r="63" spans="1:18" s="1576" customFormat="1">
      <c r="A63" s="1650"/>
      <c r="B63" s="1745"/>
      <c r="C63" s="1671"/>
      <c r="D63" s="1746"/>
      <c r="E63" s="1734" t="s">
        <v>1205</v>
      </c>
      <c r="F63" s="1609">
        <f t="shared" ca="1" si="0"/>
        <v>0</v>
      </c>
      <c r="I63" s="1828" t="s">
        <v>1310</v>
      </c>
      <c r="J63" s="1829">
        <v>70</v>
      </c>
      <c r="K63" s="1829">
        <v>50</v>
      </c>
      <c r="L63" s="1829">
        <v>80</v>
      </c>
      <c r="M63" s="1831">
        <v>0.02</v>
      </c>
      <c r="O63" s="1780" t="s">
        <v>1311</v>
      </c>
      <c r="P63" s="1815"/>
      <c r="Q63" s="1815"/>
      <c r="R63" s="1815"/>
    </row>
    <row r="64" spans="1:18" s="1576" customFormat="1">
      <c r="A64" s="1637" t="s">
        <v>900</v>
      </c>
      <c r="B64" s="1734" t="s">
        <v>1207</v>
      </c>
      <c r="C64" s="615">
        <f ca="1">ROUND(C57*F64,2)</f>
        <v>4.82</v>
      </c>
      <c r="D64" s="1742" t="s">
        <v>1240</v>
      </c>
      <c r="E64" s="1734" t="s">
        <v>1179</v>
      </c>
      <c r="F64" s="1674">
        <f t="shared" ca="1" si="0"/>
        <v>5.0000000000000001E-3</v>
      </c>
      <c r="I64" s="1828" t="s">
        <v>1312</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ROUND(C56*F65,2)</f>
        <v>1.19</v>
      </c>
      <c r="D65" s="1742" t="s">
        <v>1212</v>
      </c>
      <c r="E65" s="1734" t="s">
        <v>1179</v>
      </c>
      <c r="F65" s="1675">
        <f t="shared" ca="1" si="0"/>
        <v>1.5E-3</v>
      </c>
      <c r="I65" s="1828" t="s">
        <v>1313</v>
      </c>
      <c r="J65" s="1829">
        <v>40</v>
      </c>
      <c r="K65" s="1829">
        <v>30</v>
      </c>
      <c r="L65" s="1829">
        <v>50</v>
      </c>
      <c r="M65" s="1831">
        <v>0.02</v>
      </c>
      <c r="O65" s="1792" t="s">
        <v>1002</v>
      </c>
      <c r="P65" s="1793" t="s">
        <v>1254</v>
      </c>
      <c r="Q65" s="1833">
        <f ca="1">C40+J29</f>
        <v>2236</v>
      </c>
      <c r="R65" s="1833" t="s">
        <v>1255</v>
      </c>
    </row>
    <row r="66" spans="1:18" s="1576" customFormat="1" ht="15.75">
      <c r="A66" s="1637" t="s">
        <v>948</v>
      </c>
      <c r="B66" s="1734" t="s">
        <v>1197</v>
      </c>
      <c r="C66" s="615">
        <f ca="1">ROUND(C48*F66,2)</f>
        <v>0</v>
      </c>
      <c r="D66" s="1742" t="s">
        <v>1215</v>
      </c>
      <c r="E66" s="1734" t="s">
        <v>1179</v>
      </c>
      <c r="F66" s="1616">
        <f t="shared" ca="1" si="0"/>
        <v>5.0000000000000001E-3</v>
      </c>
      <c r="O66" s="1792" t="s">
        <v>1006</v>
      </c>
      <c r="P66" s="1793" t="s">
        <v>1293</v>
      </c>
      <c r="Q66" s="1833">
        <f ca="1">L60</f>
        <v>0</v>
      </c>
      <c r="R66" s="1833" t="s">
        <v>1294</v>
      </c>
    </row>
    <row r="67" spans="1:18" s="1576" customFormat="1" ht="15.75">
      <c r="A67" s="1729" t="s">
        <v>1218</v>
      </c>
      <c r="B67" s="1835" t="s">
        <v>1219</v>
      </c>
      <c r="C67" s="614">
        <f ca="1">C48-C58</f>
        <v>-6</v>
      </c>
      <c r="D67" s="1741" t="s">
        <v>1220</v>
      </c>
      <c r="E67" s="1836"/>
      <c r="F67" s="1837"/>
      <c r="O67" s="1800" t="s">
        <v>1266</v>
      </c>
      <c r="P67" s="1793" t="s">
        <v>1297</v>
      </c>
      <c r="Q67" s="1858">
        <f ca="1">L51</f>
        <v>1584</v>
      </c>
      <c r="R67" s="1833" t="s">
        <v>1314</v>
      </c>
    </row>
    <row r="68" spans="1:18" s="1576" customFormat="1" ht="15.75">
      <c r="A68" s="1838" t="s">
        <v>1224</v>
      </c>
      <c r="B68" s="1839" t="s">
        <v>1241</v>
      </c>
      <c r="C68" s="1680">
        <f ca="1">ROUND(C67*(1-((1+F70)/(1+F68))^F69)/(F68-F70),0)</f>
        <v>-77</v>
      </c>
      <c r="D68" s="1744" t="s">
        <v>1226</v>
      </c>
      <c r="E68" s="1734" t="s">
        <v>1227</v>
      </c>
      <c r="F68" s="1616">
        <f ca="1">F40</f>
        <v>5.5E-2</v>
      </c>
      <c r="O68" s="1800" t="s">
        <v>1270</v>
      </c>
      <c r="P68" s="1857" t="s">
        <v>1315</v>
      </c>
      <c r="Q68" s="1833">
        <f ca="1">ROUND(Q69-Q70*Q71,0)</f>
        <v>90</v>
      </c>
      <c r="R68" s="1833" t="s">
        <v>1316</v>
      </c>
    </row>
    <row r="69" spans="1:18" s="1576" customFormat="1">
      <c r="A69" s="1840"/>
      <c r="B69" s="1841"/>
      <c r="C69" s="1615"/>
      <c r="D69" s="1842" t="s">
        <v>1230</v>
      </c>
      <c r="E69" s="1734" t="s">
        <v>1231</v>
      </c>
      <c r="F69" s="1684">
        <f ca="1">F41</f>
        <v>23</v>
      </c>
      <c r="O69" s="1800" t="s">
        <v>1317</v>
      </c>
      <c r="P69" s="1857" t="s">
        <v>1318</v>
      </c>
      <c r="Q69" s="1833">
        <f ca="1">C39</f>
        <v>145</v>
      </c>
      <c r="R69" s="1833" t="s">
        <v>1255</v>
      </c>
    </row>
    <row r="70" spans="1:18" s="1576" customFormat="1">
      <c r="A70" s="1843"/>
      <c r="B70" s="1844"/>
      <c r="C70" s="1634"/>
      <c r="D70" s="1746"/>
      <c r="E70" s="1734" t="s">
        <v>1234</v>
      </c>
      <c r="F70" s="1724"/>
      <c r="O70" s="1800" t="s">
        <v>1319</v>
      </c>
      <c r="P70" s="1857" t="s">
        <v>1320</v>
      </c>
      <c r="Q70" s="1833">
        <f ca="1">C13</f>
        <v>790</v>
      </c>
      <c r="R70" s="1833" t="s">
        <v>1255</v>
      </c>
    </row>
    <row r="71" spans="1:18" s="1576" customFormat="1">
      <c r="A71" s="1845" t="s">
        <v>1236</v>
      </c>
      <c r="B71" s="1846" t="s">
        <v>1242</v>
      </c>
      <c r="C71" s="1688">
        <f ca="1">ROUND(C68*10000/F71,0)</f>
        <v>-416</v>
      </c>
      <c r="D71" s="1847" t="s">
        <v>1243</v>
      </c>
      <c r="E71" s="1848" t="s">
        <v>1244</v>
      </c>
      <c r="F71" s="1691">
        <f ca="1">F43</f>
        <v>1851.14</v>
      </c>
      <c r="O71" s="1800" t="s">
        <v>1321</v>
      </c>
      <c r="P71" s="1857" t="s">
        <v>1322</v>
      </c>
      <c r="Q71" s="1834">
        <f ca="1">C76</f>
        <v>7.0000000000000007E-2</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#DIV/0!</v>
      </c>
      <c r="R73" s="1833" t="s">
        <v>1303</v>
      </c>
    </row>
    <row r="74" spans="1:18">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c r="A75" s="1576"/>
      <c r="B75" s="1850" t="s">
        <v>1325</v>
      </c>
      <c r="C75" s="1851">
        <f ca="1">ROUND(C13*C76,0)</f>
        <v>55</v>
      </c>
      <c r="D75" s="1576"/>
      <c r="E75" s="1576"/>
      <c r="F75" s="1576"/>
      <c r="K75" s="1779"/>
      <c r="L75" s="1576"/>
      <c r="O75" s="1792" t="s">
        <v>1107</v>
      </c>
      <c r="P75" s="1793" t="s">
        <v>1284</v>
      </c>
      <c r="Q75" s="1833">
        <f ca="1">Q65+Q66</f>
        <v>2236</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0.621</v>
      </c>
    </row>
    <row r="80" spans="1:18">
      <c r="B80" s="1850" t="s">
        <v>1330</v>
      </c>
      <c r="C80" s="459">
        <f ca="1">ROUND(C75/C39,3)</f>
        <v>0.379</v>
      </c>
    </row>
    <row r="81" spans="2:3">
      <c r="B81" s="456" t="s">
        <v>1331</v>
      </c>
      <c r="C81" s="426"/>
    </row>
    <row r="82" spans="2:3">
      <c r="B82" s="458" t="s">
        <v>1083</v>
      </c>
      <c r="C82" s="460">
        <f ca="1">1-C83</f>
        <v>0.64700000000000002</v>
      </c>
    </row>
    <row r="83" spans="2:3">
      <c r="B83" s="458" t="s">
        <v>1084</v>
      </c>
      <c r="C83" s="459">
        <f ca="1">ROUND(C13/C40,3)</f>
        <v>0.35299999999999998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1765</v>
      </c>
      <c r="D1" s="1580" t="s">
        <v>124</v>
      </c>
      <c r="E1" s="1581" t="s">
        <v>1145</v>
      </c>
      <c r="F1" s="1582">
        <f ca="1">J53</f>
        <v>23</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1585">
        <f ca="1">ROUND(D2/10000,4)</f>
        <v>2311.6082999999999</v>
      </c>
      <c r="C2" s="1586" t="s">
        <v>1147</v>
      </c>
      <c r="D2" s="1587">
        <f ca="1">C40+J29+L46</f>
        <v>23116083</v>
      </c>
      <c r="E2" s="1588" t="s">
        <v>1542</v>
      </c>
      <c r="F2" s="1589"/>
      <c r="G2" s="1590"/>
      <c r="H2" s="1591"/>
      <c r="I2" s="1591"/>
      <c r="J2" s="1591"/>
      <c r="K2" s="1750"/>
      <c r="L2" s="1591"/>
      <c r="M2" s="1591"/>
    </row>
    <row r="3" spans="1:37" ht="18" customHeight="1">
      <c r="A3" s="1592" t="s">
        <v>1148</v>
      </c>
      <c r="B3" s="1593">
        <f ca="1">IF(ISERROR(D2/F43),0,ROUND(D2/F43,0))</f>
        <v>12487</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1826578</v>
      </c>
      <c r="D5" s="1602" t="s">
        <v>1157</v>
      </c>
      <c r="E5" s="1603"/>
      <c r="F5" s="1604"/>
      <c r="G5" s="1576"/>
      <c r="H5" s="1599">
        <v>1</v>
      </c>
      <c r="I5" s="1600" t="s">
        <v>1156</v>
      </c>
      <c r="J5" s="1601">
        <f ca="1">J6+J10+J12</f>
        <v>0</v>
      </c>
      <c r="K5" s="1602" t="s">
        <v>1157</v>
      </c>
      <c r="L5" s="1603"/>
      <c r="M5" s="1604"/>
    </row>
    <row r="6" spans="1:37" ht="18" customHeight="1">
      <c r="A6" s="1605" t="s">
        <v>896</v>
      </c>
      <c r="B6" s="3700" t="s">
        <v>1158</v>
      </c>
      <c r="C6" s="1606">
        <f ca="1">ROUND(F6*F8*F7*(1-F9),0)</f>
        <v>1824298</v>
      </c>
      <c r="D6" s="1607" t="s">
        <v>1543</v>
      </c>
      <c r="E6" s="1608" t="s">
        <v>1160</v>
      </c>
      <c r="F6" s="1609">
        <f ca="1">INDIRECT("'数据-取费表'!u"&amp;$G$1)</f>
        <v>3</v>
      </c>
      <c r="G6" s="1576"/>
      <c r="H6" s="1605" t="s">
        <v>896</v>
      </c>
      <c r="I6" s="3700" t="s">
        <v>1158</v>
      </c>
      <c r="J6" s="1680">
        <f ca="1">ROUND(M6*M8*M7*(1-M9),0)</f>
        <v>0</v>
      </c>
      <c r="K6" s="1753" t="s">
        <v>1544</v>
      </c>
      <c r="L6" s="1608" t="s">
        <v>1160</v>
      </c>
      <c r="M6" s="1609">
        <f ca="1">INDIRECT("'数据-取费表'!z"&amp;$G$1)</f>
        <v>0</v>
      </c>
    </row>
    <row r="7" spans="1:37" ht="18" customHeight="1">
      <c r="A7" s="1610"/>
      <c r="B7" s="3701"/>
      <c r="C7" s="1611"/>
      <c r="D7" s="1612"/>
      <c r="E7" s="1613" t="s">
        <v>1162</v>
      </c>
      <c r="F7" s="1609">
        <f ca="1">IF(INDIRECT("'数据-取费表'!ah"&amp;$G$1)="",INDIRECT("'数据-取费表'!k"&amp;$G$1),INDIRECT("'数据-取费表'!ah"&amp;$G$1))</f>
        <v>1851.14</v>
      </c>
      <c r="G7" s="1576"/>
      <c r="H7" s="1614"/>
      <c r="I7" s="3701"/>
      <c r="J7" s="1615"/>
      <c r="K7" s="1612"/>
      <c r="L7" s="1608" t="s">
        <v>1162</v>
      </c>
      <c r="M7" s="1609">
        <f ca="1">F7</f>
        <v>1851.14</v>
      </c>
    </row>
    <row r="8" spans="1:37" ht="18" customHeight="1">
      <c r="A8" s="1614"/>
      <c r="B8" s="3701"/>
      <c r="C8" s="1615"/>
      <c r="D8" s="1612"/>
      <c r="E8" s="1608" t="s">
        <v>1163</v>
      </c>
      <c r="F8" s="1609">
        <f ca="1">INDIRECT("'数据-取费表'!ai"&amp;$G$1)</f>
        <v>365</v>
      </c>
      <c r="G8" s="1576"/>
      <c r="H8" s="1614"/>
      <c r="I8" s="3701"/>
      <c r="J8" s="1615"/>
      <c r="K8" s="1612"/>
      <c r="L8" s="1608" t="s">
        <v>1163</v>
      </c>
      <c r="M8" s="1609">
        <f ca="1">INDIRECT("'数据-取费表'!ai"&amp;$G$1)</f>
        <v>365</v>
      </c>
    </row>
    <row r="9" spans="1:37" ht="18" customHeight="1">
      <c r="A9" s="1614"/>
      <c r="B9" s="3702"/>
      <c r="C9" s="1615"/>
      <c r="D9" s="1612"/>
      <c r="E9" s="1608" t="s">
        <v>1164</v>
      </c>
      <c r="F9" s="1616">
        <f ca="1">INDIRECT("'数据-取费表'!w"&amp;$G$1)</f>
        <v>0.1</v>
      </c>
      <c r="G9" s="1576"/>
      <c r="H9" s="1614"/>
      <c r="I9" s="3702"/>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2280</v>
      </c>
      <c r="D10" s="1618" t="s">
        <v>1166</v>
      </c>
      <c r="E10" s="1619" t="s">
        <v>1167</v>
      </c>
      <c r="F10" s="1620" t="s">
        <v>1168</v>
      </c>
      <c r="G10" s="1576"/>
      <c r="H10" s="1605" t="s">
        <v>900</v>
      </c>
      <c r="I10" s="1617" t="s">
        <v>1165</v>
      </c>
      <c r="J10" s="1680">
        <f ca="1">ROUND(IF(M10="押一",J6/12*M11,IF(M10="押二",J6/12*2*M11,IF(M10="押三",J6/12*3*M11,J11*M11))),0)</f>
        <v>0</v>
      </c>
      <c r="K10" s="1754" t="s">
        <v>1545</v>
      </c>
      <c r="L10" s="1619" t="s">
        <v>1167</v>
      </c>
      <c r="M10" s="1620"/>
    </row>
    <row r="11" spans="1:37" ht="18" customHeight="1">
      <c r="A11" s="1621"/>
      <c r="B11" s="1622" t="s">
        <v>1546</v>
      </c>
      <c r="C11" s="1623"/>
      <c r="D11" s="1612"/>
      <c r="E11" s="1619" t="s">
        <v>1170</v>
      </c>
      <c r="F11" s="1624">
        <f ca="1">'数据-取费表'!B39</f>
        <v>1.4999999999999999E-2</v>
      </c>
      <c r="G11" s="1576"/>
      <c r="H11" s="1625"/>
      <c r="I11" s="1622" t="s">
        <v>1547</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7914201</v>
      </c>
      <c r="D13" s="1635" t="s">
        <v>1173</v>
      </c>
      <c r="E13" s="1635" t="s">
        <v>1174</v>
      </c>
      <c r="F13" s="1636">
        <f ca="1">INDIRECT("'数据-取费表'!y"&amp;$G$1)</f>
        <v>0.82</v>
      </c>
      <c r="G13" s="1576"/>
      <c r="H13" s="1632">
        <v>2</v>
      </c>
      <c r="I13" s="1633" t="s">
        <v>1172</v>
      </c>
      <c r="J13" s="1759">
        <f ca="1">ROUND(J14*J15,0)</f>
        <v>0</v>
      </c>
      <c r="K13" s="1658" t="s">
        <v>1173</v>
      </c>
      <c r="L13" s="1760"/>
      <c r="M13" s="1761"/>
    </row>
    <row r="14" spans="1:37" ht="18" customHeight="1">
      <c r="A14" s="1637" t="s">
        <v>919</v>
      </c>
      <c r="B14" s="1608" t="s">
        <v>1175</v>
      </c>
      <c r="C14" s="1638">
        <f ca="1">ROUND(INDIRECT("'数据-取费表'!l"&amp;$G$1)*F43+'数据-取费表'!L14*INDIRECT("'数据-取费表'!S"&amp;$G$1),0)</f>
        <v>6478990</v>
      </c>
      <c r="D14" s="1639" t="s">
        <v>1176</v>
      </c>
      <c r="E14" s="1640"/>
      <c r="F14" s="1641"/>
      <c r="G14" s="1576"/>
      <c r="H14" s="1637" t="s">
        <v>896</v>
      </c>
      <c r="I14" s="1608" t="s">
        <v>1177</v>
      </c>
      <c r="J14" s="615">
        <f ca="1">C29</f>
        <v>9651465</v>
      </c>
      <c r="K14" s="1762"/>
      <c r="L14" s="1763"/>
      <c r="M14" s="1764"/>
    </row>
    <row r="15" spans="1:37" s="1575" customFormat="1" ht="18" customHeight="1">
      <c r="A15" s="1637" t="s">
        <v>923</v>
      </c>
      <c r="B15" s="1608" t="s">
        <v>1105</v>
      </c>
      <c r="C15" s="615">
        <f ca="1">ROUND(C14*F15,0)</f>
        <v>194370</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ROUND(INDIRECT("'数据-取费表'!l"&amp;$G$1)*F43*F16,0)</f>
        <v>0</v>
      </c>
      <c r="D16" s="1608" t="s">
        <v>1178</v>
      </c>
      <c r="E16" s="1608" t="s">
        <v>1179</v>
      </c>
      <c r="F16" s="1646">
        <f ca="1">IF(INDIRECT("'数据-取费表'!c"&amp;$G$1)="住宅",'数据-取费表'!B34,0)</f>
        <v>0</v>
      </c>
      <c r="G16" s="1576"/>
      <c r="H16" s="1632" t="s">
        <v>1180</v>
      </c>
      <c r="I16" s="1633" t="s">
        <v>1181</v>
      </c>
      <c r="J16" s="1634">
        <f ca="1">ROUND(J17+J22+J23+J24,0)</f>
        <v>48257</v>
      </c>
      <c r="K16" s="1658" t="s">
        <v>1182</v>
      </c>
      <c r="L16" s="1659"/>
      <c r="M16" s="1604"/>
    </row>
    <row r="17" spans="1:37" s="1575" customFormat="1" ht="18" customHeight="1">
      <c r="A17" s="1637" t="s">
        <v>1183</v>
      </c>
      <c r="B17" s="1608" t="s">
        <v>1184</v>
      </c>
      <c r="C17" s="615">
        <f ca="1">ROUND(F17*(F43+INDIRECT("'数据-取费表'!S"&amp;$G$1)),0)</f>
        <v>370228</v>
      </c>
      <c r="D17" s="1608" t="s">
        <v>1185</v>
      </c>
      <c r="E17" s="1608" t="s">
        <v>1186</v>
      </c>
      <c r="F17" s="1647">
        <f>'数据-取费表'!B35</f>
        <v>200</v>
      </c>
      <c r="G17" s="1644"/>
      <c r="H17" s="1637" t="s">
        <v>896</v>
      </c>
      <c r="I17" s="1608" t="s">
        <v>1187</v>
      </c>
      <c r="J17" s="1661">
        <f ca="1">ROUND(IF(AND(项目基本情况!B11="自然人",项目基本情况!B10="北京市"),J6*M17/(1+'数据-取费表'!C42),J18+J19+J20),0)</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129580</v>
      </c>
      <c r="D18" s="1608" t="s">
        <v>1178</v>
      </c>
      <c r="E18" s="1608" t="s">
        <v>1179</v>
      </c>
      <c r="F18" s="1646">
        <f>'数据-取费表'!B36</f>
        <v>0.02</v>
      </c>
      <c r="G18" s="1644"/>
      <c r="H18" s="1637" t="s">
        <v>919</v>
      </c>
      <c r="I18" s="1608" t="s">
        <v>1191</v>
      </c>
      <c r="J18" s="615">
        <f ca="1">ROUND(J6*M18/(1+'数据-取费表'!C42),0)</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7173168</v>
      </c>
      <c r="D19" s="1648" t="s">
        <v>1194</v>
      </c>
      <c r="E19" s="617"/>
      <c r="F19" s="1647"/>
      <c r="G19" s="1576"/>
      <c r="H19" s="1637" t="s">
        <v>923</v>
      </c>
      <c r="I19" s="1608" t="s">
        <v>1195</v>
      </c>
      <c r="J19" s="615">
        <f ca="1">IF(K19="按租金收入计税",ROUND(J6*M19/(1+'数据-取费表'!C42),0),ROUND(C29*M19*0.7,0))</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143463</v>
      </c>
      <c r="D20" s="1649" t="s">
        <v>1198</v>
      </c>
      <c r="E20" s="1608" t="s">
        <v>1179</v>
      </c>
      <c r="F20" s="1646">
        <f>'数据-取费表'!B37</f>
        <v>0.02</v>
      </c>
      <c r="G20" s="1644"/>
      <c r="H20" s="1637" t="s">
        <v>926</v>
      </c>
      <c r="I20" s="1607" t="s">
        <v>1199</v>
      </c>
      <c r="J20" s="1667">
        <f ca="1">ROUND(M20*M21,0)</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单利计息。建造成本、管理费用、销售费用产生的利息。</v>
      </c>
      <c r="E22" s="617"/>
      <c r="F22" s="1647"/>
      <c r="G22" s="1576"/>
      <c r="H22" s="1637" t="s">
        <v>900</v>
      </c>
      <c r="I22" s="1608" t="s">
        <v>1207</v>
      </c>
      <c r="J22" s="615">
        <f ca="1">ROUND(J14*M22,0)</f>
        <v>48257</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122554</v>
      </c>
      <c r="D23" s="1651" t="str">
        <f>IF(F23&lt;=1,"(建造成本+管理费用)×利率×(建设周期÷2)","(建造成本+管理费用)×((1+利率)^(建设周期÷2)-1)")</f>
        <v>(建造成本+管理费用)×利率×(建设周期÷2)</v>
      </c>
      <c r="E23" s="1608" t="s">
        <v>1210</v>
      </c>
      <c r="F23" s="1652">
        <f>'数据-取费表'!B20</f>
        <v>1</v>
      </c>
      <c r="G23" s="1644"/>
      <c r="H23" s="1637" t="s">
        <v>945</v>
      </c>
      <c r="I23" s="1608" t="s">
        <v>1211</v>
      </c>
      <c r="J23" s="615">
        <f ca="1">ROUND(J13*M23,0)</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2.9999999999999997E-4</v>
      </c>
      <c r="D24" s="1651" t="str">
        <f>IF(F23&lt;=1,"销售费用×利率×(建设周期÷2)","销售费用×((1+利率)^(建设周期÷2)-1)")</f>
        <v>销售费用×利率×(建设周期÷2)</v>
      </c>
      <c r="E24" s="1608" t="s">
        <v>1214</v>
      </c>
      <c r="F24" s="1653">
        <f ca="1">'数据-取费表'!B40</f>
        <v>3.3500000000000002E-2</v>
      </c>
      <c r="G24" s="1644"/>
      <c r="H24" s="1645" t="s">
        <v>948</v>
      </c>
      <c r="I24" s="1630" t="s">
        <v>1197</v>
      </c>
      <c r="J24" s="1654">
        <f ca="1">ROUND(J5*M24,0)</f>
        <v>0</v>
      </c>
      <c r="K24" s="1655" t="s">
        <v>1215</v>
      </c>
      <c r="L24" s="1630" t="s">
        <v>1179</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952</v>
      </c>
      <c r="B25" s="1608" t="s">
        <v>1216</v>
      </c>
      <c r="C25" s="615"/>
      <c r="D25" s="1648" t="s">
        <v>1217</v>
      </c>
      <c r="E25" s="617"/>
      <c r="F25" s="1647"/>
      <c r="G25" s="1576"/>
      <c r="H25" s="1632" t="s">
        <v>1218</v>
      </c>
      <c r="I25" s="1676" t="s">
        <v>1219</v>
      </c>
      <c r="J25" s="1634">
        <f ca="1">J5-J16</f>
        <v>-48257</v>
      </c>
      <c r="K25" s="1677" t="s">
        <v>1220</v>
      </c>
      <c r="L25" s="1678"/>
      <c r="M25" s="1679"/>
    </row>
    <row r="26" spans="1:37" ht="18" customHeight="1">
      <c r="A26" s="1637" t="s">
        <v>919</v>
      </c>
      <c r="B26" s="1608" t="s">
        <v>1221</v>
      </c>
      <c r="C26" s="615">
        <f ca="1">ROUND((C19+C20)*F26,0)</f>
        <v>1463326</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9651465</v>
      </c>
      <c r="D29" s="1655"/>
      <c r="E29" s="1630"/>
      <c r="F29" s="1656"/>
      <c r="G29" s="1644"/>
      <c r="H29" s="1657" t="s">
        <v>1236</v>
      </c>
      <c r="I29" s="1687" t="s">
        <v>1237</v>
      </c>
      <c r="J29" s="1688">
        <f ca="1">ROUND(J26/(1+F40)^F41,0)</f>
        <v>0</v>
      </c>
      <c r="K29" s="1689" t="s">
        <v>1238</v>
      </c>
      <c r="L29" s="1690"/>
      <c r="M29" s="1691">
        <f ca="1">INDIRECT("'数据-取费表'!k"&amp;$G$1)</f>
        <v>1851.14</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375048</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ROUND(IF(AND(项目基本情况!B11="自然人",项目基本情况!B10="北京市"),C6*F31/(1+'数据-取费表'!C42),C32+C33+C34),0)</f>
        <v>305787</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IF(项目基本情况!B11="自然人","——",ROUND(C6*F32/(1+'数据-取费表'!C42),0))</f>
        <v>97296</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IF(项目基本情况!B11="自然人","——",IF(D33="按租金收入计税",ROUND(C6*F33/(1+'数据-取费表'!C42),0),IF(D33="按房产原值计税",ROUND(C29*F33*0.7,0),INDIRECT("'数据-取费表'!Aj"&amp;$G$1))))</f>
        <v>208491</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IF(项目基本情况!B11="自然人","——",ROUND(F34*F35,0))</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ROUND(C29*F36,0)</f>
        <v>48257</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ROUND(C13*F37,0)</f>
        <v>11871</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ROUND(C5*F38,0)</f>
        <v>9133</v>
      </c>
      <c r="D38" s="1655" t="s">
        <v>1215</v>
      </c>
      <c r="E38" s="1630" t="s">
        <v>1179</v>
      </c>
      <c r="F38" s="1631">
        <f ca="1">INDIRECT("'数据-取费表'!Am"&amp;$G$1)</f>
        <v>5.0000000000000001E-3</v>
      </c>
      <c r="G38" s="1576"/>
      <c r="H38" s="1666"/>
      <c r="I38" s="1769"/>
      <c r="J38" s="1770"/>
      <c r="K38" s="1778"/>
      <c r="L38" s="1666"/>
      <c r="M38" s="1666"/>
    </row>
    <row r="39" spans="1:18" ht="24.6" customHeight="1">
      <c r="A39" s="1632" t="s">
        <v>1218</v>
      </c>
      <c r="B39" s="1676" t="s">
        <v>1219</v>
      </c>
      <c r="C39" s="1634">
        <f ca="1">C5-C30</f>
        <v>1451530</v>
      </c>
      <c r="D39" s="1677" t="s">
        <v>1220</v>
      </c>
      <c r="E39" s="1678"/>
      <c r="F39" s="1679"/>
      <c r="G39" s="1576"/>
      <c r="H39" s="1666">
        <f ca="1">C39/C5</f>
        <v>0.7946717851632944</v>
      </c>
      <c r="I39" s="1769"/>
      <c r="J39" s="1770"/>
      <c r="K39" s="1778"/>
      <c r="L39" s="1666"/>
      <c r="M39" s="1666"/>
    </row>
    <row r="40" spans="1:18" ht="18" customHeight="1">
      <c r="A40" s="1599" t="s">
        <v>1224</v>
      </c>
      <c r="B40" s="1600" t="s">
        <v>1241</v>
      </c>
      <c r="C40" s="1680">
        <f ca="1">ROUND(C39*(1-((1+F42)/(1+F40))^F41)/(F40-F42),0)</f>
        <v>22384509</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23</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ROUND(C40/F43,0)</f>
        <v>12092</v>
      </c>
      <c r="D43" s="1689" t="s">
        <v>1243</v>
      </c>
      <c r="E43" s="1690" t="s">
        <v>1244</v>
      </c>
      <c r="F43" s="1691">
        <f ca="1">INDIRECT("'数据-取费表'!k"&amp;$G$1)</f>
        <v>1851.14</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1548</v>
      </c>
      <c r="B45" s="1692"/>
      <c r="C45" s="1695">
        <f ca="1">ROUND((C68-C40)/10000,4)</f>
        <v>-2315.866</v>
      </c>
      <c r="D45" s="1696" t="s">
        <v>1549</v>
      </c>
      <c r="E45" s="1692"/>
      <c r="F45" s="1692"/>
      <c r="O45" s="1780" t="s">
        <v>1245</v>
      </c>
      <c r="P45" s="1681"/>
      <c r="Q45" s="1681"/>
      <c r="R45" s="1681"/>
    </row>
    <row r="46" spans="1:18" s="1576" customFormat="1">
      <c r="A46" s="1697" t="s">
        <v>1246</v>
      </c>
      <c r="C46" s="1698">
        <f ca="1">ROUND(C45,0)</f>
        <v>-2316</v>
      </c>
      <c r="D46" s="1699" t="str">
        <f>C2</f>
        <v>万元</v>
      </c>
      <c r="I46" s="1781" t="s">
        <v>1247</v>
      </c>
      <c r="J46" s="1782"/>
      <c r="K46" s="1783"/>
      <c r="L46" s="1784">
        <f ca="1">IF(M47="住宅",0,IF(L48&gt;J51,L60,J60))</f>
        <v>731574</v>
      </c>
      <c r="O46" s="1785" t="s">
        <v>1248</v>
      </c>
      <c r="P46" s="1786" t="s">
        <v>1249</v>
      </c>
      <c r="Q46" s="1832" t="s">
        <v>1250</v>
      </c>
      <c r="R46" s="1832" t="s">
        <v>1251</v>
      </c>
    </row>
    <row r="47" spans="1:18" s="1576" customFormat="1">
      <c r="A47" s="1700" t="s">
        <v>1151</v>
      </c>
      <c r="B47" s="1701" t="s">
        <v>1152</v>
      </c>
      <c r="C47" s="1701" t="s">
        <v>1153</v>
      </c>
      <c r="D47" s="1701" t="s">
        <v>1154</v>
      </c>
      <c r="E47" s="1702" t="s">
        <v>1155</v>
      </c>
      <c r="F47" s="608"/>
      <c r="G47" s="1703"/>
      <c r="I47" s="1787" t="s">
        <v>1252</v>
      </c>
      <c r="J47" s="1788" t="s">
        <v>1550</v>
      </c>
      <c r="K47" s="1789" t="s">
        <v>1253</v>
      </c>
      <c r="L47" s="1790">
        <f ca="1">INDIRECT("'数据-取费表'!d"&amp;$G$1)</f>
        <v>40</v>
      </c>
      <c r="M47" s="1791" t="str">
        <f>IF(ISNUMBER(FIND("住宅",C1)),"住宅","非住宅")</f>
        <v>非住宅</v>
      </c>
      <c r="O47" s="1792" t="s">
        <v>1002</v>
      </c>
      <c r="P47" s="1793" t="s">
        <v>1254</v>
      </c>
      <c r="Q47" s="1833">
        <f ca="1">C40+J29</f>
        <v>22384509</v>
      </c>
      <c r="R47" s="1833" t="s">
        <v>1255</v>
      </c>
    </row>
    <row r="48" spans="1:18" s="1576" customFormat="1" ht="27.75">
      <c r="A48" s="1704" t="s">
        <v>1256</v>
      </c>
      <c r="B48" s="1600" t="s">
        <v>1156</v>
      </c>
      <c r="C48" s="616">
        <f ca="1">C49+C53+C55</f>
        <v>0</v>
      </c>
      <c r="D48" s="1705"/>
      <c r="E48" s="1706"/>
      <c r="F48" s="1707"/>
      <c r="G48" s="1703"/>
      <c r="H48" s="1708"/>
      <c r="I48" s="1794" t="s">
        <v>1257</v>
      </c>
      <c r="J48" s="1795" t="s">
        <v>1551</v>
      </c>
      <c r="K48" s="1796" t="s">
        <v>1258</v>
      </c>
      <c r="L48" s="1797">
        <f ca="1">INDIRECT("'数据-取费表'!f"&amp;$G$1)</f>
        <v>23</v>
      </c>
      <c r="O48" s="1792" t="s">
        <v>1006</v>
      </c>
      <c r="P48" s="1793" t="s">
        <v>1259</v>
      </c>
      <c r="Q48" s="1833">
        <f ca="1">J60</f>
        <v>731574</v>
      </c>
      <c r="R48" s="1833" t="s">
        <v>1260</v>
      </c>
    </row>
    <row r="49" spans="1:18" s="1576" customFormat="1">
      <c r="A49" s="1709" t="s">
        <v>1261</v>
      </c>
      <c r="B49" s="1710" t="s">
        <v>1262</v>
      </c>
      <c r="C49" s="1711">
        <f ca="1">ROUND(F49*F51*F50*(1-F52),0)</f>
        <v>0</v>
      </c>
      <c r="D49" s="1712" t="s">
        <v>1552</v>
      </c>
      <c r="E49" s="1713" t="s">
        <v>1263</v>
      </c>
      <c r="F49" s="1714"/>
      <c r="G49" s="1715"/>
      <c r="H49" s="1708"/>
      <c r="I49" s="1794" t="s">
        <v>1264</v>
      </c>
      <c r="J49" s="1798">
        <f>'数据-取费表'!N17</f>
        <v>2008</v>
      </c>
      <c r="K49" s="1796" t="s">
        <v>1265</v>
      </c>
      <c r="L49" s="1799"/>
      <c r="O49" s="1800" t="s">
        <v>1266</v>
      </c>
      <c r="P49" s="1793" t="s">
        <v>1267</v>
      </c>
      <c r="Q49" s="1833">
        <f ca="1">C29</f>
        <v>9651465</v>
      </c>
      <c r="R49" s="1833" t="s">
        <v>1255</v>
      </c>
    </row>
    <row r="50" spans="1:18" s="1576" customFormat="1">
      <c r="A50" s="1716"/>
      <c r="B50" s="1717"/>
      <c r="C50" s="1718"/>
      <c r="D50" s="1719"/>
      <c r="E50" s="1720" t="s">
        <v>1162</v>
      </c>
      <c r="F50" s="1721">
        <f ca="1">F7</f>
        <v>1851.14</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c r="A51" s="1722"/>
      <c r="B51" s="1717"/>
      <c r="C51" s="1718"/>
      <c r="D51" s="1719"/>
      <c r="E51" s="1723" t="s">
        <v>1163</v>
      </c>
      <c r="F51" s="1609">
        <f ca="1">F8</f>
        <v>365</v>
      </c>
      <c r="I51" s="1803" t="s">
        <v>1272</v>
      </c>
      <c r="J51" s="1804">
        <f>IF(J49="",J50,J49+J50-YEAR('数据-取费表'!B2))</f>
        <v>44</v>
      </c>
      <c r="K51" s="1805" t="s">
        <v>1273</v>
      </c>
      <c r="L51" s="1806">
        <f ca="1">ROUND(-PV(INDIRECT("'数据-取费表'!h"&amp;$G$1),J51,(C39-C13*C76),0),0)</f>
        <v>15852974</v>
      </c>
      <c r="M51" s="1807"/>
      <c r="O51" s="1800" t="s">
        <v>1274</v>
      </c>
      <c r="P51" s="1793" t="s">
        <v>1275</v>
      </c>
      <c r="Q51" s="1834">
        <f>J52</f>
        <v>7.4999999999999997E-2</v>
      </c>
      <c r="R51" s="1833"/>
    </row>
    <row r="52" spans="1:18" s="1576" customFormat="1">
      <c r="A52" s="1722"/>
      <c r="B52" s="1717"/>
      <c r="C52" s="1718"/>
      <c r="D52" s="1719"/>
      <c r="E52" s="1723" t="s">
        <v>1164</v>
      </c>
      <c r="F52" s="1724"/>
      <c r="I52" s="1808" t="s">
        <v>1276</v>
      </c>
      <c r="J52" s="1809">
        <v>7.4999999999999997E-2</v>
      </c>
      <c r="K52" s="1808" t="s">
        <v>1277</v>
      </c>
      <c r="L52" s="1810"/>
      <c r="O52" s="1800" t="s">
        <v>1278</v>
      </c>
      <c r="P52" s="1793" t="s">
        <v>1279</v>
      </c>
      <c r="Q52" s="1833">
        <f ca="1">J53</f>
        <v>23</v>
      </c>
      <c r="R52" s="1833" t="s">
        <v>1280</v>
      </c>
    </row>
    <row r="53" spans="1:18" s="1576" customFormat="1" ht="30.75" customHeight="1">
      <c r="A53" s="1725" t="s">
        <v>1281</v>
      </c>
      <c r="B53" s="1649" t="s">
        <v>1165</v>
      </c>
      <c r="C53" s="614">
        <f ca="1">ROUND(IF(F53="押一",C49/12*F11,IF(F53="押二",C49/12*2*F11,IF(F53="押三",C49/12*3*F11,C54*F11))),0)</f>
        <v>0</v>
      </c>
      <c r="D53" s="1618" t="s">
        <v>1553</v>
      </c>
      <c r="E53" s="1619" t="s">
        <v>1167</v>
      </c>
      <c r="F53" s="1620"/>
      <c r="I53" s="1811" t="s">
        <v>1282</v>
      </c>
      <c r="J53" s="1812">
        <f ca="1">IF(M47="住宅",IF(D1="——",MAX(J51,L48),MAX(J51,L48-'数据-取费表'!B24)),IF(D1="——",MIN(J51,L48),MIN(J51,L48-'数据-取费表'!B24)))</f>
        <v>23</v>
      </c>
      <c r="K53" s="3698" t="s">
        <v>1283</v>
      </c>
      <c r="L53" s="3699"/>
      <c r="O53" s="1792" t="s">
        <v>1107</v>
      </c>
      <c r="P53" s="1793" t="s">
        <v>1284</v>
      </c>
      <c r="Q53" s="1833">
        <f ca="1">Q47+Q48</f>
        <v>23116083</v>
      </c>
      <c r="R53" s="1833" t="s">
        <v>1285</v>
      </c>
    </row>
    <row r="54" spans="1:18" s="1576" customFormat="1">
      <c r="A54" s="1709"/>
      <c r="B54" s="1726" t="s">
        <v>1547</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c r="A55" s="1626" t="s">
        <v>945</v>
      </c>
      <c r="B55" s="1627" t="s">
        <v>1171</v>
      </c>
      <c r="C55" s="1628"/>
      <c r="D55" s="1618"/>
      <c r="E55" s="1727"/>
      <c r="F55" s="1728"/>
      <c r="I55" s="1816" t="s">
        <v>1287</v>
      </c>
      <c r="J55" s="1817">
        <f ca="1">ROUND(IF(J47="钢混",J57/J50,1-(1-2%)*(J50-J57)/J50),3)</f>
        <v>0.35</v>
      </c>
      <c r="K55" s="1818" t="s">
        <v>1288</v>
      </c>
      <c r="L55" s="1819"/>
      <c r="O55" s="1785" t="s">
        <v>1248</v>
      </c>
      <c r="P55" s="1786" t="s">
        <v>1249</v>
      </c>
      <c r="Q55" s="1832" t="s">
        <v>1250</v>
      </c>
      <c r="R55" s="1832" t="s">
        <v>1251</v>
      </c>
    </row>
    <row r="56" spans="1:18" s="1576" customFormat="1" ht="36" customHeight="1">
      <c r="A56" s="1729">
        <v>2</v>
      </c>
      <c r="B56" s="1730" t="s">
        <v>1172</v>
      </c>
      <c r="C56" s="416">
        <f ca="1">C13</f>
        <v>7914201</v>
      </c>
      <c r="D56" s="1731"/>
      <c r="E56" s="1732"/>
      <c r="F56" s="1728"/>
      <c r="I56" s="1820" t="s">
        <v>1289</v>
      </c>
      <c r="J56" s="1821" t="s">
        <v>485</v>
      </c>
      <c r="K56" s="1794" t="s">
        <v>1290</v>
      </c>
      <c r="L56" s="1797" t="str">
        <f ca="1">IF(L48&lt;J51,"——",L48-J51)</f>
        <v>——</v>
      </c>
      <c r="O56" s="1792" t="s">
        <v>1002</v>
      </c>
      <c r="P56" s="1793" t="s">
        <v>1254</v>
      </c>
      <c r="Q56" s="1833">
        <f ca="1">C40+J29</f>
        <v>22384509</v>
      </c>
      <c r="R56" s="1833" t="s">
        <v>1255</v>
      </c>
    </row>
    <row r="57" spans="1:18" s="1576" customFormat="1" ht="24">
      <c r="A57" s="1733"/>
      <c r="B57" s="1734" t="s">
        <v>1235</v>
      </c>
      <c r="C57" s="426">
        <f ca="1">C29</f>
        <v>9651465</v>
      </c>
      <c r="D57" s="1735"/>
      <c r="E57" s="1736"/>
      <c r="F57" s="1737"/>
      <c r="I57" s="1822" t="s">
        <v>1291</v>
      </c>
      <c r="J57" s="1823">
        <f ca="1">IF(OR(M47="住宅",J51&lt;L48,J56="是"),"——",J51-L48)</f>
        <v>21</v>
      </c>
      <c r="K57" s="1794" t="s">
        <v>1554</v>
      </c>
      <c r="L57" s="1797" t="str">
        <f ca="1">IF(L48&lt;J51,"——",IF(L55="比较法",L49,IF(L55="基准地价",L50,L51)))</f>
        <v>——</v>
      </c>
      <c r="O57" s="1792" t="s">
        <v>1006</v>
      </c>
      <c r="P57" s="1793" t="s">
        <v>1293</v>
      </c>
      <c r="Q57" s="1833">
        <f ca="1">L60</f>
        <v>0</v>
      </c>
      <c r="R57" s="1833" t="s">
        <v>1294</v>
      </c>
    </row>
    <row r="58" spans="1:18" s="1576" customFormat="1" ht="24">
      <c r="A58" s="1738" t="s">
        <v>1180</v>
      </c>
      <c r="B58" s="1730" t="s">
        <v>1181</v>
      </c>
      <c r="C58" s="614">
        <f ca="1">ROUND(C59+C64+C65+C66,0)</f>
        <v>60128</v>
      </c>
      <c r="D58" s="1739" t="s">
        <v>1182</v>
      </c>
      <c r="E58" s="1740"/>
      <c r="F58" s="1707"/>
      <c r="I58" s="1822" t="s">
        <v>1295</v>
      </c>
      <c r="J58" s="1824">
        <f ca="1">IF(J55&lt;0.4,0.4,J55)</f>
        <v>0.4</v>
      </c>
      <c r="K58" s="1805" t="s">
        <v>1555</v>
      </c>
      <c r="L58" s="1797" t="e">
        <f ca="1">ROUND(POWER(1+L52,L47-L48)*(POWER(1+L52,L48)-1)/(POWER(1+L52,L47)-1),4)</f>
        <v>#DIV/0!</v>
      </c>
      <c r="O58" s="1800" t="s">
        <v>1266</v>
      </c>
      <c r="P58" s="1793" t="s">
        <v>1297</v>
      </c>
      <c r="Q58" s="1833">
        <f>IF(L55="比较法",L49,IF(L55="基准地价",L50,0))</f>
        <v>0</v>
      </c>
      <c r="R58" s="1833" t="s">
        <v>1255</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1298</v>
      </c>
      <c r="J59" s="1823">
        <f ca="1">IF(OR(M47="住宅",J51&lt;L48,J56="是"),"——",ROUND(C29*J58,0))</f>
        <v>3860586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5.75">
      <c r="A60" s="1637" t="s">
        <v>919</v>
      </c>
      <c r="B60" s="1734" t="s">
        <v>1191</v>
      </c>
      <c r="C60" s="615">
        <f ca="1">IF(项目基本情况!B11="自然人","——",ROUND(C48*F60/(1+'数据-取费表'!C42),0))</f>
        <v>0</v>
      </c>
      <c r="D60" s="1742" t="s">
        <v>1192</v>
      </c>
      <c r="E60" s="1734" t="s">
        <v>1179</v>
      </c>
      <c r="F60" s="1653">
        <f t="shared" ref="F60:F66" si="0">F32</f>
        <v>5.6000000000000001E-2</v>
      </c>
      <c r="I60" s="1825" t="s">
        <v>1300</v>
      </c>
      <c r="J60" s="1826">
        <f ca="1">IF(OR(M47="住宅",J51&lt;L48,J56="是"),"0",ROUND(J59/(1+J52)^J53,0))</f>
        <v>731574</v>
      </c>
      <c r="K60" s="1827" t="s">
        <v>1301</v>
      </c>
      <c r="L60" s="1826">
        <f ca="1">IF(OR(M47="住宅",L48&lt;J51),0,ROUND(L57*(L58/L59-1),0))</f>
        <v>0</v>
      </c>
      <c r="O60" s="1800" t="s">
        <v>1274</v>
      </c>
      <c r="P60" s="1793" t="s">
        <v>1302</v>
      </c>
      <c r="Q60" s="1833" t="e">
        <f ca="1">L58</f>
        <v>#DIV/0!</v>
      </c>
      <c r="R60" s="1833" t="s">
        <v>1303</v>
      </c>
    </row>
    <row r="61" spans="1:18" s="1576" customFormat="1">
      <c r="A61" s="1637" t="s">
        <v>923</v>
      </c>
      <c r="B61" s="1734" t="s">
        <v>1195</v>
      </c>
      <c r="C61" s="615">
        <f ca="1">IF(项目基本情况!B11="自然人","——",IF(D61="按租金收入计税",ROUND(C49*F61/(1+'数据-取费表'!C42),0),IF(D61="按房产原值计税",ROUND(C57*F61*0.7,0),INDIRECT("'数据-取费表'!Aj"&amp;$G$1))))</f>
        <v>0</v>
      </c>
      <c r="D61" s="1665" t="s">
        <v>1196</v>
      </c>
      <c r="E61" s="1734" t="s">
        <v>1179</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c r="A62" s="1637" t="s">
        <v>926</v>
      </c>
      <c r="B62" s="1743" t="s">
        <v>1199</v>
      </c>
      <c r="C62" s="1667">
        <f ca="1">IF(项目基本情况!B11="自然人","——",ROUND(F62*F63,0))</f>
        <v>0</v>
      </c>
      <c r="D62" s="1744" t="s">
        <v>1200</v>
      </c>
      <c r="E62" s="1734" t="s">
        <v>1201</v>
      </c>
      <c r="F62" s="1652">
        <f t="shared" si="0"/>
        <v>1.5</v>
      </c>
      <c r="I62" s="1828" t="s">
        <v>1305</v>
      </c>
      <c r="J62" s="1829" t="s">
        <v>1306</v>
      </c>
      <c r="K62" s="1829" t="s">
        <v>1307</v>
      </c>
      <c r="L62" s="1829" t="s">
        <v>1308</v>
      </c>
      <c r="M62" s="1830" t="s">
        <v>1309</v>
      </c>
      <c r="O62" s="1792" t="s">
        <v>1107</v>
      </c>
      <c r="P62" s="1793" t="s">
        <v>1284</v>
      </c>
      <c r="Q62" s="1833">
        <f ca="1">Q56+Q57</f>
        <v>22384509</v>
      </c>
      <c r="R62" s="1833" t="s">
        <v>1285</v>
      </c>
    </row>
    <row r="63" spans="1:18" s="1576" customFormat="1">
      <c r="A63" s="1650"/>
      <c r="B63" s="1745"/>
      <c r="C63" s="1671"/>
      <c r="D63" s="1746"/>
      <c r="E63" s="1734" t="s">
        <v>1205</v>
      </c>
      <c r="F63" s="1609">
        <f t="shared" ca="1" si="0"/>
        <v>0</v>
      </c>
      <c r="I63" s="1828" t="s">
        <v>1310</v>
      </c>
      <c r="J63" s="1829">
        <v>70</v>
      </c>
      <c r="K63" s="1829">
        <v>50</v>
      </c>
      <c r="L63" s="1829">
        <v>80</v>
      </c>
      <c r="M63" s="1831">
        <v>0.02</v>
      </c>
      <c r="O63" s="1780" t="s">
        <v>1311</v>
      </c>
      <c r="P63" s="1815"/>
      <c r="Q63" s="1815"/>
      <c r="R63" s="1815"/>
    </row>
    <row r="64" spans="1:18" s="1576" customFormat="1">
      <c r="A64" s="1637" t="s">
        <v>900</v>
      </c>
      <c r="B64" s="1734" t="s">
        <v>1207</v>
      </c>
      <c r="C64" s="615">
        <f ca="1">ROUND(C57*F64,0)</f>
        <v>48257</v>
      </c>
      <c r="D64" s="1742" t="s">
        <v>1240</v>
      </c>
      <c r="E64" s="1734" t="s">
        <v>1179</v>
      </c>
      <c r="F64" s="1674">
        <f t="shared" ca="1" si="0"/>
        <v>5.0000000000000001E-3</v>
      </c>
      <c r="I64" s="1828" t="s">
        <v>1312</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ROUND(C56*F65,0)</f>
        <v>11871</v>
      </c>
      <c r="D65" s="1742" t="s">
        <v>1212</v>
      </c>
      <c r="E65" s="1734" t="s">
        <v>1179</v>
      </c>
      <c r="F65" s="1675">
        <f t="shared" ca="1" si="0"/>
        <v>1.5E-3</v>
      </c>
      <c r="I65" s="1828" t="s">
        <v>1313</v>
      </c>
      <c r="J65" s="1829">
        <v>40</v>
      </c>
      <c r="K65" s="1829">
        <v>30</v>
      </c>
      <c r="L65" s="1829">
        <v>50</v>
      </c>
      <c r="M65" s="1831">
        <v>0.02</v>
      </c>
      <c r="O65" s="1792" t="s">
        <v>1002</v>
      </c>
      <c r="P65" s="1793" t="s">
        <v>1254</v>
      </c>
      <c r="Q65" s="1833">
        <f ca="1">C40+J29</f>
        <v>22384509</v>
      </c>
      <c r="R65" s="1833" t="s">
        <v>1255</v>
      </c>
    </row>
    <row r="66" spans="1:18" s="1576" customFormat="1" ht="15.75">
      <c r="A66" s="1637" t="s">
        <v>948</v>
      </c>
      <c r="B66" s="1734" t="s">
        <v>1197</v>
      </c>
      <c r="C66" s="615">
        <f ca="1">ROUND(C48*F66,0)</f>
        <v>0</v>
      </c>
      <c r="D66" s="1742" t="s">
        <v>1215</v>
      </c>
      <c r="E66" s="1734" t="s">
        <v>1179</v>
      </c>
      <c r="F66" s="1616">
        <f t="shared" ca="1" si="0"/>
        <v>5.0000000000000001E-3</v>
      </c>
      <c r="O66" s="1792" t="s">
        <v>1006</v>
      </c>
      <c r="P66" s="1793" t="s">
        <v>1293</v>
      </c>
      <c r="Q66" s="1833">
        <f ca="1">L60</f>
        <v>0</v>
      </c>
      <c r="R66" s="1833" t="s">
        <v>1294</v>
      </c>
    </row>
    <row r="67" spans="1:18" s="1576" customFormat="1" ht="15.75">
      <c r="A67" s="1729" t="s">
        <v>1218</v>
      </c>
      <c r="B67" s="1835" t="s">
        <v>1219</v>
      </c>
      <c r="C67" s="614">
        <f ca="1">C48-C58</f>
        <v>-60128</v>
      </c>
      <c r="D67" s="1741" t="s">
        <v>1220</v>
      </c>
      <c r="E67" s="1836"/>
      <c r="F67" s="1837"/>
      <c r="O67" s="1800" t="s">
        <v>1266</v>
      </c>
      <c r="P67" s="1793" t="s">
        <v>1297</v>
      </c>
      <c r="Q67" s="1858">
        <f ca="1">L51</f>
        <v>15852974</v>
      </c>
      <c r="R67" s="1833" t="s">
        <v>1314</v>
      </c>
    </row>
    <row r="68" spans="1:18" s="1576" customFormat="1" ht="15.75">
      <c r="A68" s="1838" t="s">
        <v>1224</v>
      </c>
      <c r="B68" s="1839" t="s">
        <v>1241</v>
      </c>
      <c r="C68" s="1680">
        <f ca="1">ROUND(C67*(1-((1+F70)/(1+F68))^F69)/(F68-F70),0)</f>
        <v>-774151</v>
      </c>
      <c r="D68" s="1744" t="s">
        <v>1226</v>
      </c>
      <c r="E68" s="1734" t="s">
        <v>1227</v>
      </c>
      <c r="F68" s="1616">
        <f ca="1">F40</f>
        <v>5.5E-2</v>
      </c>
      <c r="O68" s="1800" t="s">
        <v>1270</v>
      </c>
      <c r="P68" s="1857" t="s">
        <v>1315</v>
      </c>
      <c r="Q68" s="1833">
        <f ca="1">ROUND(Q69-Q70*Q71,0)</f>
        <v>897536</v>
      </c>
      <c r="R68" s="1833" t="s">
        <v>1316</v>
      </c>
    </row>
    <row r="69" spans="1:18" s="1576" customFormat="1">
      <c r="A69" s="1840"/>
      <c r="B69" s="1841"/>
      <c r="C69" s="1615"/>
      <c r="D69" s="1842" t="s">
        <v>1230</v>
      </c>
      <c r="E69" s="1734" t="s">
        <v>1231</v>
      </c>
      <c r="F69" s="1684">
        <f ca="1">F41</f>
        <v>23</v>
      </c>
      <c r="O69" s="1800" t="s">
        <v>1317</v>
      </c>
      <c r="P69" s="1857" t="s">
        <v>1318</v>
      </c>
      <c r="Q69" s="1833">
        <f ca="1">C39</f>
        <v>1451530</v>
      </c>
      <c r="R69" s="1833" t="s">
        <v>1255</v>
      </c>
    </row>
    <row r="70" spans="1:18" s="1576" customFormat="1">
      <c r="A70" s="1843"/>
      <c r="B70" s="1844"/>
      <c r="C70" s="1634"/>
      <c r="D70" s="1746"/>
      <c r="E70" s="1734" t="s">
        <v>1234</v>
      </c>
      <c r="F70" s="1724"/>
      <c r="O70" s="1800" t="s">
        <v>1319</v>
      </c>
      <c r="P70" s="1857" t="s">
        <v>1320</v>
      </c>
      <c r="Q70" s="1833">
        <f ca="1">C13</f>
        <v>7914201</v>
      </c>
      <c r="R70" s="1833" t="s">
        <v>1255</v>
      </c>
    </row>
    <row r="71" spans="1:18" s="1576" customFormat="1">
      <c r="A71" s="1845" t="s">
        <v>1236</v>
      </c>
      <c r="B71" s="1846" t="s">
        <v>1242</v>
      </c>
      <c r="C71" s="1688">
        <f ca="1">ROUND(C68/F71,0)</f>
        <v>-418</v>
      </c>
      <c r="D71" s="1847" t="s">
        <v>1243</v>
      </c>
      <c r="E71" s="1848" t="s">
        <v>1244</v>
      </c>
      <c r="F71" s="1691">
        <f ca="1">F43</f>
        <v>1851.14</v>
      </c>
      <c r="O71" s="1800" t="s">
        <v>1321</v>
      </c>
      <c r="P71" s="1857" t="s">
        <v>1322</v>
      </c>
      <c r="Q71" s="1834">
        <f ca="1">C76</f>
        <v>7.0000000000000007E-2</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#DIV/0!</v>
      </c>
      <c r="R73" s="1833" t="s">
        <v>1303</v>
      </c>
    </row>
    <row r="74" spans="1:18">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c r="A75" s="1576"/>
      <c r="B75" s="1850" t="s">
        <v>1325</v>
      </c>
      <c r="C75" s="1851">
        <f ca="1">ROUND(C13*C76,0)</f>
        <v>553994</v>
      </c>
      <c r="D75" s="1576"/>
      <c r="E75" s="1576"/>
      <c r="F75" s="1576"/>
      <c r="K75" s="1779"/>
      <c r="L75" s="1576"/>
      <c r="O75" s="1792" t="s">
        <v>1107</v>
      </c>
      <c r="P75" s="1793" t="s">
        <v>1284</v>
      </c>
      <c r="Q75" s="1833">
        <f ca="1">Q65+Q66</f>
        <v>22384509</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0.61799999999999999</v>
      </c>
    </row>
    <row r="80" spans="1:18">
      <c r="B80" s="1850" t="s">
        <v>1330</v>
      </c>
      <c r="C80" s="459">
        <f ca="1">ROUND(C75/C39,3)</f>
        <v>0.38200000000000001</v>
      </c>
    </row>
    <row r="81" spans="2:3">
      <c r="B81" s="456" t="s">
        <v>1331</v>
      </c>
      <c r="C81" s="426"/>
    </row>
    <row r="82" spans="2:3">
      <c r="B82" s="458" t="s">
        <v>1083</v>
      </c>
      <c r="C82" s="460">
        <f ca="1">1-C83</f>
        <v>0.64600000000000002</v>
      </c>
    </row>
    <row r="83" spans="2:3">
      <c r="B83" s="458" t="s">
        <v>1084</v>
      </c>
      <c r="C83" s="459">
        <f ca="1">ROUND(C13/C40,3)</f>
        <v>0.35399999999999998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1556</v>
      </c>
      <c r="B1" s="1405"/>
      <c r="C1" s="1406"/>
      <c r="D1" s="1406"/>
      <c r="E1" s="1407"/>
      <c r="F1" s="1408"/>
      <c r="G1" s="1409"/>
      <c r="J1" s="1511" t="s">
        <v>1557</v>
      </c>
      <c r="K1" s="1512"/>
      <c r="L1" s="1512"/>
      <c r="M1" s="1512"/>
      <c r="N1" s="1512"/>
      <c r="O1" s="1512"/>
      <c r="P1" s="1512"/>
      <c r="Q1" s="1512"/>
      <c r="R1" s="1551"/>
      <c r="S1" s="1552"/>
      <c r="T1" s="1552"/>
      <c r="U1" s="1552"/>
    </row>
    <row r="2" spans="1:22" s="1397" customFormat="1" ht="13.15" customHeight="1">
      <c r="A2" s="1410" t="s">
        <v>1146</v>
      </c>
      <c r="B2" s="1411" t="e">
        <f>IF(D2="——",C40,C40+E2)</f>
        <v>#DIV/0!</v>
      </c>
      <c r="C2" s="1406" t="s">
        <v>1147</v>
      </c>
      <c r="D2" s="1412" t="s">
        <v>1558</v>
      </c>
      <c r="E2" s="1413"/>
      <c r="F2" s="1414"/>
      <c r="G2" s="1415"/>
      <c r="H2" s="1416"/>
      <c r="I2" s="1513"/>
      <c r="J2" s="3715" t="s">
        <v>1559</v>
      </c>
      <c r="K2" s="3716"/>
      <c r="L2" s="1514" t="s">
        <v>1560</v>
      </c>
      <c r="M2" s="1514" t="s">
        <v>1561</v>
      </c>
      <c r="N2" s="1514" t="s">
        <v>1562</v>
      </c>
      <c r="O2" s="1514" t="s">
        <v>1563</v>
      </c>
      <c r="P2" s="1514" t="s">
        <v>1564</v>
      </c>
      <c r="Q2" s="1553" t="s">
        <v>1565</v>
      </c>
      <c r="R2" s="1554" t="s">
        <v>1566</v>
      </c>
      <c r="S2" s="1552"/>
      <c r="T2" s="1552"/>
      <c r="U2" s="1552"/>
      <c r="V2" s="1513"/>
    </row>
    <row r="3" spans="1:22" s="1397" customFormat="1" ht="13.15" customHeight="1">
      <c r="A3" s="1417" t="s">
        <v>1148</v>
      </c>
      <c r="B3" s="1418" t="e">
        <f>ROUND(B2*10000/B4,0)</f>
        <v>#DIV/0!</v>
      </c>
      <c r="C3" s="1406" t="s">
        <v>1149</v>
      </c>
      <c r="D3" s="1406"/>
      <c r="E3" s="1419"/>
      <c r="F3" s="1414"/>
      <c r="G3" s="1415"/>
      <c r="H3" s="1416"/>
      <c r="I3" s="1513"/>
      <c r="J3" s="3709" t="s">
        <v>1567</v>
      </c>
      <c r="K3" s="3710"/>
      <c r="L3" s="1515"/>
      <c r="M3" s="1515"/>
      <c r="N3" s="1515"/>
      <c r="O3" s="1515"/>
      <c r="P3" s="1515"/>
      <c r="Q3" s="1555"/>
      <c r="R3" s="1556">
        <f>SUM(L3:Q3)</f>
        <v>0</v>
      </c>
      <c r="S3" s="1552"/>
      <c r="T3" s="1552"/>
      <c r="U3" s="1552"/>
      <c r="V3" s="1513"/>
    </row>
    <row r="4" spans="1:22" s="1397" customFormat="1" ht="13.15" customHeight="1">
      <c r="A4" s="1420" t="s">
        <v>1568</v>
      </c>
      <c r="B4" s="1421"/>
      <c r="C4" s="1406"/>
      <c r="D4" s="1406"/>
      <c r="E4" s="1419"/>
      <c r="F4" s="1414"/>
      <c r="G4" s="1415"/>
      <c r="H4" s="1416"/>
      <c r="I4" s="1513"/>
      <c r="J4" s="3709" t="s">
        <v>1569</v>
      </c>
      <c r="K4" s="3710"/>
      <c r="L4" s="1516"/>
      <c r="M4" s="1516"/>
      <c r="N4" s="1516"/>
      <c r="O4" s="1516"/>
      <c r="P4" s="1516"/>
      <c r="Q4" s="1557"/>
      <c r="R4" s="1558">
        <f>SUM(L4:Q4)</f>
        <v>0</v>
      </c>
      <c r="S4" s="1552"/>
      <c r="T4" s="1552"/>
      <c r="U4" s="1552"/>
      <c r="V4" s="1513"/>
    </row>
    <row r="5" spans="1:22" s="1397" customFormat="1" ht="13.15" customHeight="1">
      <c r="A5" s="1422" t="s">
        <v>1570</v>
      </c>
      <c r="B5" s="1423"/>
      <c r="C5" s="1406"/>
      <c r="D5" s="1424"/>
      <c r="E5" s="1414"/>
      <c r="F5" s="1414"/>
      <c r="G5" s="1415"/>
      <c r="H5" s="1416"/>
      <c r="I5" s="1513"/>
      <c r="J5" s="1517" t="s">
        <v>1571</v>
      </c>
      <c r="K5" s="1518"/>
      <c r="L5" s="1518"/>
      <c r="M5" s="1519"/>
      <c r="N5" s="1519"/>
      <c r="O5" s="1519"/>
      <c r="P5" s="1519"/>
      <c r="Q5" s="1519"/>
      <c r="R5" s="1554">
        <f>SUM(R14,R19,R24,R25,R27,R28)</f>
        <v>0</v>
      </c>
      <c r="S5" s="1552"/>
      <c r="T5" s="1552" t="s">
        <v>1572</v>
      </c>
      <c r="U5" s="1552" t="e">
        <f>ROUND(R5*10000/365/R3,1)</f>
        <v>#DIV/0!</v>
      </c>
      <c r="V5" s="1513"/>
    </row>
    <row r="6" spans="1:22" s="1397" customFormat="1" ht="13.15" customHeight="1">
      <c r="A6" s="3719" t="s">
        <v>1573</v>
      </c>
      <c r="B6" s="3720"/>
      <c r="C6" s="3721"/>
      <c r="D6" s="1425"/>
      <c r="E6" s="1426"/>
      <c r="F6" s="1427"/>
      <c r="G6" s="1428"/>
      <c r="H6" s="1416"/>
      <c r="I6" s="1513"/>
      <c r="J6" s="3703">
        <v>1</v>
      </c>
      <c r="K6" s="3706" t="s">
        <v>1574</v>
      </c>
      <c r="L6" s="1521" t="s">
        <v>1575</v>
      </c>
      <c r="M6" s="1522" t="s">
        <v>1576</v>
      </c>
      <c r="N6" s="1522" t="s">
        <v>1577</v>
      </c>
      <c r="O6" s="1522" t="s">
        <v>1578</v>
      </c>
      <c r="P6" s="1522" t="s">
        <v>1579</v>
      </c>
      <c r="Q6" s="1522" t="s">
        <v>1580</v>
      </c>
      <c r="R6" s="1556" t="s">
        <v>1581</v>
      </c>
      <c r="S6" s="1552"/>
      <c r="T6" s="1552" t="s">
        <v>1582</v>
      </c>
      <c r="U6" s="1552"/>
      <c r="V6" s="1513"/>
    </row>
    <row r="7" spans="1:22" s="1397" customFormat="1" ht="13.15" customHeight="1">
      <c r="A7" s="1429" t="s">
        <v>1583</v>
      </c>
      <c r="B7" s="1430"/>
      <c r="C7" s="1431"/>
      <c r="D7" s="1432">
        <f>SUM(D9,D10,D11,D17,0)</f>
        <v>0</v>
      </c>
      <c r="E7" s="1433" t="e">
        <f>E9+E10+E11+E17</f>
        <v>#DIV/0!</v>
      </c>
      <c r="F7" s="1434"/>
      <c r="G7" s="1435"/>
      <c r="H7" s="1416"/>
      <c r="I7" s="1513"/>
      <c r="J7" s="3703"/>
      <c r="K7" s="3707"/>
      <c r="L7" s="1523" t="s">
        <v>1584</v>
      </c>
      <c r="M7" s="1524"/>
      <c r="N7" s="1421"/>
      <c r="O7" s="1525"/>
      <c r="P7" s="1525"/>
      <c r="Q7" s="1454">
        <v>365</v>
      </c>
      <c r="R7" s="1559">
        <f>ROUND(M7*N7*O7*P7*Q7/10000,0)</f>
        <v>0</v>
      </c>
      <c r="S7" s="1552"/>
      <c r="T7" s="1552" t="s">
        <v>1585</v>
      </c>
      <c r="U7" s="1552"/>
      <c r="V7" s="1513"/>
    </row>
    <row r="8" spans="1:22" s="1397" customFormat="1" ht="13.15" customHeight="1">
      <c r="A8" s="1436" t="s">
        <v>1586</v>
      </c>
      <c r="B8" s="3717" t="s">
        <v>1587</v>
      </c>
      <c r="C8" s="3718"/>
      <c r="D8" s="1439" t="s">
        <v>1588</v>
      </c>
      <c r="E8" s="1440" t="s">
        <v>1589</v>
      </c>
      <c r="F8" s="1441" t="s">
        <v>1590</v>
      </c>
      <c r="G8" s="1442"/>
      <c r="H8" s="1416"/>
      <c r="I8" s="1513"/>
      <c r="J8" s="3703"/>
      <c r="K8" s="3707"/>
      <c r="L8" s="1523" t="s">
        <v>1591</v>
      </c>
      <c r="M8" s="1524"/>
      <c r="N8" s="1421"/>
      <c r="O8" s="1525"/>
      <c r="P8" s="1525"/>
      <c r="Q8" s="1454">
        <v>365</v>
      </c>
      <c r="R8" s="1559">
        <f t="shared" ref="R8:R13" si="0">ROUND(M8*N8*O8*P8*Q8/10000,0)</f>
        <v>0</v>
      </c>
      <c r="S8" s="1552"/>
      <c r="T8" s="1552" t="s">
        <v>1592</v>
      </c>
      <c r="U8" s="1552"/>
      <c r="V8" s="1513"/>
    </row>
    <row r="9" spans="1:22" s="1397" customFormat="1" ht="13.15" customHeight="1">
      <c r="A9" s="1436">
        <v>1</v>
      </c>
      <c r="B9" s="3717" t="s">
        <v>1593</v>
      </c>
      <c r="C9" s="3718"/>
      <c r="D9" s="1439">
        <f>ROUND(D6*E9,0)</f>
        <v>0</v>
      </c>
      <c r="E9" s="1443"/>
      <c r="F9" s="1444" t="s">
        <v>1594</v>
      </c>
      <c r="G9" s="1428"/>
      <c r="H9" s="1416"/>
      <c r="I9" s="1513"/>
      <c r="J9" s="3703"/>
      <c r="K9" s="3707"/>
      <c r="L9" s="1523" t="s">
        <v>1595</v>
      </c>
      <c r="M9" s="1524"/>
      <c r="N9" s="1421"/>
      <c r="O9" s="1525"/>
      <c r="P9" s="1525"/>
      <c r="Q9" s="1454">
        <v>365</v>
      </c>
      <c r="R9" s="1559">
        <f t="shared" si="0"/>
        <v>0</v>
      </c>
      <c r="S9" s="1552"/>
      <c r="T9" s="1552"/>
      <c r="U9" s="1552"/>
      <c r="V9" s="1513"/>
    </row>
    <row r="10" spans="1:22" s="1397" customFormat="1" ht="13.15" customHeight="1">
      <c r="A10" s="1436">
        <v>2</v>
      </c>
      <c r="B10" s="3717" t="s">
        <v>1596</v>
      </c>
      <c r="C10" s="3718"/>
      <c r="D10" s="1439">
        <f>ROUND(D6*E10,0)</f>
        <v>0</v>
      </c>
      <c r="E10" s="1443"/>
      <c r="F10" s="1444" t="s">
        <v>1597</v>
      </c>
      <c r="G10" s="1428"/>
      <c r="H10" s="1416"/>
      <c r="I10" s="1513"/>
      <c r="J10" s="3703"/>
      <c r="K10" s="3707"/>
      <c r="L10" s="1523" t="s">
        <v>1598</v>
      </c>
      <c r="M10" s="1524"/>
      <c r="N10" s="1421"/>
      <c r="O10" s="1525"/>
      <c r="P10" s="1525"/>
      <c r="Q10" s="1454">
        <v>365</v>
      </c>
      <c r="R10" s="1559">
        <f t="shared" si="0"/>
        <v>0</v>
      </c>
      <c r="S10" s="1552"/>
      <c r="T10" s="1552"/>
      <c r="U10" s="1552"/>
      <c r="V10" s="1513"/>
    </row>
    <row r="11" spans="1:22" s="1397" customFormat="1" ht="13.15" customHeight="1">
      <c r="A11" s="1436">
        <v>3</v>
      </c>
      <c r="B11" s="3717" t="s">
        <v>1599</v>
      </c>
      <c r="C11" s="3718"/>
      <c r="D11" s="1439">
        <f>D12+D14+D15+D16</f>
        <v>0</v>
      </c>
      <c r="E11" s="1445" t="e">
        <f>D11/D6</f>
        <v>#DIV/0!</v>
      </c>
      <c r="F11" s="1441"/>
      <c r="G11" s="1442"/>
      <c r="H11" s="1416"/>
      <c r="I11" s="1513"/>
      <c r="J11" s="3703"/>
      <c r="K11" s="3707"/>
      <c r="L11" s="1523" t="s">
        <v>1600</v>
      </c>
      <c r="M11" s="1524"/>
      <c r="N11" s="1421"/>
      <c r="O11" s="1525"/>
      <c r="P11" s="1525"/>
      <c r="Q11" s="1454">
        <v>365</v>
      </c>
      <c r="R11" s="1559">
        <f t="shared" si="0"/>
        <v>0</v>
      </c>
      <c r="S11" s="1552"/>
      <c r="T11" s="1552"/>
      <c r="U11" s="1552"/>
      <c r="V11" s="1513"/>
    </row>
    <row r="12" spans="1:22" s="1397" customFormat="1" ht="13.15" customHeight="1">
      <c r="A12" s="1446" t="s">
        <v>1601</v>
      </c>
      <c r="B12" s="3711" t="s">
        <v>1602</v>
      </c>
      <c r="C12" s="3712"/>
      <c r="D12" s="1449">
        <f>ROUND(D13*1.2%*(1-30%),0)</f>
        <v>0</v>
      </c>
      <c r="E12" s="1450">
        <v>1.2E-2</v>
      </c>
      <c r="F12" s="1441" t="s">
        <v>1603</v>
      </c>
      <c r="G12" s="1442"/>
      <c r="H12" s="1416"/>
      <c r="I12" s="1513"/>
      <c r="J12" s="3703"/>
      <c r="K12" s="3707"/>
      <c r="L12" s="1523" t="s">
        <v>1604</v>
      </c>
      <c r="M12" s="1524"/>
      <c r="N12" s="1421"/>
      <c r="O12" s="1525"/>
      <c r="P12" s="1525"/>
      <c r="Q12" s="1454">
        <v>365</v>
      </c>
      <c r="R12" s="1559">
        <f t="shared" si="0"/>
        <v>0</v>
      </c>
      <c r="S12" s="1552"/>
      <c r="T12" s="1552"/>
      <c r="U12" s="1552"/>
      <c r="V12" s="1513"/>
    </row>
    <row r="13" spans="1:22" s="1397" customFormat="1" ht="13.15" customHeight="1">
      <c r="A13" s="1446"/>
      <c r="B13" s="1447"/>
      <c r="C13" s="1451" t="s">
        <v>1605</v>
      </c>
      <c r="D13" s="1452"/>
      <c r="E13" s="1453"/>
      <c r="F13" s="1441"/>
      <c r="G13" s="1442"/>
      <c r="H13" s="1416"/>
      <c r="I13" s="1513"/>
      <c r="J13" s="3703"/>
      <c r="K13" s="3707"/>
      <c r="L13" s="1523" t="s">
        <v>1606</v>
      </c>
      <c r="M13" s="1524"/>
      <c r="N13" s="1421"/>
      <c r="O13" s="1525"/>
      <c r="P13" s="1525"/>
      <c r="Q13" s="1454">
        <v>365</v>
      </c>
      <c r="R13" s="1559">
        <f t="shared" si="0"/>
        <v>0</v>
      </c>
      <c r="S13" s="1552"/>
      <c r="T13" s="1552"/>
      <c r="U13" s="1552"/>
      <c r="V13" s="1513"/>
    </row>
    <row r="14" spans="1:22" s="1397" customFormat="1" ht="13.15" customHeight="1">
      <c r="A14" s="1446" t="s">
        <v>1607</v>
      </c>
      <c r="B14" s="3711" t="s">
        <v>1608</v>
      </c>
      <c r="C14" s="3712"/>
      <c r="D14" s="1449">
        <f>ROUND(E14*B5/10000,0)</f>
        <v>0</v>
      </c>
      <c r="E14" s="1454"/>
      <c r="F14" s="1441" t="s">
        <v>1609</v>
      </c>
      <c r="G14" s="1442"/>
      <c r="H14" s="1416"/>
      <c r="I14" s="1513"/>
      <c r="J14" s="3703"/>
      <c r="K14" s="3708"/>
      <c r="L14" s="1526" t="s">
        <v>1610</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1611</v>
      </c>
      <c r="B15" s="3711" t="s">
        <v>1612</v>
      </c>
      <c r="C15" s="3712"/>
      <c r="D15" s="1449">
        <f>ROUND(D6*E15,0)</f>
        <v>0</v>
      </c>
      <c r="E15" s="1450">
        <v>5.5E-2</v>
      </c>
      <c r="F15" s="1441" t="s">
        <v>1613</v>
      </c>
      <c r="G15" s="1428"/>
      <c r="H15" s="1416"/>
      <c r="I15" s="1513"/>
      <c r="J15" s="3703">
        <v>2</v>
      </c>
      <c r="K15" s="3706" t="s">
        <v>1614</v>
      </c>
      <c r="L15" s="1523" t="s">
        <v>1615</v>
      </c>
      <c r="M15" s="1524" t="s">
        <v>1616</v>
      </c>
      <c r="N15" s="1524" t="s">
        <v>1617</v>
      </c>
      <c r="O15" s="1525" t="s">
        <v>1618</v>
      </c>
      <c r="P15" s="1525" t="s">
        <v>1580</v>
      </c>
      <c r="Q15" s="1421" t="s">
        <v>124</v>
      </c>
      <c r="R15" s="1561" t="s">
        <v>1581</v>
      </c>
      <c r="S15" s="1552"/>
      <c r="T15" s="1552"/>
      <c r="U15" s="1552"/>
      <c r="V15" s="1513"/>
    </row>
    <row r="16" spans="1:22" s="1397" customFormat="1" ht="13.15" customHeight="1">
      <c r="A16" s="1446" t="s">
        <v>1619</v>
      </c>
      <c r="B16" s="3711" t="s">
        <v>1620</v>
      </c>
      <c r="C16" s="3712"/>
      <c r="D16" s="1455">
        <f>D6*E16</f>
        <v>0</v>
      </c>
      <c r="E16" s="1456"/>
      <c r="F16" s="1444" t="s">
        <v>1621</v>
      </c>
      <c r="G16" s="1428"/>
      <c r="H16" s="1416"/>
      <c r="I16" s="1513"/>
      <c r="J16" s="3703"/>
      <c r="K16" s="3707"/>
      <c r="L16" s="1523" t="s">
        <v>1622</v>
      </c>
      <c r="M16" s="1524"/>
      <c r="N16" s="1524"/>
      <c r="O16" s="1525"/>
      <c r="P16" s="1454">
        <v>365</v>
      </c>
      <c r="Q16" s="1421"/>
      <c r="R16" s="1561">
        <f>ROUND(M16*N16*O16*P16/10000,0)</f>
        <v>0</v>
      </c>
      <c r="S16" s="1552"/>
      <c r="T16" s="1552"/>
      <c r="U16" s="1552"/>
      <c r="V16" s="1513"/>
    </row>
    <row r="17" spans="1:22" s="1397" customFormat="1" ht="13.15" customHeight="1">
      <c r="A17" s="1457">
        <v>4</v>
      </c>
      <c r="B17" s="3713" t="s">
        <v>1623</v>
      </c>
      <c r="C17" s="3714"/>
      <c r="D17" s="1458">
        <f>ROUND(D6*E17,0)</f>
        <v>0</v>
      </c>
      <c r="E17" s="1459"/>
      <c r="F17" s="1460" t="s">
        <v>1624</v>
      </c>
      <c r="G17" s="1428"/>
      <c r="H17" s="1416"/>
      <c r="I17" s="1513"/>
      <c r="J17" s="3703"/>
      <c r="K17" s="3707"/>
      <c r="L17" s="1523" t="s">
        <v>1625</v>
      </c>
      <c r="M17" s="1524"/>
      <c r="N17" s="1524"/>
      <c r="O17" s="1525"/>
      <c r="P17" s="1454">
        <v>365</v>
      </c>
      <c r="Q17" s="1421"/>
      <c r="R17" s="1561">
        <f>ROUND(M17*N17*O17*P17/10000,0)</f>
        <v>0</v>
      </c>
      <c r="S17" s="1552"/>
      <c r="T17" s="1552"/>
      <c r="U17" s="1552"/>
      <c r="V17" s="1513"/>
    </row>
    <row r="18" spans="1:22" s="1397" customFormat="1" ht="13.15" customHeight="1">
      <c r="A18" s="1429" t="s">
        <v>1626</v>
      </c>
      <c r="B18" s="1430"/>
      <c r="C18" s="1430"/>
      <c r="D18" s="1461">
        <f>ROUND(D6*E18,0)</f>
        <v>0</v>
      </c>
      <c r="E18" s="1462"/>
      <c r="F18" s="1463" t="s">
        <v>1627</v>
      </c>
      <c r="G18" s="1428"/>
      <c r="H18" s="1416"/>
      <c r="I18" s="1513"/>
      <c r="J18" s="3703"/>
      <c r="K18" s="3707"/>
      <c r="L18" s="1523" t="s">
        <v>1628</v>
      </c>
      <c r="M18" s="1524"/>
      <c r="N18" s="1524"/>
      <c r="O18" s="1525"/>
      <c r="P18" s="1454">
        <v>365</v>
      </c>
      <c r="Q18" s="1421"/>
      <c r="R18" s="1561">
        <f>ROUND(M18*N18*O18*P18/10000,0)</f>
        <v>0</v>
      </c>
      <c r="S18" s="1552"/>
      <c r="T18" s="1552"/>
      <c r="U18" s="1552"/>
      <c r="V18" s="1513"/>
    </row>
    <row r="19" spans="1:22" s="1397" customFormat="1" ht="13.15" customHeight="1">
      <c r="A19" s="1464" t="s">
        <v>1629</v>
      </c>
      <c r="B19" s="1426"/>
      <c r="C19" s="1426"/>
      <c r="D19" s="1426"/>
      <c r="E19" s="1426"/>
      <c r="F19" s="1427"/>
      <c r="G19" s="1442"/>
      <c r="H19" s="1416"/>
      <c r="I19" s="1513"/>
      <c r="J19" s="3703"/>
      <c r="K19" s="3708"/>
      <c r="L19" s="1526" t="s">
        <v>1610</v>
      </c>
      <c r="M19" s="1527"/>
      <c r="N19" s="1527">
        <f>SUM(N16:N18)</f>
        <v>0</v>
      </c>
      <c r="O19" s="1528"/>
      <c r="P19" s="1529" t="s">
        <v>1630</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03">
        <v>3</v>
      </c>
      <c r="K20" s="3706" t="s">
        <v>1631</v>
      </c>
      <c r="L20" s="1523" t="s">
        <v>1632</v>
      </c>
      <c r="M20" s="1524" t="s">
        <v>1633</v>
      </c>
      <c r="N20" s="1530" t="s">
        <v>1634</v>
      </c>
      <c r="O20" s="1525" t="s">
        <v>1635</v>
      </c>
      <c r="P20" s="1454" t="s">
        <v>1580</v>
      </c>
      <c r="Q20" s="1421" t="s">
        <v>124</v>
      </c>
      <c r="R20" s="1561" t="s">
        <v>1581</v>
      </c>
      <c r="S20" s="1549"/>
      <c r="T20" s="1549"/>
      <c r="U20" s="1549"/>
      <c r="V20" s="1513"/>
    </row>
    <row r="21" spans="1:22" s="1397" customFormat="1" ht="13.15" customHeight="1">
      <c r="A21" s="1429"/>
      <c r="B21" s="1430"/>
      <c r="C21" s="1437" t="s">
        <v>1636</v>
      </c>
      <c r="D21" s="1466" t="s">
        <v>1637</v>
      </c>
      <c r="E21" s="1438" t="s">
        <v>1638</v>
      </c>
      <c r="F21" s="1465"/>
      <c r="G21" s="1442"/>
      <c r="H21" s="1416"/>
      <c r="I21" s="1513"/>
      <c r="J21" s="3703"/>
      <c r="K21" s="3707"/>
      <c r="L21" s="1523" t="s">
        <v>1639</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1640</v>
      </c>
      <c r="D22" s="1468" t="s">
        <v>1641</v>
      </c>
      <c r="E22" s="1469" t="s">
        <v>1642</v>
      </c>
      <c r="F22" s="1465"/>
      <c r="G22" s="1470"/>
      <c r="H22" s="1416"/>
      <c r="I22" s="1513"/>
      <c r="J22" s="3703"/>
      <c r="K22" s="3707"/>
      <c r="L22" s="1523" t="s">
        <v>1643</v>
      </c>
      <c r="M22" s="1524"/>
      <c r="N22" s="1524"/>
      <c r="O22" s="1525"/>
      <c r="P22" s="1454">
        <v>365</v>
      </c>
      <c r="Q22" s="1421"/>
      <c r="R22" s="1563">
        <f>ROUND(M22*N22*O22*P22/10000,0)</f>
        <v>0</v>
      </c>
      <c r="S22" s="1549"/>
      <c r="T22" s="1549"/>
      <c r="U22" s="1549"/>
      <c r="V22" s="1513"/>
    </row>
    <row r="23" spans="1:22" s="1397" customFormat="1" ht="13.15" customHeight="1">
      <c r="A23" s="1471">
        <v>1</v>
      </c>
      <c r="B23" s="1472" t="s">
        <v>1644</v>
      </c>
      <c r="C23" s="1473">
        <f>D6</f>
        <v>0</v>
      </c>
      <c r="D23" s="1474">
        <f>C23*(1+D24)</f>
        <v>0</v>
      </c>
      <c r="E23" s="1475">
        <f>D23*(1+E24)</f>
        <v>0</v>
      </c>
      <c r="F23" s="1476"/>
      <c r="G23" s="1477"/>
      <c r="H23" s="1416"/>
      <c r="I23" s="1513"/>
      <c r="J23" s="3703"/>
      <c r="K23" s="3707"/>
      <c r="L23" s="1523" t="s">
        <v>1645</v>
      </c>
      <c r="M23" s="1524"/>
      <c r="N23" s="1524"/>
      <c r="O23" s="1525"/>
      <c r="P23" s="1454">
        <v>365</v>
      </c>
      <c r="Q23" s="1421"/>
      <c r="R23" s="1563">
        <f>ROUND(M23*N23*O23*P23/10000,0)</f>
        <v>0</v>
      </c>
      <c r="S23" s="1552"/>
      <c r="T23" s="1552"/>
      <c r="U23" s="1552"/>
      <c r="V23" s="1513"/>
    </row>
    <row r="24" spans="1:22" s="1397" customFormat="1" ht="13.15" customHeight="1">
      <c r="A24" s="1478"/>
      <c r="B24" s="1479" t="s">
        <v>1646</v>
      </c>
      <c r="C24" s="1480"/>
      <c r="D24" s="1481"/>
      <c r="E24" s="1482"/>
      <c r="F24" s="1483"/>
      <c r="G24" s="1477"/>
      <c r="H24" s="1416"/>
      <c r="I24" s="1513"/>
      <c r="J24" s="3703"/>
      <c r="K24" s="3708"/>
      <c r="L24" s="1526" t="s">
        <v>1610</v>
      </c>
      <c r="M24" s="1527">
        <f>SUM(M21:M23)</f>
        <v>0</v>
      </c>
      <c r="N24" s="1527"/>
      <c r="O24" s="1528"/>
      <c r="P24" s="1529" t="s">
        <v>1630</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1647</v>
      </c>
      <c r="L25" s="1532"/>
      <c r="M25" s="1532"/>
      <c r="N25" s="1532"/>
      <c r="O25" s="1532"/>
      <c r="P25" s="1533"/>
      <c r="Q25" s="1564">
        <v>0</v>
      </c>
      <c r="R25" s="1562">
        <f>ROUND(R14*Q25,0)</f>
        <v>0</v>
      </c>
      <c r="S25" s="1552"/>
      <c r="T25" s="1552"/>
      <c r="U25" s="1552"/>
      <c r="V25" s="1539"/>
    </row>
    <row r="26" spans="1:22" s="1398" customFormat="1" ht="13.15" customHeight="1">
      <c r="A26" s="1471">
        <v>2</v>
      </c>
      <c r="B26" s="1472" t="s">
        <v>1648</v>
      </c>
      <c r="C26" s="1473">
        <f>D7</f>
        <v>0</v>
      </c>
      <c r="D26" s="1474">
        <f>D23*D27</f>
        <v>0</v>
      </c>
      <c r="E26" s="1475">
        <f>E23*E27</f>
        <v>0</v>
      </c>
      <c r="F26" s="1476"/>
      <c r="G26" s="1477"/>
      <c r="H26" s="1416"/>
      <c r="I26" s="1513"/>
      <c r="J26" s="3704">
        <v>5</v>
      </c>
      <c r="K26" s="1534" t="s">
        <v>1649</v>
      </c>
      <c r="L26" s="1535"/>
      <c r="M26" s="1536"/>
      <c r="N26" s="1537" t="s">
        <v>456</v>
      </c>
      <c r="O26" s="1537" t="s">
        <v>1650</v>
      </c>
      <c r="P26" s="1538" t="s">
        <v>1651</v>
      </c>
      <c r="Q26" s="1538" t="s">
        <v>1652</v>
      </c>
      <c r="R26" s="1556" t="s">
        <v>1581</v>
      </c>
      <c r="S26" s="1565"/>
      <c r="T26" s="1565"/>
      <c r="U26" s="1565"/>
      <c r="V26" s="1539"/>
    </row>
    <row r="27" spans="1:22" s="1397" customFormat="1" ht="13.15" customHeight="1">
      <c r="A27" s="1478"/>
      <c r="B27" s="1479" t="s">
        <v>1653</v>
      </c>
      <c r="C27" s="1484" t="e">
        <f>E7</f>
        <v>#DIV/0!</v>
      </c>
      <c r="D27" s="1481"/>
      <c r="E27" s="1482"/>
      <c r="F27" s="1483"/>
      <c r="G27" s="1477"/>
      <c r="H27" s="1485"/>
      <c r="I27" s="1539"/>
      <c r="J27" s="3705"/>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1654</v>
      </c>
      <c r="F28" s="1483"/>
      <c r="G28" s="1470"/>
      <c r="H28" s="1485"/>
      <c r="I28" s="1539"/>
      <c r="J28" s="1544">
        <v>6</v>
      </c>
      <c r="K28" s="1545" t="s">
        <v>1655</v>
      </c>
      <c r="L28" s="1546" t="s">
        <v>1656</v>
      </c>
      <c r="M28" s="1547"/>
      <c r="N28" s="1546" t="s">
        <v>1657</v>
      </c>
      <c r="O28" s="1548"/>
      <c r="P28" s="1546" t="s">
        <v>1658</v>
      </c>
      <c r="Q28" s="1567">
        <v>1.4999999999999999E-2</v>
      </c>
      <c r="R28" s="1568"/>
      <c r="S28" s="1549"/>
      <c r="T28" s="1549"/>
      <c r="U28" s="1549"/>
      <c r="V28" s="1539"/>
    </row>
    <row r="29" spans="1:22" s="1398" customFormat="1" ht="13.15" customHeight="1">
      <c r="A29" s="1471">
        <v>3</v>
      </c>
      <c r="B29" s="1472" t="s">
        <v>1659</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1653</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1660</v>
      </c>
      <c r="K31" s="1512"/>
      <c r="L31" s="1512"/>
      <c r="M31" s="1512"/>
      <c r="N31" s="1512"/>
      <c r="O31" s="1512"/>
      <c r="P31" s="1512"/>
      <c r="Q31" s="1512"/>
      <c r="R31" s="1551"/>
      <c r="S31" s="1549"/>
      <c r="T31" s="1552"/>
      <c r="U31" s="1552"/>
      <c r="V31" s="1539"/>
    </row>
    <row r="32" spans="1:22" s="1398" customFormat="1" ht="13.15" customHeight="1">
      <c r="A32" s="1471">
        <v>4</v>
      </c>
      <c r="B32" s="1472" t="s">
        <v>1661</v>
      </c>
      <c r="C32" s="1473">
        <f>C23-C26-C29</f>
        <v>0</v>
      </c>
      <c r="D32" s="1474">
        <f>D23-D26-D29</f>
        <v>0</v>
      </c>
      <c r="E32" s="1475">
        <f>E23-E26-E29</f>
        <v>0</v>
      </c>
      <c r="F32" s="1476"/>
      <c r="G32" s="1470"/>
      <c r="H32" s="1416"/>
      <c r="I32" s="1513"/>
      <c r="J32" s="3715" t="s">
        <v>1559</v>
      </c>
      <c r="K32" s="3716"/>
      <c r="L32" s="1514" t="s">
        <v>1560</v>
      </c>
      <c r="M32" s="1514" t="s">
        <v>1561</v>
      </c>
      <c r="N32" s="1514" t="s">
        <v>1562</v>
      </c>
      <c r="O32" s="1514" t="s">
        <v>1563</v>
      </c>
      <c r="P32" s="1514" t="s">
        <v>1564</v>
      </c>
      <c r="Q32" s="1553" t="s">
        <v>1565</v>
      </c>
      <c r="R32" s="1569" t="s">
        <v>1566</v>
      </c>
      <c r="S32" s="1549"/>
      <c r="T32" s="1552"/>
      <c r="U32" s="1552"/>
      <c r="V32" s="1539"/>
    </row>
    <row r="33" spans="1:23" s="1397" customFormat="1" ht="13.15" customHeight="1">
      <c r="A33" s="1471"/>
      <c r="B33" s="1472"/>
      <c r="C33" s="1473"/>
      <c r="D33" s="1488"/>
      <c r="E33" s="1448"/>
      <c r="F33" s="1476"/>
      <c r="G33" s="1470"/>
      <c r="H33" s="1485"/>
      <c r="I33" s="1539"/>
      <c r="J33" s="3709" t="s">
        <v>1567</v>
      </c>
      <c r="K33" s="3710"/>
      <c r="L33" s="1515"/>
      <c r="M33" s="1515"/>
      <c r="N33" s="1515"/>
      <c r="O33" s="1515"/>
      <c r="P33" s="1515"/>
      <c r="Q33" s="1555"/>
      <c r="R33" s="1570">
        <f>SUM(L33:Q33)</f>
        <v>0</v>
      </c>
      <c r="S33" s="1549"/>
      <c r="T33" s="1552"/>
      <c r="U33" s="1552"/>
      <c r="V33" s="1513"/>
    </row>
    <row r="34" spans="1:23" s="1397" customFormat="1" ht="13.15" customHeight="1">
      <c r="A34" s="1471">
        <v>5</v>
      </c>
      <c r="B34" s="1472" t="s">
        <v>1662</v>
      </c>
      <c r="C34" s="1489"/>
      <c r="D34" s="1490"/>
      <c r="E34" s="1491"/>
      <c r="F34" s="1476"/>
      <c r="G34" s="1470"/>
      <c r="H34" s="1485"/>
      <c r="I34" s="1539"/>
      <c r="J34" s="3709" t="s">
        <v>1569</v>
      </c>
      <c r="K34" s="3710"/>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1663</v>
      </c>
      <c r="C35" s="1492"/>
      <c r="D35" s="1493"/>
      <c r="E35" s="1494"/>
      <c r="F35" s="1476"/>
      <c r="G35" s="1495"/>
      <c r="H35" s="1416"/>
      <c r="I35" s="1539"/>
      <c r="J35" s="1517" t="s">
        <v>1571</v>
      </c>
      <c r="K35" s="1518"/>
      <c r="L35" s="1518"/>
      <c r="M35" s="1519"/>
      <c r="N35" s="1519"/>
      <c r="O35" s="1519"/>
      <c r="P35" s="1519"/>
      <c r="Q35" s="1519"/>
      <c r="R35" s="1572">
        <f>R40+R41+R43</f>
        <v>0</v>
      </c>
      <c r="S35" s="1549"/>
      <c r="T35" s="1552" t="s">
        <v>1572</v>
      </c>
      <c r="U35" s="1552"/>
      <c r="V35" s="1513"/>
    </row>
    <row r="36" spans="1:23" s="1397" customFormat="1" ht="13.15" customHeight="1">
      <c r="A36" s="1471">
        <v>7</v>
      </c>
      <c r="B36" s="1496" t="s">
        <v>1664</v>
      </c>
      <c r="C36" s="1497"/>
      <c r="D36" s="1498"/>
      <c r="E36" s="1499"/>
      <c r="F36" s="1500">
        <f>C36+D36+E36</f>
        <v>0</v>
      </c>
      <c r="G36" s="1470"/>
      <c r="H36" s="1416"/>
      <c r="I36" s="1513"/>
      <c r="J36" s="3703">
        <v>1</v>
      </c>
      <c r="K36" s="3706" t="s">
        <v>1665</v>
      </c>
      <c r="L36" s="1521"/>
      <c r="M36" s="1522"/>
      <c r="N36" s="1522"/>
      <c r="O36" s="1522"/>
      <c r="P36" s="1522"/>
      <c r="Q36" s="1522"/>
      <c r="R36" s="1556" t="s">
        <v>1581</v>
      </c>
      <c r="S36" s="1549"/>
      <c r="T36" s="1552" t="s">
        <v>1582</v>
      </c>
      <c r="U36" s="1552"/>
      <c r="V36" s="1513"/>
    </row>
    <row r="37" spans="1:23" s="1397" customFormat="1" ht="13.15" customHeight="1">
      <c r="A37" s="1471"/>
      <c r="B37" s="1472"/>
      <c r="C37" s="1472"/>
      <c r="D37" s="1472"/>
      <c r="E37" s="1472"/>
      <c r="F37" s="1476"/>
      <c r="G37" s="1470"/>
      <c r="H37" s="1416"/>
      <c r="I37" s="1513"/>
      <c r="J37" s="3703"/>
      <c r="K37" s="3707"/>
      <c r="L37" s="1523"/>
      <c r="M37" s="1524"/>
      <c r="N37" s="1421"/>
      <c r="O37" s="1525"/>
      <c r="P37" s="1525"/>
      <c r="Q37" s="1454"/>
      <c r="R37" s="1559"/>
      <c r="S37" s="1549"/>
      <c r="T37" s="1552" t="s">
        <v>1585</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03"/>
      <c r="K38" s="3707"/>
      <c r="L38" s="1523"/>
      <c r="M38" s="1524"/>
      <c r="N38" s="1421"/>
      <c r="O38" s="1525"/>
      <c r="P38" s="1525"/>
      <c r="Q38" s="1454"/>
      <c r="R38" s="1559"/>
      <c r="S38" s="1549"/>
      <c r="T38" s="1552" t="s">
        <v>1592</v>
      </c>
      <c r="U38" s="1552"/>
      <c r="V38" s="1513"/>
    </row>
    <row r="39" spans="1:23" s="1397" customFormat="1" ht="13.15" customHeight="1">
      <c r="A39" s="1471">
        <v>9</v>
      </c>
      <c r="B39" s="1472" t="s">
        <v>1666</v>
      </c>
      <c r="C39" s="1449" t="e">
        <f>C38</f>
        <v>#DIV/0!</v>
      </c>
      <c r="D39" s="1472">
        <f>D38/(1+D34)^C36</f>
        <v>0</v>
      </c>
      <c r="E39" s="1472">
        <f>E38/(1+E34)^(C36+D36)</f>
        <v>0</v>
      </c>
      <c r="F39" s="1476"/>
      <c r="G39" s="1501"/>
      <c r="H39" s="1416"/>
      <c r="I39" s="1513"/>
      <c r="J39" s="3703"/>
      <c r="K39" s="3707"/>
      <c r="L39" s="1523"/>
      <c r="M39" s="1524"/>
      <c r="N39" s="1421"/>
      <c r="O39" s="1525"/>
      <c r="P39" s="1525"/>
      <c r="Q39" s="1454"/>
      <c r="R39" s="1559"/>
      <c r="S39" s="1549"/>
      <c r="T39" s="1552"/>
      <c r="U39" s="1552"/>
      <c r="V39" s="1513"/>
    </row>
    <row r="40" spans="1:23" s="1397" customFormat="1" ht="13.15" customHeight="1">
      <c r="A40" s="1502">
        <v>10</v>
      </c>
      <c r="B40" s="1472" t="s">
        <v>1667</v>
      </c>
      <c r="C40" s="1503" t="e">
        <f>C39+D39+E39</f>
        <v>#DIV/0!</v>
      </c>
      <c r="D40" s="1504"/>
      <c r="E40" s="1504"/>
      <c r="F40" s="1505"/>
      <c r="G40" s="1470"/>
      <c r="H40" s="1416"/>
      <c r="I40" s="1513"/>
      <c r="J40" s="3703"/>
      <c r="K40" s="3708"/>
      <c r="L40" s="1526" t="s">
        <v>1610</v>
      </c>
      <c r="M40" s="1527"/>
      <c r="N40" s="1527"/>
      <c r="O40" s="1528"/>
      <c r="P40" s="1528"/>
      <c r="Q40" s="1560"/>
      <c r="R40" s="1554">
        <f>SUM(R37:R39)</f>
        <v>0</v>
      </c>
      <c r="S40" s="1549"/>
      <c r="T40" s="1552"/>
      <c r="U40" s="1552"/>
      <c r="V40" s="1513"/>
    </row>
    <row r="41" spans="1:23" s="1397" customFormat="1" ht="13.15" customHeight="1">
      <c r="A41" s="1506">
        <v>11</v>
      </c>
      <c r="B41" s="1507" t="s">
        <v>1668</v>
      </c>
      <c r="C41" s="1507" t="e">
        <f>ROUND(C40*10000/B4,0)</f>
        <v>#DIV/0!</v>
      </c>
      <c r="D41" s="1508"/>
      <c r="E41" s="1508"/>
      <c r="F41" s="1509"/>
      <c r="G41" s="1510"/>
      <c r="H41" s="1416"/>
      <c r="I41" s="1513"/>
      <c r="J41" s="1520">
        <v>2</v>
      </c>
      <c r="K41" s="1531" t="s">
        <v>1647</v>
      </c>
      <c r="L41" s="1532"/>
      <c r="M41" s="1532"/>
      <c r="N41" s="1532"/>
      <c r="O41" s="1532"/>
      <c r="P41" s="1533"/>
      <c r="Q41" s="1564"/>
      <c r="R41" s="1562">
        <f>ROUND(R40*Q41,0)</f>
        <v>0</v>
      </c>
      <c r="S41" s="1549"/>
      <c r="T41" s="1552"/>
      <c r="U41" s="1565"/>
      <c r="V41" s="1513"/>
    </row>
    <row r="42" spans="1:23" s="1397" customFormat="1" ht="13.15" customHeight="1">
      <c r="G42" s="1510"/>
      <c r="H42" s="1416"/>
      <c r="I42" s="1513"/>
      <c r="J42" s="3704">
        <v>3</v>
      </c>
      <c r="K42" s="1534" t="s">
        <v>1649</v>
      </c>
      <c r="L42" s="1535"/>
      <c r="M42" s="1536"/>
      <c r="N42" s="1537" t="s">
        <v>456</v>
      </c>
      <c r="O42" s="1537" t="s">
        <v>1650</v>
      </c>
      <c r="P42" s="1538" t="s">
        <v>1651</v>
      </c>
      <c r="Q42" s="1538" t="s">
        <v>1652</v>
      </c>
      <c r="R42" s="1556" t="s">
        <v>1581</v>
      </c>
      <c r="S42" s="1565"/>
      <c r="T42" s="1565"/>
      <c r="U42" s="1552"/>
      <c r="V42" s="1513"/>
    </row>
    <row r="43" spans="1:23" ht="13.15" customHeight="1">
      <c r="A43" s="1397"/>
      <c r="B43" s="1397"/>
      <c r="C43" s="1397"/>
      <c r="D43" s="1397"/>
      <c r="E43" s="1397"/>
      <c r="F43" s="1397"/>
      <c r="I43" s="1401"/>
      <c r="J43" s="3705"/>
      <c r="K43" s="1540"/>
      <c r="L43" s="1541"/>
      <c r="M43" s="1542"/>
      <c r="N43" s="1524"/>
      <c r="O43" s="1524"/>
      <c r="P43" s="1524"/>
      <c r="Q43" s="1564"/>
      <c r="R43" s="1562">
        <f>ROUND(O43*N43*P43*(1-Q43)/10000,0)</f>
        <v>0</v>
      </c>
      <c r="S43" s="1549"/>
      <c r="T43" s="1552"/>
      <c r="V43" s="1403"/>
      <c r="W43" s="1573"/>
    </row>
    <row r="44" spans="1:23" ht="13.15" customHeight="1">
      <c r="J44" s="1544">
        <v>6</v>
      </c>
      <c r="K44" s="1545" t="s">
        <v>1655</v>
      </c>
      <c r="L44" s="1550" t="s">
        <v>1656</v>
      </c>
      <c r="M44" s="1547"/>
      <c r="N44" s="1550" t="s">
        <v>1657</v>
      </c>
      <c r="O44" s="1547"/>
      <c r="P44" s="1550" t="s">
        <v>1658</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1669</v>
      </c>
      <c r="B1" s="1374"/>
      <c r="C1" s="1374"/>
      <c r="D1" s="1374"/>
      <c r="E1" s="1375"/>
      <c r="F1" s="1376"/>
      <c r="G1" s="1377"/>
      <c r="H1" s="1377"/>
      <c r="I1" s="1377"/>
      <c r="J1" s="1377"/>
      <c r="K1" s="1377"/>
      <c r="L1" s="1377"/>
      <c r="M1" s="1377"/>
      <c r="N1" s="1377"/>
      <c r="O1" s="1377"/>
      <c r="P1" s="1377"/>
      <c r="Q1" s="1377"/>
      <c r="R1" s="1377"/>
      <c r="S1" s="1377"/>
    </row>
    <row r="2" spans="1:22" ht="15.75">
      <c r="A2" s="1378" t="s">
        <v>986</v>
      </c>
      <c r="B2" s="1379">
        <f ca="1">SUMIF(B6:B13,"&lt;&gt;#ref!",B6:B13)</f>
        <v>2309</v>
      </c>
      <c r="C2" s="1380" t="s">
        <v>1670</v>
      </c>
      <c r="D2" s="1381" t="s">
        <v>1671</v>
      </c>
      <c r="E2" s="1382">
        <f>SUM(E6:E13)</f>
        <v>1851.14</v>
      </c>
      <c r="F2" s="1376"/>
      <c r="G2" s="1377"/>
      <c r="H2" s="1377"/>
      <c r="I2" s="1377"/>
      <c r="J2" s="1377"/>
      <c r="K2" s="1377"/>
      <c r="L2" s="1377"/>
      <c r="M2" s="1377"/>
      <c r="N2" s="1377"/>
      <c r="O2" s="1377"/>
      <c r="P2" s="1377"/>
      <c r="Q2" s="1377"/>
      <c r="R2" s="1377"/>
      <c r="S2" s="1377"/>
    </row>
    <row r="3" spans="1:22" ht="15.75">
      <c r="A3" s="1378" t="s">
        <v>988</v>
      </c>
      <c r="B3" s="1383">
        <f ca="1">ROUND(B2*10000/E2,0)</f>
        <v>12473</v>
      </c>
      <c r="C3" s="1380" t="s">
        <v>1672</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1673</v>
      </c>
      <c r="B5" s="3722" t="s">
        <v>1674</v>
      </c>
      <c r="C5" s="3723"/>
      <c r="D5" s="1388"/>
      <c r="E5" s="1389" t="s">
        <v>1675</v>
      </c>
      <c r="F5" s="1390" t="s">
        <v>1676</v>
      </c>
      <c r="G5" s="1377"/>
      <c r="H5" s="1377"/>
      <c r="I5" s="1377"/>
      <c r="J5" s="1377"/>
      <c r="K5" s="1377"/>
      <c r="L5" s="1377"/>
      <c r="M5" s="1377"/>
      <c r="N5" s="1377"/>
      <c r="O5" s="1377"/>
      <c r="P5" s="1377"/>
      <c r="Q5" s="1377"/>
      <c r="R5" s="1377"/>
      <c r="S5" s="1377"/>
    </row>
    <row r="6" spans="1:22">
      <c r="A6" s="1391" t="str">
        <f>'数据-取费表'!AN6</f>
        <v>收益法</v>
      </c>
      <c r="B6" s="545">
        <f ca="1">IF(F6="是",'数据-取费表'!AO6,0)</f>
        <v>2309</v>
      </c>
      <c r="C6" s="1380" t="s">
        <v>1670</v>
      </c>
      <c r="D6" s="1384"/>
      <c r="E6" s="1392">
        <f>IF(OR(A6=0,F6="否"),0,'数据-取费表'!K6+'数据-取费表'!S6)</f>
        <v>1851.14</v>
      </c>
      <c r="F6" s="1393" t="s">
        <v>1677</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1670</v>
      </c>
      <c r="D7" s="1384"/>
      <c r="E7" s="1392">
        <f>IF(OR(A7=0,F7="否"),0,'数据-取费表'!K7+'数据-取费表'!S7)</f>
        <v>0</v>
      </c>
      <c r="F7" s="1393" t="s">
        <v>1677</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1670</v>
      </c>
      <c r="D8" s="1384"/>
      <c r="E8" s="1392">
        <f>IF(OR(A8=0,F8="否"),0,'数据-取费表'!K8+'数据-取费表'!S8)</f>
        <v>0</v>
      </c>
      <c r="F8" s="1393" t="s">
        <v>1677</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1670</v>
      </c>
      <c r="D9" s="1384"/>
      <c r="E9" s="1392">
        <f>IF(OR(A9=0,F9="否"),0,'数据-取费表'!K9+'数据-取费表'!S9)</f>
        <v>0</v>
      </c>
      <c r="F9" s="1393" t="s">
        <v>1677</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1670</v>
      </c>
      <c r="D10" s="1384"/>
      <c r="E10" s="1392">
        <f>IF(OR(A10=0,F10="否"),0,'数据-取费表'!K10+'数据-取费表'!S10)</f>
        <v>0</v>
      </c>
      <c r="F10" s="1393" t="s">
        <v>1677</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1670</v>
      </c>
      <c r="D11" s="1384"/>
      <c r="E11" s="1392">
        <f>IF(OR(A11=0,F11="否"),0,'数据-取费表'!K11+'数据-取费表'!S11)</f>
        <v>0</v>
      </c>
      <c r="F11" s="1393" t="s">
        <v>1677</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1670</v>
      </c>
      <c r="D12" s="1384"/>
      <c r="E12" s="1392">
        <f>IF(OR(A12=0,F12="否"),0,'数据-取费表'!K12+'数据-取费表'!S12)</f>
        <v>0</v>
      </c>
      <c r="F12" s="1393" t="s">
        <v>1677</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1670</v>
      </c>
      <c r="D13" s="1396"/>
      <c r="E13" s="1392">
        <f>IF(OR(A13=0,F13="否"),0,'数据-取费表'!K13+'数据-取费表'!S13)</f>
        <v>0</v>
      </c>
      <c r="F13" s="1393" t="s">
        <v>1677</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1678</v>
      </c>
      <c r="B1" s="1270" t="s">
        <v>1679</v>
      </c>
      <c r="C1" s="1131" t="s">
        <v>1680</v>
      </c>
      <c r="D1" s="1074"/>
      <c r="E1" s="1271"/>
      <c r="F1" s="1076"/>
      <c r="G1" s="1077" t="s">
        <v>1681</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986</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987</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988</v>
      </c>
      <c r="B3" s="1085">
        <f>IF(C2="——",C49,ROUND(B2*10000/D3,0))</f>
        <v>0</v>
      </c>
      <c r="C3" s="1084" t="s">
        <v>1333</v>
      </c>
      <c r="D3" s="1085">
        <f>IF(D1="",'数据-汇总表'!E3,SUMIF('数据-汇总表'!$C19:$C33,D1,'数据-汇总表'!$E19:$E33))</f>
        <v>1851.14</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1682</v>
      </c>
      <c r="B4" s="702"/>
      <c r="C4" s="3671" t="s">
        <v>1683</v>
      </c>
      <c r="D4" s="3672"/>
      <c r="E4" s="3673" t="s">
        <v>1684</v>
      </c>
      <c r="F4" s="3674"/>
      <c r="G4" s="3671" t="s">
        <v>1685</v>
      </c>
      <c r="H4" s="3672"/>
      <c r="I4" s="3671" t="s">
        <v>1686</v>
      </c>
      <c r="J4" s="3672"/>
      <c r="K4" s="1308"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3" t="s">
        <v>1685</v>
      </c>
      <c r="AC4" s="3633" t="s">
        <v>1686</v>
      </c>
    </row>
    <row r="5" spans="1:29" ht="15">
      <c r="A5" s="703"/>
      <c r="B5" s="704"/>
      <c r="C5" s="3675" t="s">
        <v>1689</v>
      </c>
      <c r="D5" s="3676"/>
      <c r="E5" s="3677" t="s">
        <v>1690</v>
      </c>
      <c r="F5" s="3678"/>
      <c r="G5" s="3675" t="s">
        <v>1691</v>
      </c>
      <c r="H5" s="3676"/>
      <c r="I5" s="3675" t="s">
        <v>1692</v>
      </c>
      <c r="J5" s="3676"/>
      <c r="K5" s="1309"/>
      <c r="L5" s="852"/>
      <c r="M5" s="853"/>
      <c r="N5" s="853"/>
      <c r="O5" s="853"/>
      <c r="P5" s="3639"/>
      <c r="Q5" s="3640"/>
      <c r="R5" s="3645"/>
      <c r="S5" s="3646"/>
      <c r="T5" s="3645"/>
      <c r="U5" s="3646"/>
      <c r="V5" s="3636"/>
      <c r="W5" s="3636"/>
      <c r="X5" s="895"/>
      <c r="Y5" s="3645"/>
      <c r="Z5" s="3646"/>
      <c r="AA5" s="3634"/>
      <c r="AB5" s="3634"/>
      <c r="AC5" s="3634"/>
    </row>
    <row r="6" spans="1:29" ht="15">
      <c r="A6" s="705"/>
      <c r="B6" s="706"/>
      <c r="C6" s="3666" t="s">
        <v>1693</v>
      </c>
      <c r="D6" s="3667"/>
      <c r="E6" s="3668" t="s">
        <v>1693</v>
      </c>
      <c r="F6" s="3669"/>
      <c r="G6" s="3666" t="s">
        <v>1693</v>
      </c>
      <c r="H6" s="3667"/>
      <c r="I6" s="3666" t="s">
        <v>1693</v>
      </c>
      <c r="J6" s="3667"/>
      <c r="K6" s="1309" t="s">
        <v>1694</v>
      </c>
      <c r="L6" s="852"/>
      <c r="M6" s="853"/>
      <c r="N6" s="853"/>
      <c r="O6" s="853"/>
      <c r="P6" s="3641"/>
      <c r="Q6" s="3642"/>
      <c r="R6" s="3645"/>
      <c r="S6" s="3646"/>
      <c r="T6" s="3647"/>
      <c r="U6" s="3648"/>
      <c r="V6" s="3636"/>
      <c r="W6" s="3636"/>
      <c r="X6" s="895"/>
      <c r="Y6" s="3647"/>
      <c r="Z6" s="3648"/>
      <c r="AA6" s="3635"/>
      <c r="AB6" s="3635"/>
      <c r="AC6" s="3635"/>
    </row>
    <row r="7" spans="1:29" s="682" customFormat="1" ht="15">
      <c r="A7" s="707" t="s">
        <v>1695</v>
      </c>
      <c r="B7" s="708"/>
      <c r="C7" s="709">
        <f>'数据-取费表'!B2</f>
        <v>45540</v>
      </c>
      <c r="D7" s="710">
        <v>100</v>
      </c>
      <c r="E7" s="711"/>
      <c r="F7" s="712">
        <f>SUMIF(58:58,YEAR(E7)&amp;"-"&amp;MONTH(E7),59:59)</f>
        <v>0</v>
      </c>
      <c r="G7" s="711"/>
      <c r="H7" s="710">
        <f>SUMIF(58:58,YEAR(G7)&amp;"-"&amp;MONTH(G7),59:59)</f>
        <v>0</v>
      </c>
      <c r="I7" s="711"/>
      <c r="J7" s="710">
        <f>SUMIF(58:58,YEAR(I7)&amp;"-"&amp;MONTH(I7),59:59)</f>
        <v>0</v>
      </c>
      <c r="K7" s="1310"/>
      <c r="L7" s="855"/>
      <c r="M7" s="856"/>
      <c r="N7" s="856"/>
      <c r="O7" s="856"/>
      <c r="P7" s="3654" t="s">
        <v>1696</v>
      </c>
      <c r="Q7" s="3670"/>
      <c r="R7" s="896" t="s">
        <v>1697</v>
      </c>
      <c r="S7" s="897">
        <f t="shared" ref="S7:S15" si="0">F7</f>
        <v>0</v>
      </c>
      <c r="T7" s="896" t="s">
        <v>1697</v>
      </c>
      <c r="U7" s="897">
        <f t="shared" ref="U7:U15" si="1">H7</f>
        <v>0</v>
      </c>
      <c r="V7" s="896" t="s">
        <v>1697</v>
      </c>
      <c r="W7" s="897">
        <f t="shared" ref="W7:W15" si="2">J7</f>
        <v>0</v>
      </c>
      <c r="X7" s="898"/>
      <c r="Y7" s="3654" t="s">
        <v>1696</v>
      </c>
      <c r="Z7" s="3655"/>
      <c r="AA7" s="910" t="e">
        <f>D7/F7</f>
        <v>#DIV/0!</v>
      </c>
      <c r="AB7" s="910" t="e">
        <f>D7/H7</f>
        <v>#DIV/0!</v>
      </c>
      <c r="AC7" s="910" t="e">
        <f>D7/J7</f>
        <v>#DIV/0!</v>
      </c>
    </row>
    <row r="8" spans="1:29" s="682" customFormat="1" ht="15">
      <c r="A8" s="707" t="s">
        <v>1698</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54" t="s">
        <v>1699</v>
      </c>
      <c r="Q8" s="3655"/>
      <c r="R8" s="896" t="s">
        <v>1697</v>
      </c>
      <c r="S8" s="897">
        <f t="shared" si="0"/>
        <v>100</v>
      </c>
      <c r="T8" s="896" t="s">
        <v>1697</v>
      </c>
      <c r="U8" s="897">
        <f t="shared" si="1"/>
        <v>100</v>
      </c>
      <c r="V8" s="896" t="s">
        <v>1697</v>
      </c>
      <c r="W8" s="897">
        <f t="shared" si="2"/>
        <v>100</v>
      </c>
      <c r="X8" s="898"/>
      <c r="Y8" s="3654" t="s">
        <v>1699</v>
      </c>
      <c r="Z8" s="3655"/>
      <c r="AA8" s="910">
        <f t="shared" ref="AA8:AA19" si="3">D8/F8</f>
        <v>1</v>
      </c>
      <c r="AB8" s="910">
        <f t="shared" ref="AB8:AB19" si="4">D8/H8</f>
        <v>1</v>
      </c>
      <c r="AC8" s="910">
        <f t="shared" ref="AC8:AC19" si="5">D8/J8</f>
        <v>1</v>
      </c>
    </row>
    <row r="9" spans="1:29" s="682" customFormat="1">
      <c r="A9" s="715" t="s">
        <v>1700</v>
      </c>
      <c r="B9" s="716" t="s">
        <v>1701</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56"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910">
        <f t="shared" si="5"/>
        <v>1</v>
      </c>
    </row>
    <row r="10" spans="1:29" s="683" customFormat="1" ht="27">
      <c r="A10" s="719"/>
      <c r="B10" s="720" t="s">
        <v>1704</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56"/>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910">
        <f t="shared" si="5"/>
        <v>1</v>
      </c>
    </row>
    <row r="11" spans="1:29" ht="15">
      <c r="A11" s="723"/>
      <c r="B11" s="720" t="s">
        <v>1705</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56"/>
      <c r="Q11" s="900" t="str">
        <f t="shared" si="6"/>
        <v>容积率</v>
      </c>
      <c r="R11" s="896" t="s">
        <v>1697</v>
      </c>
      <c r="S11" s="897" t="e">
        <f t="shared" si="0"/>
        <v>#N/A</v>
      </c>
      <c r="T11" s="896" t="s">
        <v>1697</v>
      </c>
      <c r="U11" s="897" t="e">
        <f t="shared" si="1"/>
        <v>#N/A</v>
      </c>
      <c r="V11" s="896" t="s">
        <v>1697</v>
      </c>
      <c r="W11" s="897" t="e">
        <f t="shared" si="2"/>
        <v>#N/A</v>
      </c>
      <c r="X11" s="898"/>
      <c r="Y11" s="3545"/>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56"/>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56"/>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56"/>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910">
        <f t="shared" si="5"/>
        <v>1</v>
      </c>
    </row>
    <row r="15" spans="1:29" ht="85.5">
      <c r="A15" s="737" t="s">
        <v>1706</v>
      </c>
      <c r="B15" s="1036" t="s">
        <v>1707</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7" t="s">
        <v>1708</v>
      </c>
      <c r="Q15" s="819" t="str">
        <f t="shared" si="6"/>
        <v>居住社区成熟度</v>
      </c>
      <c r="R15" s="901" t="s">
        <v>1697</v>
      </c>
      <c r="S15" s="902">
        <f t="shared" si="0"/>
        <v>100</v>
      </c>
      <c r="T15" s="901" t="s">
        <v>1697</v>
      </c>
      <c r="U15" s="902">
        <f t="shared" si="1"/>
        <v>100</v>
      </c>
      <c r="V15" s="901" t="s">
        <v>1697</v>
      </c>
      <c r="W15" s="902">
        <f t="shared" si="2"/>
        <v>100</v>
      </c>
      <c r="X15" s="895"/>
      <c r="Y15" s="3662" t="s">
        <v>1708</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8"/>
      <c r="Q16" s="819"/>
      <c r="R16" s="901"/>
      <c r="S16" s="902"/>
      <c r="T16" s="901"/>
      <c r="U16" s="902"/>
      <c r="V16" s="901"/>
      <c r="W16" s="902"/>
      <c r="X16" s="895"/>
      <c r="Y16" s="3663"/>
      <c r="Z16" s="884"/>
      <c r="AA16" s="912">
        <v>1</v>
      </c>
      <c r="AB16" s="912">
        <v>1</v>
      </c>
      <c r="AC16" s="912">
        <v>1</v>
      </c>
    </row>
    <row r="17" spans="1:29" ht="71.25">
      <c r="A17" s="723"/>
      <c r="B17" s="1040" t="s">
        <v>1709</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8"/>
      <c r="Q17" s="819" t="str">
        <f>B17</f>
        <v>交通便捷度</v>
      </c>
      <c r="R17" s="901" t="s">
        <v>1697</v>
      </c>
      <c r="S17" s="902">
        <f>F17</f>
        <v>100</v>
      </c>
      <c r="T17" s="901" t="s">
        <v>1697</v>
      </c>
      <c r="U17" s="902">
        <f>H17</f>
        <v>100</v>
      </c>
      <c r="V17" s="901" t="s">
        <v>1697</v>
      </c>
      <c r="W17" s="902">
        <f>J17</f>
        <v>100</v>
      </c>
      <c r="X17" s="895"/>
      <c r="Y17" s="3663"/>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8"/>
      <c r="Q18" s="819"/>
      <c r="R18" s="901"/>
      <c r="S18" s="902"/>
      <c r="T18" s="901"/>
      <c r="U18" s="902"/>
      <c r="V18" s="901"/>
      <c r="W18" s="902"/>
      <c r="X18" s="895"/>
      <c r="Y18" s="3663"/>
      <c r="Z18" s="884"/>
      <c r="AA18" s="912">
        <v>1</v>
      </c>
      <c r="AB18" s="912">
        <v>1</v>
      </c>
      <c r="AC18" s="912">
        <v>1</v>
      </c>
    </row>
    <row r="19" spans="1:29" ht="42.75">
      <c r="A19" s="723"/>
      <c r="B19" s="1040" t="s">
        <v>1710</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8"/>
      <c r="Q19" s="819" t="str">
        <f>B19</f>
        <v>公共配套设施</v>
      </c>
      <c r="R19" s="901" t="s">
        <v>1697</v>
      </c>
      <c r="S19" s="902">
        <f>F19</f>
        <v>100</v>
      </c>
      <c r="T19" s="901" t="s">
        <v>1697</v>
      </c>
      <c r="U19" s="902">
        <f>H19</f>
        <v>100</v>
      </c>
      <c r="V19" s="901" t="s">
        <v>1697</v>
      </c>
      <c r="W19" s="902">
        <f>J19</f>
        <v>100</v>
      </c>
      <c r="X19" s="895"/>
      <c r="Y19" s="3663"/>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8"/>
      <c r="Q20" s="819"/>
      <c r="R20" s="901"/>
      <c r="S20" s="902"/>
      <c r="T20" s="901"/>
      <c r="U20" s="902"/>
      <c r="V20" s="901"/>
      <c r="W20" s="902"/>
      <c r="X20" s="895"/>
      <c r="Y20" s="3663"/>
      <c r="Z20" s="884"/>
      <c r="AA20" s="912">
        <v>1</v>
      </c>
      <c r="AB20" s="912">
        <v>1</v>
      </c>
      <c r="AC20" s="912">
        <v>1</v>
      </c>
    </row>
    <row r="21" spans="1:29" ht="28.5">
      <c r="A21" s="723"/>
      <c r="B21" s="1045" t="s">
        <v>1711</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8"/>
      <c r="Q21" s="819" t="str">
        <f>B21</f>
        <v>基础设施水平</v>
      </c>
      <c r="R21" s="901" t="s">
        <v>1697</v>
      </c>
      <c r="S21" s="902">
        <f>F21</f>
        <v>100</v>
      </c>
      <c r="T21" s="901" t="s">
        <v>1697</v>
      </c>
      <c r="U21" s="902">
        <f>H21</f>
        <v>100</v>
      </c>
      <c r="V21" s="901" t="s">
        <v>1697</v>
      </c>
      <c r="W21" s="902">
        <f>J21</f>
        <v>100</v>
      </c>
      <c r="X21" s="895"/>
      <c r="Y21" s="3663"/>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8"/>
      <c r="Q22" s="819"/>
      <c r="R22" s="901"/>
      <c r="S22" s="902"/>
      <c r="T22" s="901"/>
      <c r="U22" s="902"/>
      <c r="V22" s="901"/>
      <c r="W22" s="902"/>
      <c r="X22" s="895"/>
      <c r="Y22" s="3663"/>
      <c r="Z22" s="884"/>
      <c r="AA22" s="912">
        <v>1</v>
      </c>
      <c r="AB22" s="912">
        <v>1</v>
      </c>
      <c r="AC22" s="912">
        <v>1</v>
      </c>
    </row>
    <row r="23" spans="1:29" ht="42.75">
      <c r="A23" s="723"/>
      <c r="B23" s="1040" t="s">
        <v>1712</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8"/>
      <c r="Q23" s="819" t="str">
        <f>B23</f>
        <v>自然及人文环境</v>
      </c>
      <c r="R23" s="901" t="s">
        <v>1697</v>
      </c>
      <c r="S23" s="902">
        <f>F23</f>
        <v>100</v>
      </c>
      <c r="T23" s="901" t="s">
        <v>1697</v>
      </c>
      <c r="U23" s="902">
        <f>H23</f>
        <v>100</v>
      </c>
      <c r="V23" s="901" t="s">
        <v>1697</v>
      </c>
      <c r="W23" s="902">
        <f>J23</f>
        <v>100</v>
      </c>
      <c r="X23" s="895"/>
      <c r="Y23" s="3663"/>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8"/>
      <c r="Q24" s="819"/>
      <c r="R24" s="901"/>
      <c r="S24" s="902"/>
      <c r="T24" s="901"/>
      <c r="U24" s="902"/>
      <c r="V24" s="901"/>
      <c r="W24" s="902"/>
      <c r="X24" s="895"/>
      <c r="Y24" s="3663"/>
      <c r="Z24" s="884"/>
      <c r="AA24" s="912">
        <v>1</v>
      </c>
      <c r="AB24" s="912">
        <v>1</v>
      </c>
      <c r="AC24" s="912">
        <v>1</v>
      </c>
    </row>
    <row r="25" spans="1:29" ht="15">
      <c r="A25" s="723"/>
      <c r="B25" s="720" t="s">
        <v>1713</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8"/>
      <c r="Q25" s="819" t="str">
        <f t="shared" ref="Q25:Q46" si="11">B25</f>
        <v>楼层-1</v>
      </c>
      <c r="R25" s="901" t="s">
        <v>1697</v>
      </c>
      <c r="S25" s="902">
        <f t="shared" ref="S25:S46" si="12">F25</f>
        <v>100</v>
      </c>
      <c r="T25" s="901" t="s">
        <v>1697</v>
      </c>
      <c r="U25" s="902">
        <f t="shared" ref="U25:U46" si="13">H25</f>
        <v>100</v>
      </c>
      <c r="V25" s="901" t="s">
        <v>1697</v>
      </c>
      <c r="W25" s="902">
        <f t="shared" ref="W25:W46" si="14">J25</f>
        <v>100</v>
      </c>
      <c r="X25" s="895"/>
      <c r="Y25" s="3663"/>
      <c r="Z25" s="884" t="str">
        <f>Q25</f>
        <v>楼层-1</v>
      </c>
      <c r="AA25" s="912">
        <f t="shared" ref="AA25:AA46" si="15">D25/F25</f>
        <v>1</v>
      </c>
      <c r="AB25" s="912">
        <f t="shared" ref="AB25:AB46" si="16">D25/H25</f>
        <v>1</v>
      </c>
      <c r="AC25" s="912">
        <f t="shared" ref="AC25:AC46" si="17">D25/J25</f>
        <v>1</v>
      </c>
    </row>
    <row r="26" spans="1:29" ht="15">
      <c r="A26" s="723"/>
      <c r="B26" s="720" t="s">
        <v>1714</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8"/>
      <c r="Q26" s="819" t="str">
        <f t="shared" si="11"/>
        <v>朝向</v>
      </c>
      <c r="R26" s="901" t="s">
        <v>1697</v>
      </c>
      <c r="S26" s="902">
        <f t="shared" si="12"/>
        <v>100</v>
      </c>
      <c r="T26" s="901" t="s">
        <v>1697</v>
      </c>
      <c r="U26" s="902">
        <f t="shared" si="13"/>
        <v>100</v>
      </c>
      <c r="V26" s="901" t="s">
        <v>1697</v>
      </c>
      <c r="W26" s="902">
        <f t="shared" si="14"/>
        <v>100</v>
      </c>
      <c r="X26" s="895"/>
      <c r="Y26" s="3663"/>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8"/>
      <c r="Q27" s="900">
        <f t="shared" si="11"/>
        <v>111</v>
      </c>
      <c r="R27" s="896" t="s">
        <v>1697</v>
      </c>
      <c r="S27" s="897">
        <f t="shared" si="12"/>
        <v>100</v>
      </c>
      <c r="T27" s="896" t="s">
        <v>1697</v>
      </c>
      <c r="U27" s="897">
        <f t="shared" si="13"/>
        <v>100</v>
      </c>
      <c r="V27" s="896" t="s">
        <v>1697</v>
      </c>
      <c r="W27" s="897">
        <f t="shared" si="14"/>
        <v>100</v>
      </c>
      <c r="X27" s="898"/>
      <c r="Y27" s="3663"/>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8"/>
      <c r="Q28" s="819">
        <f t="shared" si="11"/>
        <v>111</v>
      </c>
      <c r="R28" s="901" t="s">
        <v>1697</v>
      </c>
      <c r="S28" s="902">
        <f t="shared" si="12"/>
        <v>100</v>
      </c>
      <c r="T28" s="901" t="s">
        <v>1697</v>
      </c>
      <c r="U28" s="902">
        <f t="shared" si="13"/>
        <v>100</v>
      </c>
      <c r="V28" s="901" t="s">
        <v>1697</v>
      </c>
      <c r="W28" s="902">
        <f t="shared" si="14"/>
        <v>100</v>
      </c>
      <c r="X28" s="895"/>
      <c r="Y28" s="3663"/>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8"/>
      <c r="Q29" s="819">
        <f t="shared" si="11"/>
        <v>111</v>
      </c>
      <c r="R29" s="901" t="s">
        <v>1697</v>
      </c>
      <c r="S29" s="902">
        <f t="shared" si="12"/>
        <v>100</v>
      </c>
      <c r="T29" s="901" t="s">
        <v>1697</v>
      </c>
      <c r="U29" s="902">
        <f t="shared" si="13"/>
        <v>100</v>
      </c>
      <c r="V29" s="901" t="s">
        <v>1697</v>
      </c>
      <c r="W29" s="902">
        <f t="shared" si="14"/>
        <v>100</v>
      </c>
      <c r="X29" s="895"/>
      <c r="Y29" s="3663"/>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8"/>
      <c r="Q30" s="819">
        <f t="shared" si="11"/>
        <v>111</v>
      </c>
      <c r="R30" s="901" t="s">
        <v>1697</v>
      </c>
      <c r="S30" s="902">
        <f t="shared" si="12"/>
        <v>100</v>
      </c>
      <c r="T30" s="901" t="s">
        <v>1697</v>
      </c>
      <c r="U30" s="902">
        <f t="shared" si="13"/>
        <v>100</v>
      </c>
      <c r="V30" s="901" t="s">
        <v>1697</v>
      </c>
      <c r="W30" s="902">
        <f t="shared" si="14"/>
        <v>100</v>
      </c>
      <c r="X30" s="895"/>
      <c r="Y30" s="3663"/>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8"/>
      <c r="Q31" s="819">
        <f t="shared" si="11"/>
        <v>111</v>
      </c>
      <c r="R31" s="901" t="s">
        <v>1697</v>
      </c>
      <c r="S31" s="902">
        <f t="shared" si="12"/>
        <v>100</v>
      </c>
      <c r="T31" s="901" t="s">
        <v>1697</v>
      </c>
      <c r="U31" s="902">
        <f t="shared" si="13"/>
        <v>100</v>
      </c>
      <c r="V31" s="901" t="s">
        <v>1697</v>
      </c>
      <c r="W31" s="902">
        <f t="shared" si="14"/>
        <v>100</v>
      </c>
      <c r="X31" s="895"/>
      <c r="Y31" s="3663"/>
      <c r="Z31" s="884">
        <f t="shared" si="18"/>
        <v>111</v>
      </c>
      <c r="AA31" s="912">
        <f t="shared" si="15"/>
        <v>1</v>
      </c>
      <c r="AB31" s="912">
        <f t="shared" si="16"/>
        <v>1</v>
      </c>
      <c r="AC31" s="912">
        <f t="shared" si="17"/>
        <v>1</v>
      </c>
    </row>
    <row r="32" spans="1:29" ht="15">
      <c r="A32" s="737" t="s">
        <v>1715</v>
      </c>
      <c r="B32" s="716" t="s">
        <v>1716</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9" t="s">
        <v>1717</v>
      </c>
      <c r="Q32" s="819" t="str">
        <f t="shared" si="11"/>
        <v>建筑类型</v>
      </c>
      <c r="R32" s="901" t="s">
        <v>1697</v>
      </c>
      <c r="S32" s="902">
        <f t="shared" si="12"/>
        <v>100</v>
      </c>
      <c r="T32" s="901" t="s">
        <v>1697</v>
      </c>
      <c r="U32" s="902">
        <f t="shared" si="13"/>
        <v>100</v>
      </c>
      <c r="V32" s="901" t="s">
        <v>1697</v>
      </c>
      <c r="W32" s="902">
        <f t="shared" si="14"/>
        <v>100</v>
      </c>
      <c r="X32" s="895"/>
      <c r="Y32" s="3664" t="s">
        <v>1717</v>
      </c>
      <c r="Z32" s="884" t="str">
        <f t="shared" si="18"/>
        <v>建筑类型</v>
      </c>
      <c r="AA32" s="912">
        <f t="shared" si="15"/>
        <v>1</v>
      </c>
      <c r="AB32" s="912">
        <f t="shared" si="16"/>
        <v>1</v>
      </c>
      <c r="AC32" s="912">
        <f t="shared" si="17"/>
        <v>1</v>
      </c>
    </row>
    <row r="33" spans="1:29" s="684" customFormat="1" ht="15">
      <c r="A33" s="777"/>
      <c r="B33" s="720" t="s">
        <v>1718</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60"/>
      <c r="Q33" s="1136" t="str">
        <f t="shared" si="11"/>
        <v>项目建筑规模</v>
      </c>
      <c r="R33" s="903" t="s">
        <v>1697</v>
      </c>
      <c r="S33" s="904" t="e">
        <f t="shared" si="12"/>
        <v>#N/A</v>
      </c>
      <c r="T33" s="903" t="s">
        <v>1697</v>
      </c>
      <c r="U33" s="904" t="e">
        <f t="shared" si="13"/>
        <v>#N/A</v>
      </c>
      <c r="V33" s="903" t="s">
        <v>1697</v>
      </c>
      <c r="W33" s="904" t="e">
        <f t="shared" si="14"/>
        <v>#N/A</v>
      </c>
      <c r="X33" s="905"/>
      <c r="Y33" s="3664"/>
      <c r="Z33" s="913" t="str">
        <f t="shared" si="18"/>
        <v>项目建筑规模</v>
      </c>
      <c r="AA33" s="912" t="e">
        <f t="shared" si="15"/>
        <v>#N/A</v>
      </c>
      <c r="AB33" s="912" t="e">
        <f t="shared" si="16"/>
        <v>#N/A</v>
      </c>
      <c r="AC33" s="912" t="e">
        <f t="shared" si="17"/>
        <v>#N/A</v>
      </c>
    </row>
    <row r="34" spans="1:29" ht="15">
      <c r="A34" s="772"/>
      <c r="B34" s="720" t="s">
        <v>1719</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60"/>
      <c r="Q34" s="819" t="str">
        <f t="shared" si="11"/>
        <v>建筑结构</v>
      </c>
      <c r="R34" s="901" t="s">
        <v>1697</v>
      </c>
      <c r="S34" s="902">
        <f t="shared" si="12"/>
        <v>100</v>
      </c>
      <c r="T34" s="901" t="s">
        <v>1697</v>
      </c>
      <c r="U34" s="902">
        <f t="shared" si="13"/>
        <v>100</v>
      </c>
      <c r="V34" s="901" t="s">
        <v>1697</v>
      </c>
      <c r="W34" s="902">
        <f t="shared" si="14"/>
        <v>100</v>
      </c>
      <c r="X34" s="895"/>
      <c r="Y34" s="3664"/>
      <c r="Z34" s="884" t="str">
        <f t="shared" si="18"/>
        <v>建筑结构</v>
      </c>
      <c r="AA34" s="912">
        <f t="shared" si="15"/>
        <v>1</v>
      </c>
      <c r="AB34" s="912">
        <f t="shared" si="16"/>
        <v>1</v>
      </c>
      <c r="AC34" s="912">
        <f t="shared" si="17"/>
        <v>1</v>
      </c>
    </row>
    <row r="35" spans="1:29" ht="15">
      <c r="A35" s="772"/>
      <c r="B35" s="720" t="s">
        <v>1720</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60"/>
      <c r="Q35" s="819" t="str">
        <f t="shared" si="11"/>
        <v>建筑品质</v>
      </c>
      <c r="R35" s="901" t="s">
        <v>1697</v>
      </c>
      <c r="S35" s="902">
        <f t="shared" si="12"/>
        <v>100</v>
      </c>
      <c r="T35" s="901" t="s">
        <v>1697</v>
      </c>
      <c r="U35" s="902">
        <f t="shared" si="13"/>
        <v>100</v>
      </c>
      <c r="V35" s="901" t="s">
        <v>1697</v>
      </c>
      <c r="W35" s="902">
        <f t="shared" si="14"/>
        <v>100</v>
      </c>
      <c r="X35" s="895"/>
      <c r="Y35" s="3664"/>
      <c r="Z35" s="884" t="str">
        <f t="shared" si="18"/>
        <v>建筑品质</v>
      </c>
      <c r="AA35" s="912">
        <f t="shared" si="15"/>
        <v>1</v>
      </c>
      <c r="AB35" s="912">
        <f t="shared" si="16"/>
        <v>1</v>
      </c>
      <c r="AC35" s="912">
        <f t="shared" si="17"/>
        <v>1</v>
      </c>
    </row>
    <row r="36" spans="1:29" ht="15">
      <c r="A36" s="772"/>
      <c r="B36" s="720" t="s">
        <v>1721</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60"/>
      <c r="Q36" s="819" t="str">
        <f t="shared" si="11"/>
        <v>公共部分装修</v>
      </c>
      <c r="R36" s="901" t="s">
        <v>1697</v>
      </c>
      <c r="S36" s="902">
        <f t="shared" si="12"/>
        <v>100</v>
      </c>
      <c r="T36" s="901" t="s">
        <v>1697</v>
      </c>
      <c r="U36" s="902">
        <f t="shared" si="13"/>
        <v>100</v>
      </c>
      <c r="V36" s="901" t="s">
        <v>1697</v>
      </c>
      <c r="W36" s="902">
        <f t="shared" si="14"/>
        <v>100</v>
      </c>
      <c r="X36" s="895"/>
      <c r="Y36" s="3664"/>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60"/>
      <c r="Q37" s="900" t="str">
        <f t="shared" si="11"/>
        <v>成新度</v>
      </c>
      <c r="R37" s="896" t="s">
        <v>1697</v>
      </c>
      <c r="S37" s="897" t="e">
        <f t="shared" si="12"/>
        <v>#N/A</v>
      </c>
      <c r="T37" s="896" t="s">
        <v>1697</v>
      </c>
      <c r="U37" s="897" t="e">
        <f t="shared" si="13"/>
        <v>#N/A</v>
      </c>
      <c r="V37" s="896" t="s">
        <v>1697</v>
      </c>
      <c r="W37" s="897" t="e">
        <f t="shared" si="14"/>
        <v>#N/A</v>
      </c>
      <c r="X37" s="898"/>
      <c r="Y37" s="3664"/>
      <c r="Z37" s="911" t="str">
        <f t="shared" si="18"/>
        <v>成新度</v>
      </c>
      <c r="AA37" s="910" t="e">
        <f t="shared" si="15"/>
        <v>#N/A</v>
      </c>
      <c r="AB37" s="910" t="e">
        <f t="shared" si="16"/>
        <v>#N/A</v>
      </c>
      <c r="AC37" s="910" t="e">
        <f t="shared" si="17"/>
        <v>#N/A</v>
      </c>
    </row>
    <row r="38" spans="1:29" ht="15">
      <c r="A38" s="772"/>
      <c r="B38" s="720" t="s">
        <v>1722</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60" t="s">
        <v>1717</v>
      </c>
      <c r="Q38" s="819" t="str">
        <f t="shared" si="11"/>
        <v>物业管理</v>
      </c>
      <c r="R38" s="901" t="s">
        <v>1697</v>
      </c>
      <c r="S38" s="902">
        <f t="shared" si="12"/>
        <v>100</v>
      </c>
      <c r="T38" s="901" t="s">
        <v>1697</v>
      </c>
      <c r="U38" s="902">
        <f t="shared" si="13"/>
        <v>100</v>
      </c>
      <c r="V38" s="901" t="s">
        <v>1697</v>
      </c>
      <c r="W38" s="902">
        <f t="shared" si="14"/>
        <v>100</v>
      </c>
      <c r="X38" s="895"/>
      <c r="Y38" s="3664" t="s">
        <v>1717</v>
      </c>
      <c r="Z38" s="884" t="str">
        <f t="shared" si="18"/>
        <v>物业管理</v>
      </c>
      <c r="AA38" s="912">
        <f t="shared" si="15"/>
        <v>1</v>
      </c>
      <c r="AB38" s="912">
        <f t="shared" si="16"/>
        <v>1</v>
      </c>
      <c r="AC38" s="912">
        <f t="shared" si="17"/>
        <v>1</v>
      </c>
    </row>
    <row r="39" spans="1:29" ht="15">
      <c r="A39" s="772"/>
      <c r="B39" s="720" t="s">
        <v>1723</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60"/>
      <c r="Q39" s="819" t="str">
        <f t="shared" si="11"/>
        <v>市政基础设施</v>
      </c>
      <c r="R39" s="901" t="s">
        <v>1697</v>
      </c>
      <c r="S39" s="902">
        <f t="shared" si="12"/>
        <v>100</v>
      </c>
      <c r="T39" s="901" t="s">
        <v>1697</v>
      </c>
      <c r="U39" s="902">
        <f t="shared" si="13"/>
        <v>100</v>
      </c>
      <c r="V39" s="901" t="s">
        <v>1697</v>
      </c>
      <c r="W39" s="902">
        <f t="shared" si="14"/>
        <v>100</v>
      </c>
      <c r="X39" s="895"/>
      <c r="Y39" s="3664"/>
      <c r="Z39" s="884" t="str">
        <f t="shared" si="18"/>
        <v>市政基础设施</v>
      </c>
      <c r="AA39" s="912">
        <f t="shared" si="15"/>
        <v>1</v>
      </c>
      <c r="AB39" s="912">
        <f t="shared" si="16"/>
        <v>1</v>
      </c>
      <c r="AC39" s="912">
        <f t="shared" si="17"/>
        <v>1</v>
      </c>
    </row>
    <row r="40" spans="1:29" ht="15">
      <c r="A40" s="772"/>
      <c r="B40" s="720" t="s">
        <v>1724</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60"/>
      <c r="Q40" s="819" t="str">
        <f t="shared" si="11"/>
        <v>房型</v>
      </c>
      <c r="R40" s="901" t="s">
        <v>1697</v>
      </c>
      <c r="S40" s="902">
        <f t="shared" si="12"/>
        <v>100</v>
      </c>
      <c r="T40" s="901" t="s">
        <v>1697</v>
      </c>
      <c r="U40" s="902">
        <f t="shared" si="13"/>
        <v>100</v>
      </c>
      <c r="V40" s="901" t="s">
        <v>1697</v>
      </c>
      <c r="W40" s="902">
        <f t="shared" si="14"/>
        <v>100</v>
      </c>
      <c r="X40" s="895"/>
      <c r="Y40" s="3664"/>
      <c r="Z40" s="884" t="str">
        <f t="shared" si="18"/>
        <v>房型</v>
      </c>
      <c r="AA40" s="912">
        <f t="shared" si="15"/>
        <v>1</v>
      </c>
      <c r="AB40" s="912">
        <f t="shared" si="16"/>
        <v>1</v>
      </c>
      <c r="AC40" s="912">
        <f t="shared" si="17"/>
        <v>1</v>
      </c>
    </row>
    <row r="41" spans="1:29" s="684" customFormat="1" ht="28.5">
      <c r="A41" s="777"/>
      <c r="B41" s="720" t="s">
        <v>1725</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60"/>
      <c r="Q41" s="1136" t="str">
        <f t="shared" si="11"/>
        <v>单套/主力户型建筑面积</v>
      </c>
      <c r="R41" s="903" t="s">
        <v>1697</v>
      </c>
      <c r="S41" s="904">
        <f t="shared" si="12"/>
        <v>100</v>
      </c>
      <c r="T41" s="903" t="s">
        <v>1697</v>
      </c>
      <c r="U41" s="904">
        <f t="shared" si="13"/>
        <v>100</v>
      </c>
      <c r="V41" s="903" t="s">
        <v>1697</v>
      </c>
      <c r="W41" s="904">
        <f t="shared" si="14"/>
        <v>100</v>
      </c>
      <c r="X41" s="905"/>
      <c r="Y41" s="3664"/>
      <c r="Z41" s="913" t="str">
        <f t="shared" si="18"/>
        <v>单套/主力户型建筑面积</v>
      </c>
      <c r="AA41" s="912">
        <f t="shared" si="15"/>
        <v>1</v>
      </c>
      <c r="AB41" s="912">
        <f t="shared" si="16"/>
        <v>1</v>
      </c>
      <c r="AC41" s="912">
        <f t="shared" si="17"/>
        <v>1</v>
      </c>
    </row>
    <row r="42" spans="1:29" ht="15">
      <c r="A42" s="772"/>
      <c r="B42" s="720" t="s">
        <v>1726</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60"/>
      <c r="Q42" s="819" t="str">
        <f t="shared" si="11"/>
        <v>内部装修</v>
      </c>
      <c r="R42" s="901" t="s">
        <v>1697</v>
      </c>
      <c r="S42" s="902">
        <f t="shared" si="12"/>
        <v>100</v>
      </c>
      <c r="T42" s="901" t="s">
        <v>1697</v>
      </c>
      <c r="U42" s="902">
        <f t="shared" si="13"/>
        <v>100</v>
      </c>
      <c r="V42" s="901" t="s">
        <v>1697</v>
      </c>
      <c r="W42" s="902">
        <f t="shared" si="14"/>
        <v>100</v>
      </c>
      <c r="X42" s="895"/>
      <c r="Y42" s="3664"/>
      <c r="Z42" s="884" t="str">
        <f t="shared" si="18"/>
        <v>内部装修</v>
      </c>
      <c r="AA42" s="912">
        <f t="shared" si="15"/>
        <v>1</v>
      </c>
      <c r="AB42" s="912">
        <f t="shared" si="16"/>
        <v>1</v>
      </c>
      <c r="AC42" s="912">
        <f t="shared" si="17"/>
        <v>1</v>
      </c>
    </row>
    <row r="43" spans="1:29" ht="15">
      <c r="A43" s="772"/>
      <c r="B43" s="720" t="s">
        <v>1727</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60"/>
      <c r="Q43" s="819" t="str">
        <f t="shared" si="11"/>
        <v>内部装修维护情况</v>
      </c>
      <c r="R43" s="901" t="s">
        <v>1697</v>
      </c>
      <c r="S43" s="902">
        <f t="shared" si="12"/>
        <v>100</v>
      </c>
      <c r="T43" s="901" t="s">
        <v>1697</v>
      </c>
      <c r="U43" s="902">
        <f t="shared" si="13"/>
        <v>100</v>
      </c>
      <c r="V43" s="901" t="s">
        <v>1697</v>
      </c>
      <c r="W43" s="902">
        <f t="shared" si="14"/>
        <v>100</v>
      </c>
      <c r="X43" s="895"/>
      <c r="Y43" s="3664"/>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60"/>
      <c r="Q44" s="900">
        <f t="shared" si="11"/>
        <v>111</v>
      </c>
      <c r="R44" s="896" t="s">
        <v>1697</v>
      </c>
      <c r="S44" s="897">
        <f t="shared" si="12"/>
        <v>100</v>
      </c>
      <c r="T44" s="896" t="s">
        <v>1697</v>
      </c>
      <c r="U44" s="897">
        <f t="shared" si="13"/>
        <v>100</v>
      </c>
      <c r="V44" s="896" t="s">
        <v>1697</v>
      </c>
      <c r="W44" s="897">
        <f t="shared" si="14"/>
        <v>100</v>
      </c>
      <c r="X44" s="898"/>
      <c r="Y44" s="3664"/>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60"/>
      <c r="Q45" s="819">
        <f t="shared" si="11"/>
        <v>111</v>
      </c>
      <c r="R45" s="901" t="s">
        <v>1697</v>
      </c>
      <c r="S45" s="902">
        <f t="shared" si="12"/>
        <v>100</v>
      </c>
      <c r="T45" s="901" t="s">
        <v>1697</v>
      </c>
      <c r="U45" s="902">
        <f t="shared" si="13"/>
        <v>100</v>
      </c>
      <c r="V45" s="901" t="s">
        <v>1697</v>
      </c>
      <c r="W45" s="902">
        <f t="shared" si="14"/>
        <v>100</v>
      </c>
      <c r="X45" s="895"/>
      <c r="Y45" s="3664"/>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61"/>
      <c r="Q46" s="819">
        <f t="shared" si="11"/>
        <v>111</v>
      </c>
      <c r="R46" s="901" t="s">
        <v>1697</v>
      </c>
      <c r="S46" s="902">
        <f t="shared" si="12"/>
        <v>100</v>
      </c>
      <c r="T46" s="901" t="s">
        <v>1697</v>
      </c>
      <c r="U46" s="902">
        <f t="shared" si="13"/>
        <v>100</v>
      </c>
      <c r="V46" s="901" t="s">
        <v>1697</v>
      </c>
      <c r="W46" s="902">
        <f t="shared" si="14"/>
        <v>100</v>
      </c>
      <c r="X46" s="895"/>
      <c r="Y46" s="3665"/>
      <c r="Z46" s="884">
        <f t="shared" si="18"/>
        <v>111</v>
      </c>
      <c r="AA46" s="912">
        <f t="shared" si="15"/>
        <v>1</v>
      </c>
      <c r="AB46" s="912">
        <f t="shared" si="16"/>
        <v>1</v>
      </c>
      <c r="AC46" s="912">
        <f t="shared" si="17"/>
        <v>1</v>
      </c>
    </row>
    <row r="47" spans="1:29" ht="15">
      <c r="A47" s="779" t="s">
        <v>1728</v>
      </c>
      <c r="B47" s="1111"/>
      <c r="C47" s="1112" t="s">
        <v>124</v>
      </c>
      <c r="D47" s="1113"/>
      <c r="E47" s="1114"/>
      <c r="F47" s="1115"/>
      <c r="G47" s="1116"/>
      <c r="H47" s="1117"/>
      <c r="I47" s="1114"/>
      <c r="J47" s="1117"/>
      <c r="K47" s="1316"/>
      <c r="L47" s="876"/>
      <c r="M47" s="796"/>
      <c r="N47" s="853"/>
      <c r="O47" s="796"/>
      <c r="P47" s="3649" t="str">
        <f>A47</f>
        <v>成交单价（元/平方米）</v>
      </c>
      <c r="Q47" s="3649"/>
      <c r="R47" s="3650">
        <f>E47</f>
        <v>0</v>
      </c>
      <c r="S47" s="3650"/>
      <c r="T47" s="3650">
        <f>G47</f>
        <v>0</v>
      </c>
      <c r="U47" s="3650"/>
      <c r="V47" s="3650">
        <f>I47</f>
        <v>0</v>
      </c>
      <c r="W47" s="3650"/>
      <c r="X47" s="841"/>
      <c r="Y47" s="914"/>
      <c r="Z47" s="841"/>
      <c r="AA47" s="841"/>
      <c r="AB47" s="841"/>
      <c r="AC47" s="841"/>
    </row>
    <row r="48" spans="1:29" ht="15">
      <c r="A48" s="787" t="s">
        <v>1729</v>
      </c>
      <c r="B48" s="1118"/>
      <c r="C48" s="1119" t="e">
        <f>R49</f>
        <v>#DIV/0!</v>
      </c>
      <c r="D48" s="790" t="s">
        <v>1730</v>
      </c>
      <c r="E48" s="1120" t="e">
        <f>R48</f>
        <v>#DIV/0!</v>
      </c>
      <c r="F48" s="791"/>
      <c r="G48" s="1119" t="e">
        <f>T48</f>
        <v>#DIV/0!</v>
      </c>
      <c r="H48" s="791"/>
      <c r="I48" s="1120" t="e">
        <f>V48</f>
        <v>#DIV/0!</v>
      </c>
      <c r="J48" s="791"/>
      <c r="K48" s="1317">
        <f>F48+H48+J48</f>
        <v>0</v>
      </c>
      <c r="L48" s="876"/>
      <c r="M48" s="796"/>
      <c r="N48" s="796"/>
      <c r="O48" s="796"/>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841"/>
      <c r="Y48" s="841"/>
      <c r="Z48" s="841"/>
      <c r="AA48" s="841"/>
      <c r="AB48" s="841"/>
      <c r="AC48" s="841"/>
    </row>
    <row r="49" spans="1:29" ht="15">
      <c r="A49" s="793" t="s">
        <v>1731</v>
      </c>
      <c r="B49" s="794"/>
      <c r="C49" s="1300" t="e">
        <f>R49</f>
        <v>#DIV/0!</v>
      </c>
      <c r="D49" s="1121"/>
      <c r="E49" s="1121"/>
      <c r="F49" s="1121"/>
      <c r="G49" s="1121"/>
      <c r="H49" s="1121"/>
      <c r="I49" s="1121"/>
      <c r="J49" s="1121"/>
      <c r="K49" s="1318"/>
      <c r="L49" s="876"/>
      <c r="M49" s="796"/>
      <c r="N49" s="796"/>
      <c r="O49" s="796"/>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1735</v>
      </c>
      <c r="B57" s="841"/>
      <c r="C57" s="842"/>
      <c r="D57" s="842"/>
      <c r="E57" s="842"/>
      <c r="F57" s="843"/>
      <c r="G57" s="843"/>
      <c r="H57" s="842"/>
      <c r="I57" s="842"/>
      <c r="J57" s="842"/>
      <c r="K57" s="1066"/>
      <c r="L57" s="1067"/>
      <c r="M57" s="893"/>
      <c r="N57" s="893"/>
      <c r="O57" s="893"/>
      <c r="P57" s="1320"/>
      <c r="Q57" s="1231"/>
    </row>
    <row r="58" spans="1:29" s="687" customFormat="1" ht="15">
      <c r="A58" s="1123" t="s">
        <v>1695</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1736</v>
      </c>
      <c r="B60" s="923"/>
      <c r="C60" s="924"/>
      <c r="D60" s="925"/>
      <c r="E60" s="925"/>
      <c r="F60" s="925"/>
      <c r="G60" s="925"/>
      <c r="H60" s="925"/>
      <c r="I60" s="925"/>
      <c r="J60" s="925"/>
      <c r="K60" s="925"/>
      <c r="L60" s="925"/>
      <c r="M60" s="975"/>
      <c r="N60" s="925"/>
      <c r="O60" s="975"/>
      <c r="P60" s="1322"/>
      <c r="Q60" s="1231"/>
    </row>
    <row r="61" spans="1:29" s="682" customFormat="1" ht="15">
      <c r="A61" s="926" t="s">
        <v>1698</v>
      </c>
      <c r="B61" s="927"/>
      <c r="C61" s="928" t="s">
        <v>1737</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1738</v>
      </c>
      <c r="B63" s="933" t="s">
        <v>1701</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1704</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1705</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1706</v>
      </c>
      <c r="B76" s="933" t="s">
        <v>1707</v>
      </c>
      <c r="C76" s="955" t="s">
        <v>1490</v>
      </c>
      <c r="D76" s="955" t="s">
        <v>1491</v>
      </c>
      <c r="E76" s="955" t="s">
        <v>1492</v>
      </c>
      <c r="F76" s="955" t="s">
        <v>1493</v>
      </c>
      <c r="G76" s="955" t="s">
        <v>1494</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1709</v>
      </c>
      <c r="C78" s="957" t="s">
        <v>1490</v>
      </c>
      <c r="D78" s="957" t="s">
        <v>1491</v>
      </c>
      <c r="E78" s="957" t="s">
        <v>1492</v>
      </c>
      <c r="F78" s="957" t="s">
        <v>1493</v>
      </c>
      <c r="G78" s="957" t="s">
        <v>1494</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1710</v>
      </c>
      <c r="C80" s="957" t="s">
        <v>1490</v>
      </c>
      <c r="D80" s="957" t="s">
        <v>1491</v>
      </c>
      <c r="E80" s="957" t="s">
        <v>1492</v>
      </c>
      <c r="F80" s="957" t="s">
        <v>1493</v>
      </c>
      <c r="G80" s="957" t="s">
        <v>1494</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1711</v>
      </c>
      <c r="C82" s="939" t="s">
        <v>1739</v>
      </c>
      <c r="D82" s="939" t="s">
        <v>1740</v>
      </c>
      <c r="E82" s="939" t="s">
        <v>1741</v>
      </c>
      <c r="F82" s="939" t="s">
        <v>1742</v>
      </c>
      <c r="G82" s="939" t="s">
        <v>1743</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1712</v>
      </c>
      <c r="C84" s="957" t="s">
        <v>1490</v>
      </c>
      <c r="D84" s="957" t="s">
        <v>1491</v>
      </c>
      <c r="E84" s="957" t="s">
        <v>1492</v>
      </c>
      <c r="F84" s="957" t="s">
        <v>1493</v>
      </c>
      <c r="G84" s="957" t="s">
        <v>1494</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1713</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1714</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1715</v>
      </c>
      <c r="B100" s="933" t="s">
        <v>1716</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1718</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1719</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1720</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1721</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1722</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1723</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1724</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1725</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1726</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1727</v>
      </c>
      <c r="C124" s="957" t="s">
        <v>1490</v>
      </c>
      <c r="D124" s="957" t="s">
        <v>1491</v>
      </c>
      <c r="E124" s="957" t="s">
        <v>1492</v>
      </c>
      <c r="F124" s="957" t="s">
        <v>1493</v>
      </c>
      <c r="G124" s="957" t="s">
        <v>1494</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1744</v>
      </c>
    </row>
    <row r="137" spans="1:17" ht="15">
      <c r="B137" s="1336" t="s">
        <v>1745</v>
      </c>
      <c r="C137" s="1337"/>
      <c r="D137" s="1337"/>
      <c r="E137" s="1337"/>
      <c r="F137" s="1337"/>
      <c r="G137" s="1338"/>
      <c r="H137" s="1339"/>
      <c r="I137" s="1362" t="s">
        <v>1746</v>
      </c>
      <c r="J137" s="1337"/>
      <c r="K137" s="1363"/>
    </row>
    <row r="138" spans="1:17" ht="15">
      <c r="B138" s="1340"/>
      <c r="C138" s="1341" t="s">
        <v>1747</v>
      </c>
      <c r="D138" s="1341" t="s">
        <v>1748</v>
      </c>
      <c r="E138" s="1342" t="s">
        <v>1749</v>
      </c>
      <c r="F138" s="1343" t="s">
        <v>1750</v>
      </c>
      <c r="G138" s="1341" t="s">
        <v>1748</v>
      </c>
      <c r="H138" s="1344" t="s">
        <v>1749</v>
      </c>
      <c r="I138" s="1364"/>
      <c r="J138" s="1341" t="s">
        <v>1751</v>
      </c>
      <c r="K138" s="1344" t="s">
        <v>1752</v>
      </c>
    </row>
    <row r="139" spans="1:17" ht="15">
      <c r="B139" s="1345">
        <v>6</v>
      </c>
      <c r="C139" s="1346">
        <v>96</v>
      </c>
      <c r="D139" s="1347" t="s">
        <v>1753</v>
      </c>
      <c r="E139" s="1348">
        <v>100</v>
      </c>
      <c r="F139" s="1349">
        <v>102.5</v>
      </c>
      <c r="G139" s="1347" t="s">
        <v>1753</v>
      </c>
      <c r="H139" s="1350">
        <v>105</v>
      </c>
      <c r="I139" s="1365" t="s">
        <v>1754</v>
      </c>
      <c r="J139" s="1346">
        <v>20</v>
      </c>
      <c r="K139" s="1366">
        <f>C145/(J139-2)</f>
        <v>4.0555555555555596E-3</v>
      </c>
    </row>
    <row r="140" spans="1:17" ht="15">
      <c r="B140" s="1351">
        <v>5</v>
      </c>
      <c r="C140" s="1352">
        <v>100</v>
      </c>
      <c r="D140" s="1352"/>
      <c r="E140" s="1353"/>
      <c r="F140" s="1354">
        <v>102</v>
      </c>
      <c r="G140" s="1352"/>
      <c r="H140" s="1355"/>
      <c r="I140" s="1367" t="s">
        <v>1755</v>
      </c>
      <c r="J140" s="457">
        <f>ROUNDUP((J139-1)/2,0)</f>
        <v>10</v>
      </c>
      <c r="K140" s="1368">
        <v>100</v>
      </c>
    </row>
    <row r="141" spans="1:17" ht="15">
      <c r="B141" s="1351">
        <v>4</v>
      </c>
      <c r="C141" s="1352">
        <v>102</v>
      </c>
      <c r="D141" s="1352"/>
      <c r="E141" s="1353"/>
      <c r="F141" s="1354">
        <v>101.5</v>
      </c>
      <c r="G141" s="1352"/>
      <c r="H141" s="1355"/>
      <c r="I141" s="1367" t="s">
        <v>1756</v>
      </c>
      <c r="J141" s="457">
        <v>1</v>
      </c>
      <c r="K141" s="1369">
        <f>ROUND(100+(J141-J140)*K139*100,1)</f>
        <v>96.4</v>
      </c>
    </row>
    <row r="142" spans="1:17" ht="15">
      <c r="B142" s="1351">
        <v>3</v>
      </c>
      <c r="C142" s="1352">
        <v>103</v>
      </c>
      <c r="D142" s="1352"/>
      <c r="E142" s="1353"/>
      <c r="F142" s="1354">
        <v>101</v>
      </c>
      <c r="G142" s="1352"/>
      <c r="H142" s="1355"/>
      <c r="I142" s="1367" t="s">
        <v>1757</v>
      </c>
      <c r="J142" s="457">
        <f>J139</f>
        <v>20</v>
      </c>
      <c r="K142" s="1370">
        <v>95</v>
      </c>
    </row>
    <row r="143" spans="1:17" ht="15">
      <c r="B143" s="1351">
        <v>2</v>
      </c>
      <c r="C143" s="1352">
        <v>100</v>
      </c>
      <c r="D143" s="1352"/>
      <c r="E143" s="1353"/>
      <c r="F143" s="1354">
        <v>100.5</v>
      </c>
      <c r="G143" s="1352"/>
      <c r="H143" s="1355"/>
      <c r="I143" s="1367" t="s">
        <v>1758</v>
      </c>
      <c r="J143" s="1352">
        <v>15</v>
      </c>
      <c r="K143" s="1369">
        <f>ROUND(100+(J143-J140)*K139*100,1)</f>
        <v>102</v>
      </c>
    </row>
    <row r="144" spans="1:17" ht="15">
      <c r="B144" s="1351">
        <v>1</v>
      </c>
      <c r="C144" s="1352">
        <v>98</v>
      </c>
      <c r="D144" s="1356" t="s">
        <v>1759</v>
      </c>
      <c r="E144" s="1353">
        <v>102</v>
      </c>
      <c r="F144" s="1357">
        <v>100</v>
      </c>
      <c r="G144" s="1356" t="s">
        <v>1759</v>
      </c>
      <c r="H144" s="1355">
        <v>105</v>
      </c>
      <c r="I144" s="1367" t="s">
        <v>1758</v>
      </c>
      <c r="J144" s="1352">
        <v>18</v>
      </c>
      <c r="K144" s="1369">
        <f>ROUND(100+(J144-J140)*K139*100,1)</f>
        <v>103.2</v>
      </c>
    </row>
    <row r="145" spans="2:11" ht="15">
      <c r="B145" s="1358" t="s">
        <v>1760</v>
      </c>
      <c r="C145" s="1359">
        <f>ROUND(MAX(C139:C144)/MIN(C139:C144)-1,3)</f>
        <v>7.2999999999999995E-2</v>
      </c>
      <c r="D145" s="1360"/>
      <c r="E145" s="1360"/>
      <c r="F145" s="1361" t="s">
        <v>1761</v>
      </c>
      <c r="G145" s="1261"/>
      <c r="H145" s="1264"/>
      <c r="I145" s="1371" t="s">
        <v>1758</v>
      </c>
      <c r="J145" s="1372">
        <v>8</v>
      </c>
      <c r="K145" s="1373">
        <f>ROUND(100+(J145-J140)*K139*100,1)</f>
        <v>99.2</v>
      </c>
    </row>
    <row r="147" spans="2:11">
      <c r="B147" s="1335" t="s">
        <v>1762</v>
      </c>
    </row>
    <row r="148" spans="2:11">
      <c r="B148" s="1335" t="s">
        <v>1763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1678</v>
      </c>
      <c r="B1" s="1207" t="s">
        <v>1779</v>
      </c>
      <c r="C1" s="1073" t="s">
        <v>1680</v>
      </c>
      <c r="D1" s="1074"/>
      <c r="E1" s="1075"/>
      <c r="F1" s="1076"/>
      <c r="G1" s="1077" t="s">
        <v>1681</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f>IF(C2="——",C50,ROUND(B2*10000/D3,0))</f>
        <v>0</v>
      </c>
      <c r="C3" s="1084" t="s">
        <v>1333</v>
      </c>
      <c r="D3" s="1085">
        <f>IF(D1="",'数据-汇总表'!E3,SUMIF('数据-汇总表'!$C19:$C33,D1,'数据-汇总表'!$E19:$E33))</f>
        <v>1851.14</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1682</v>
      </c>
      <c r="B4" s="702"/>
      <c r="C4" s="3671" t="s">
        <v>1683</v>
      </c>
      <c r="D4" s="3672"/>
      <c r="E4" s="3673" t="s">
        <v>1684</v>
      </c>
      <c r="F4" s="3674"/>
      <c r="G4" s="3671" t="s">
        <v>1685</v>
      </c>
      <c r="H4" s="3672"/>
      <c r="I4" s="3671" t="s">
        <v>1686</v>
      </c>
      <c r="J4" s="3672"/>
      <c r="K4" s="851" t="s">
        <v>1687</v>
      </c>
      <c r="L4" s="852"/>
      <c r="M4" s="853"/>
      <c r="N4" s="853"/>
      <c r="O4" s="853"/>
      <c r="P4" s="3728" t="s">
        <v>1688</v>
      </c>
      <c r="Q4" s="3729"/>
      <c r="R4" s="3732" t="s">
        <v>1684</v>
      </c>
      <c r="S4" s="3733"/>
      <c r="T4" s="3732" t="s">
        <v>1685</v>
      </c>
      <c r="U4" s="3733"/>
      <c r="V4" s="3734" t="s">
        <v>1686</v>
      </c>
      <c r="W4" s="3734"/>
      <c r="X4" s="1260"/>
      <c r="Y4" s="3732" t="s">
        <v>1688</v>
      </c>
      <c r="Z4" s="3733"/>
      <c r="AA4" s="3724" t="s">
        <v>1684</v>
      </c>
      <c r="AB4" s="3724" t="s">
        <v>1685</v>
      </c>
      <c r="AC4" s="3725" t="s">
        <v>1686</v>
      </c>
    </row>
    <row r="5" spans="1:29" ht="15">
      <c r="A5" s="703"/>
      <c r="B5" s="704"/>
      <c r="C5" s="3675" t="s">
        <v>1689</v>
      </c>
      <c r="D5" s="3676"/>
      <c r="E5" s="3677" t="s">
        <v>1690</v>
      </c>
      <c r="F5" s="3678"/>
      <c r="G5" s="3675" t="s">
        <v>1691</v>
      </c>
      <c r="H5" s="3676"/>
      <c r="I5" s="3675" t="s">
        <v>1692</v>
      </c>
      <c r="J5" s="3676"/>
      <c r="K5" s="851"/>
      <c r="L5" s="852"/>
      <c r="M5" s="853"/>
      <c r="N5" s="853"/>
      <c r="O5" s="853"/>
      <c r="P5" s="3730"/>
      <c r="Q5" s="3640"/>
      <c r="R5" s="3645"/>
      <c r="S5" s="3646"/>
      <c r="T5" s="3645"/>
      <c r="U5" s="3646"/>
      <c r="V5" s="3636"/>
      <c r="W5" s="3636"/>
      <c r="X5" s="895"/>
      <c r="Y5" s="3645"/>
      <c r="Z5" s="3646"/>
      <c r="AA5" s="3634"/>
      <c r="AB5" s="3634"/>
      <c r="AC5" s="3726"/>
    </row>
    <row r="6" spans="1:29" ht="15">
      <c r="A6" s="705"/>
      <c r="B6" s="706"/>
      <c r="C6" s="3666" t="s">
        <v>1693</v>
      </c>
      <c r="D6" s="3667"/>
      <c r="E6" s="3668" t="s">
        <v>1693</v>
      </c>
      <c r="F6" s="3669"/>
      <c r="G6" s="3666" t="s">
        <v>1693</v>
      </c>
      <c r="H6" s="3667"/>
      <c r="I6" s="3666" t="s">
        <v>1693</v>
      </c>
      <c r="J6" s="3667"/>
      <c r="K6" s="851" t="s">
        <v>1694</v>
      </c>
      <c r="L6" s="852"/>
      <c r="M6" s="853"/>
      <c r="N6" s="853"/>
      <c r="O6" s="853"/>
      <c r="P6" s="3731"/>
      <c r="Q6" s="3642"/>
      <c r="R6" s="3645"/>
      <c r="S6" s="3646"/>
      <c r="T6" s="3647"/>
      <c r="U6" s="3648"/>
      <c r="V6" s="3636"/>
      <c r="W6" s="3636"/>
      <c r="X6" s="895"/>
      <c r="Y6" s="3647"/>
      <c r="Z6" s="3648"/>
      <c r="AA6" s="3635"/>
      <c r="AB6" s="3635"/>
      <c r="AC6" s="3727"/>
    </row>
    <row r="7" spans="1:29" s="682" customFormat="1" ht="15">
      <c r="A7" s="707" t="s">
        <v>1695</v>
      </c>
      <c r="B7" s="708"/>
      <c r="C7" s="709">
        <f>'数据-取费表'!B2</f>
        <v>45540</v>
      </c>
      <c r="D7" s="710">
        <v>100</v>
      </c>
      <c r="E7" s="711"/>
      <c r="F7" s="712">
        <f>SUMIF(59:59,YEAR(E7)&amp;"-"&amp;MONTH(E7),60:60)</f>
        <v>0</v>
      </c>
      <c r="G7" s="711"/>
      <c r="H7" s="710">
        <f>SUMIF(59:59,YEAR(G7)&amp;"-"&amp;MONTH(G7),60:60)</f>
        <v>0</v>
      </c>
      <c r="I7" s="711"/>
      <c r="J7" s="710">
        <f>SUMIF(59:59,YEAR(I7)&amp;"-"&amp;MONTH(I7),60:60)</f>
        <v>0</v>
      </c>
      <c r="K7" s="854"/>
      <c r="L7" s="855"/>
      <c r="M7" s="856"/>
      <c r="N7" s="856"/>
      <c r="O7" s="856"/>
      <c r="P7" s="3738" t="s">
        <v>1696</v>
      </c>
      <c r="Q7" s="3670"/>
      <c r="R7" s="896" t="s">
        <v>1697</v>
      </c>
      <c r="S7" s="897">
        <f t="shared" ref="S7:S15" si="0">F7</f>
        <v>0</v>
      </c>
      <c r="T7" s="896" t="s">
        <v>1697</v>
      </c>
      <c r="U7" s="897">
        <f t="shared" ref="U7:U15" si="1">H7</f>
        <v>0</v>
      </c>
      <c r="V7" s="896" t="s">
        <v>1697</v>
      </c>
      <c r="W7" s="897">
        <f t="shared" ref="W7:W15" si="2">J7</f>
        <v>0</v>
      </c>
      <c r="X7" s="898"/>
      <c r="Y7" s="3654" t="s">
        <v>1696</v>
      </c>
      <c r="Z7" s="3655"/>
      <c r="AA7" s="910" t="e">
        <f>D7/F7</f>
        <v>#DIV/0!</v>
      </c>
      <c r="AB7" s="910" t="e">
        <f>D7/H7</f>
        <v>#DIV/0!</v>
      </c>
      <c r="AC7" s="1262" t="e">
        <f>D7/J7</f>
        <v>#DIV/0!</v>
      </c>
    </row>
    <row r="8" spans="1:29" s="682" customFormat="1" ht="15">
      <c r="A8" s="707" t="s">
        <v>1698</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38" t="s">
        <v>1699</v>
      </c>
      <c r="Q8" s="3655"/>
      <c r="R8" s="896" t="s">
        <v>1697</v>
      </c>
      <c r="S8" s="897">
        <f t="shared" si="0"/>
        <v>100</v>
      </c>
      <c r="T8" s="896" t="s">
        <v>1697</v>
      </c>
      <c r="U8" s="897">
        <f t="shared" si="1"/>
        <v>100</v>
      </c>
      <c r="V8" s="896" t="s">
        <v>1697</v>
      </c>
      <c r="W8" s="897">
        <f t="shared" si="2"/>
        <v>100</v>
      </c>
      <c r="X8" s="898"/>
      <c r="Y8" s="3654" t="s">
        <v>1699</v>
      </c>
      <c r="Z8" s="3655"/>
      <c r="AA8" s="910">
        <f t="shared" ref="AA8:AA47" si="3">D8/F8</f>
        <v>1</v>
      </c>
      <c r="AB8" s="910">
        <f t="shared" ref="AB8:AB47" si="4">D8/H8</f>
        <v>1</v>
      </c>
      <c r="AC8" s="1262">
        <f t="shared" ref="AC8:AC47" si="5">D8/J8</f>
        <v>1</v>
      </c>
    </row>
    <row r="9" spans="1:29" s="682" customFormat="1">
      <c r="A9" s="715" t="s">
        <v>1700</v>
      </c>
      <c r="B9" s="716" t="s">
        <v>1701</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56"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1262">
        <f t="shared" si="5"/>
        <v>1</v>
      </c>
    </row>
    <row r="10" spans="1:29" s="683" customFormat="1" ht="27">
      <c r="A10" s="719"/>
      <c r="B10" s="720" t="s">
        <v>1704</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56"/>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1262">
        <f t="shared" si="5"/>
        <v>1</v>
      </c>
    </row>
    <row r="11" spans="1:29" ht="15">
      <c r="A11" s="723"/>
      <c r="B11" s="720" t="s">
        <v>1705</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56"/>
      <c r="Q11" s="900" t="str">
        <f t="shared" si="6"/>
        <v>容积率</v>
      </c>
      <c r="R11" s="896" t="s">
        <v>1697</v>
      </c>
      <c r="S11" s="897">
        <f t="shared" si="0"/>
        <v>100</v>
      </c>
      <c r="T11" s="896" t="s">
        <v>1697</v>
      </c>
      <c r="U11" s="897">
        <f t="shared" si="1"/>
        <v>100</v>
      </c>
      <c r="V11" s="896" t="s">
        <v>1697</v>
      </c>
      <c r="W11" s="897">
        <f t="shared" si="2"/>
        <v>100</v>
      </c>
      <c r="X11" s="898"/>
      <c r="Y11" s="3545"/>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56"/>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56"/>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56"/>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1262">
        <f t="shared" si="5"/>
        <v>1</v>
      </c>
    </row>
    <row r="15" spans="1:29" ht="71.25">
      <c r="A15" s="737" t="s">
        <v>1706</v>
      </c>
      <c r="B15" s="738" t="s">
        <v>1780</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57" t="s">
        <v>1708</v>
      </c>
      <c r="Q15" s="819" t="str">
        <f t="shared" si="6"/>
        <v>办公集聚程度</v>
      </c>
      <c r="R15" s="901" t="s">
        <v>1697</v>
      </c>
      <c r="S15" s="902">
        <f t="shared" si="0"/>
        <v>100</v>
      </c>
      <c r="T15" s="901" t="s">
        <v>1697</v>
      </c>
      <c r="U15" s="902">
        <f t="shared" si="1"/>
        <v>100</v>
      </c>
      <c r="V15" s="901" t="s">
        <v>1697</v>
      </c>
      <c r="W15" s="902">
        <f t="shared" si="2"/>
        <v>100</v>
      </c>
      <c r="X15" s="895"/>
      <c r="Y15" s="3662" t="s">
        <v>1708</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58"/>
      <c r="Q16" s="819"/>
      <c r="R16" s="901"/>
      <c r="S16" s="902"/>
      <c r="T16" s="901"/>
      <c r="U16" s="902"/>
      <c r="V16" s="901"/>
      <c r="W16" s="902"/>
      <c r="X16" s="895"/>
      <c r="Y16" s="3663"/>
      <c r="Z16" s="884"/>
      <c r="AA16" s="912">
        <v>1</v>
      </c>
      <c r="AB16" s="912">
        <v>1</v>
      </c>
      <c r="AC16" s="1263">
        <v>1</v>
      </c>
    </row>
    <row r="17" spans="1:29" ht="71.25">
      <c r="A17" s="723"/>
      <c r="B17" s="746" t="s">
        <v>1709</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58"/>
      <c r="Q17" s="819" t="str">
        <f>B17</f>
        <v>交通便捷度</v>
      </c>
      <c r="R17" s="901" t="s">
        <v>1697</v>
      </c>
      <c r="S17" s="902">
        <f>F17</f>
        <v>100</v>
      </c>
      <c r="T17" s="901" t="s">
        <v>1697</v>
      </c>
      <c r="U17" s="902">
        <f>H17</f>
        <v>100</v>
      </c>
      <c r="V17" s="901" t="s">
        <v>1697</v>
      </c>
      <c r="W17" s="902">
        <f>J17</f>
        <v>100</v>
      </c>
      <c r="X17" s="895"/>
      <c r="Y17" s="3663"/>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58"/>
      <c r="Q18" s="819"/>
      <c r="R18" s="901"/>
      <c r="S18" s="902"/>
      <c r="T18" s="901"/>
      <c r="U18" s="902"/>
      <c r="V18" s="901"/>
      <c r="W18" s="902"/>
      <c r="X18" s="895"/>
      <c r="Y18" s="3663"/>
      <c r="Z18" s="884"/>
      <c r="AA18" s="912">
        <v>1</v>
      </c>
      <c r="AB18" s="912">
        <v>1</v>
      </c>
      <c r="AC18" s="1263">
        <v>1</v>
      </c>
    </row>
    <row r="19" spans="1:29" ht="42.75">
      <c r="A19" s="723"/>
      <c r="B19" s="746" t="s">
        <v>1710</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58"/>
      <c r="Q19" s="819" t="str">
        <f>B19</f>
        <v>公共配套设施</v>
      </c>
      <c r="R19" s="901" t="s">
        <v>1697</v>
      </c>
      <c r="S19" s="902">
        <f>F19</f>
        <v>100</v>
      </c>
      <c r="T19" s="901" t="s">
        <v>1697</v>
      </c>
      <c r="U19" s="902">
        <f>H19</f>
        <v>100</v>
      </c>
      <c r="V19" s="901" t="s">
        <v>1697</v>
      </c>
      <c r="W19" s="902">
        <f>J19</f>
        <v>100</v>
      </c>
      <c r="X19" s="895"/>
      <c r="Y19" s="3663"/>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58"/>
      <c r="Q20" s="819"/>
      <c r="R20" s="901"/>
      <c r="S20" s="902"/>
      <c r="T20" s="901"/>
      <c r="U20" s="902"/>
      <c r="V20" s="901"/>
      <c r="W20" s="902"/>
      <c r="X20" s="895"/>
      <c r="Y20" s="3663"/>
      <c r="Z20" s="884"/>
      <c r="AA20" s="912">
        <v>1</v>
      </c>
      <c r="AB20" s="912">
        <v>1</v>
      </c>
      <c r="AC20" s="1263">
        <v>1</v>
      </c>
    </row>
    <row r="21" spans="1:29" ht="28.5">
      <c r="A21" s="723"/>
      <c r="B21" s="752" t="s">
        <v>1711</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58"/>
      <c r="Q21" s="819" t="str">
        <f>B21</f>
        <v>基础设施水平</v>
      </c>
      <c r="R21" s="901" t="s">
        <v>1697</v>
      </c>
      <c r="S21" s="902">
        <f>F21</f>
        <v>100</v>
      </c>
      <c r="T21" s="901" t="s">
        <v>1697</v>
      </c>
      <c r="U21" s="902">
        <f>H21</f>
        <v>100</v>
      </c>
      <c r="V21" s="901" t="s">
        <v>1697</v>
      </c>
      <c r="W21" s="902">
        <f>J21</f>
        <v>100</v>
      </c>
      <c r="X21" s="895"/>
      <c r="Y21" s="3663"/>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58"/>
      <c r="Q22" s="819"/>
      <c r="R22" s="901"/>
      <c r="S22" s="902"/>
      <c r="T22" s="901"/>
      <c r="U22" s="902"/>
      <c r="V22" s="901"/>
      <c r="W22" s="902"/>
      <c r="X22" s="895"/>
      <c r="Y22" s="3663"/>
      <c r="Z22" s="884"/>
      <c r="AA22" s="912">
        <v>1</v>
      </c>
      <c r="AB22" s="912">
        <v>1</v>
      </c>
      <c r="AC22" s="1263">
        <v>1</v>
      </c>
    </row>
    <row r="23" spans="1:29" ht="42.75">
      <c r="A23" s="723"/>
      <c r="B23" s="746" t="s">
        <v>1781</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58"/>
      <c r="Q23" s="819" t="str">
        <f>B23</f>
        <v>环境质量</v>
      </c>
      <c r="R23" s="901" t="s">
        <v>1697</v>
      </c>
      <c r="S23" s="902">
        <f>F23</f>
        <v>100</v>
      </c>
      <c r="T23" s="901" t="s">
        <v>1697</v>
      </c>
      <c r="U23" s="902">
        <f>H23</f>
        <v>100</v>
      </c>
      <c r="V23" s="901" t="s">
        <v>1697</v>
      </c>
      <c r="W23" s="902">
        <f>J23</f>
        <v>100</v>
      </c>
      <c r="X23" s="895"/>
      <c r="Y23" s="3663"/>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58"/>
      <c r="Q24" s="819"/>
      <c r="R24" s="901"/>
      <c r="S24" s="902"/>
      <c r="T24" s="901"/>
      <c r="U24" s="902"/>
      <c r="V24" s="901"/>
      <c r="W24" s="902"/>
      <c r="X24" s="895"/>
      <c r="Y24" s="3663"/>
      <c r="Z24" s="884"/>
      <c r="AA24" s="912">
        <v>1</v>
      </c>
      <c r="AB24" s="912">
        <v>1</v>
      </c>
      <c r="AC24" s="1263">
        <v>1</v>
      </c>
    </row>
    <row r="25" spans="1:29" ht="27">
      <c r="A25" s="703"/>
      <c r="B25" s="746" t="s">
        <v>1782</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58"/>
      <c r="Q25" s="819" t="str">
        <f>B25</f>
        <v>毗邻道路的类型与等级</v>
      </c>
      <c r="R25" s="901" t="s">
        <v>1697</v>
      </c>
      <c r="S25" s="902">
        <f>F25</f>
        <v>100</v>
      </c>
      <c r="T25" s="901" t="s">
        <v>1697</v>
      </c>
      <c r="U25" s="902">
        <f>H25</f>
        <v>100</v>
      </c>
      <c r="V25" s="901" t="s">
        <v>1697</v>
      </c>
      <c r="W25" s="902">
        <f>J25</f>
        <v>100</v>
      </c>
      <c r="X25" s="895"/>
      <c r="Y25" s="3663"/>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58"/>
      <c r="Q26" s="819"/>
      <c r="R26" s="901"/>
      <c r="S26" s="902"/>
      <c r="T26" s="901"/>
      <c r="U26" s="902"/>
      <c r="V26" s="901"/>
      <c r="W26" s="902"/>
      <c r="X26" s="895"/>
      <c r="Y26" s="3663"/>
      <c r="Z26" s="884"/>
      <c r="AA26" s="912">
        <v>1</v>
      </c>
      <c r="AB26" s="912">
        <v>1</v>
      </c>
      <c r="AC26" s="1263">
        <v>1</v>
      </c>
    </row>
    <row r="27" spans="1:29" ht="15">
      <c r="A27" s="723"/>
      <c r="B27" s="750" t="s">
        <v>1772</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8"/>
      <c r="Q27" s="819" t="str">
        <f t="shared" ref="Q27:Q47" si="11">B27</f>
        <v>楼层</v>
      </c>
      <c r="R27" s="901" t="s">
        <v>1697</v>
      </c>
      <c r="S27" s="902">
        <f>F27</f>
        <v>100</v>
      </c>
      <c r="T27" s="901" t="s">
        <v>1697</v>
      </c>
      <c r="U27" s="902">
        <f>H27</f>
        <v>100</v>
      </c>
      <c r="V27" s="901" t="s">
        <v>1697</v>
      </c>
      <c r="W27" s="902">
        <f>J27</f>
        <v>100</v>
      </c>
      <c r="X27" s="895"/>
      <c r="Y27" s="3663"/>
      <c r="Z27" s="884" t="str">
        <f>Q27</f>
        <v>楼层</v>
      </c>
      <c r="AA27" s="912">
        <f t="shared" si="3"/>
        <v>1</v>
      </c>
      <c r="AB27" s="912">
        <f t="shared" si="4"/>
        <v>1</v>
      </c>
      <c r="AC27" s="1263">
        <f t="shared" si="5"/>
        <v>1</v>
      </c>
    </row>
    <row r="28" spans="1:29" s="682" customFormat="1" ht="15">
      <c r="A28" s="726"/>
      <c r="B28" s="746" t="s">
        <v>1714</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8"/>
      <c r="Q28" s="900" t="str">
        <f t="shared" si="11"/>
        <v>朝向</v>
      </c>
      <c r="R28" s="896" t="s">
        <v>1697</v>
      </c>
      <c r="S28" s="897">
        <f>F28</f>
        <v>100</v>
      </c>
      <c r="T28" s="896" t="s">
        <v>1697</v>
      </c>
      <c r="U28" s="897">
        <f>H28</f>
        <v>100</v>
      </c>
      <c r="V28" s="896" t="s">
        <v>1697</v>
      </c>
      <c r="W28" s="897">
        <f>J28</f>
        <v>100</v>
      </c>
      <c r="X28" s="898"/>
      <c r="Y28" s="3663"/>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8"/>
      <c r="Q29" s="819">
        <f t="shared" si="11"/>
        <v>111</v>
      </c>
      <c r="R29" s="901" t="s">
        <v>1697</v>
      </c>
      <c r="S29" s="902">
        <f t="shared" ref="S29:S47" si="12">F29</f>
        <v>100</v>
      </c>
      <c r="T29" s="901" t="s">
        <v>1697</v>
      </c>
      <c r="U29" s="902">
        <f t="shared" ref="U29:U47" si="13">H29</f>
        <v>100</v>
      </c>
      <c r="V29" s="901" t="s">
        <v>1697</v>
      </c>
      <c r="W29" s="902">
        <f t="shared" ref="W29:W47" si="14">J29</f>
        <v>100</v>
      </c>
      <c r="X29" s="895"/>
      <c r="Y29" s="3663"/>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8"/>
      <c r="Q30" s="819">
        <f t="shared" si="11"/>
        <v>111</v>
      </c>
      <c r="R30" s="901" t="s">
        <v>1697</v>
      </c>
      <c r="S30" s="902">
        <f t="shared" si="12"/>
        <v>100</v>
      </c>
      <c r="T30" s="901" t="s">
        <v>1697</v>
      </c>
      <c r="U30" s="902">
        <f t="shared" si="13"/>
        <v>100</v>
      </c>
      <c r="V30" s="901" t="s">
        <v>1697</v>
      </c>
      <c r="W30" s="902">
        <f t="shared" si="14"/>
        <v>100</v>
      </c>
      <c r="X30" s="895"/>
      <c r="Y30" s="3663"/>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8"/>
      <c r="Q31" s="819">
        <f t="shared" si="11"/>
        <v>111</v>
      </c>
      <c r="R31" s="901" t="s">
        <v>1697</v>
      </c>
      <c r="S31" s="902">
        <f t="shared" si="12"/>
        <v>100</v>
      </c>
      <c r="T31" s="901" t="s">
        <v>1697</v>
      </c>
      <c r="U31" s="902">
        <f t="shared" si="13"/>
        <v>100</v>
      </c>
      <c r="V31" s="901" t="s">
        <v>1697</v>
      </c>
      <c r="W31" s="902">
        <f t="shared" si="14"/>
        <v>100</v>
      </c>
      <c r="X31" s="895"/>
      <c r="Y31" s="3663"/>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8"/>
      <c r="Q32" s="819">
        <f t="shared" si="11"/>
        <v>111</v>
      </c>
      <c r="R32" s="901" t="s">
        <v>1697</v>
      </c>
      <c r="S32" s="902">
        <f t="shared" si="12"/>
        <v>100</v>
      </c>
      <c r="T32" s="901" t="s">
        <v>1697</v>
      </c>
      <c r="U32" s="902">
        <f t="shared" si="13"/>
        <v>100</v>
      </c>
      <c r="V32" s="901" t="s">
        <v>1697</v>
      </c>
      <c r="W32" s="902">
        <f t="shared" si="14"/>
        <v>100</v>
      </c>
      <c r="X32" s="895"/>
      <c r="Y32" s="3663"/>
      <c r="Z32" s="884">
        <f t="shared" si="15"/>
        <v>111</v>
      </c>
      <c r="AA32" s="912">
        <f t="shared" si="3"/>
        <v>1</v>
      </c>
      <c r="AB32" s="912">
        <f t="shared" si="4"/>
        <v>1</v>
      </c>
      <c r="AC32" s="1263">
        <f t="shared" si="5"/>
        <v>1</v>
      </c>
    </row>
    <row r="33" spans="1:29" ht="15">
      <c r="A33" s="737" t="s">
        <v>1715</v>
      </c>
      <c r="B33" s="716" t="s">
        <v>1716</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59" t="s">
        <v>1717</v>
      </c>
      <c r="Q33" s="819" t="str">
        <f t="shared" si="11"/>
        <v>建筑类型</v>
      </c>
      <c r="R33" s="901" t="s">
        <v>1697</v>
      </c>
      <c r="S33" s="902">
        <f t="shared" si="12"/>
        <v>100</v>
      </c>
      <c r="T33" s="901" t="s">
        <v>1697</v>
      </c>
      <c r="U33" s="902">
        <f t="shared" si="13"/>
        <v>100</v>
      </c>
      <c r="V33" s="901" t="s">
        <v>1697</v>
      </c>
      <c r="W33" s="902">
        <f t="shared" si="14"/>
        <v>100</v>
      </c>
      <c r="X33" s="895"/>
      <c r="Y33" s="3664" t="s">
        <v>1717</v>
      </c>
      <c r="Z33" s="884" t="str">
        <f t="shared" si="15"/>
        <v>建筑类型</v>
      </c>
      <c r="AA33" s="912">
        <f t="shared" si="3"/>
        <v>1</v>
      </c>
      <c r="AB33" s="912">
        <f t="shared" si="4"/>
        <v>1</v>
      </c>
      <c r="AC33" s="1263">
        <f t="shared" si="5"/>
        <v>1</v>
      </c>
    </row>
    <row r="34" spans="1:29" s="684" customFormat="1" ht="15">
      <c r="A34" s="777"/>
      <c r="B34" s="720" t="s">
        <v>1718</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60"/>
      <c r="Q34" s="1136" t="str">
        <f t="shared" si="11"/>
        <v>项目建筑规模</v>
      </c>
      <c r="R34" s="903" t="s">
        <v>1697</v>
      </c>
      <c r="S34" s="904" t="e">
        <f t="shared" si="12"/>
        <v>#N/A</v>
      </c>
      <c r="T34" s="903" t="s">
        <v>1697</v>
      </c>
      <c r="U34" s="904" t="e">
        <f t="shared" si="13"/>
        <v>#N/A</v>
      </c>
      <c r="V34" s="903" t="s">
        <v>1697</v>
      </c>
      <c r="W34" s="904" t="e">
        <f t="shared" si="14"/>
        <v>#N/A</v>
      </c>
      <c r="X34" s="905"/>
      <c r="Y34" s="3664"/>
      <c r="Z34" s="913" t="str">
        <f t="shared" si="15"/>
        <v>项目建筑规模</v>
      </c>
      <c r="AA34" s="912" t="e">
        <f t="shared" si="3"/>
        <v>#N/A</v>
      </c>
      <c r="AB34" s="912" t="e">
        <f t="shared" si="4"/>
        <v>#N/A</v>
      </c>
      <c r="AC34" s="1263" t="e">
        <f t="shared" si="5"/>
        <v>#N/A</v>
      </c>
    </row>
    <row r="35" spans="1:29" ht="15">
      <c r="A35" s="772"/>
      <c r="B35" s="720" t="s">
        <v>1719</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60"/>
      <c r="Q35" s="819" t="str">
        <f t="shared" si="11"/>
        <v>建筑结构</v>
      </c>
      <c r="R35" s="901" t="s">
        <v>1697</v>
      </c>
      <c r="S35" s="902">
        <f t="shared" si="12"/>
        <v>100</v>
      </c>
      <c r="T35" s="901" t="s">
        <v>1697</v>
      </c>
      <c r="U35" s="902">
        <f t="shared" si="13"/>
        <v>100</v>
      </c>
      <c r="V35" s="901" t="s">
        <v>1697</v>
      </c>
      <c r="W35" s="902">
        <f t="shared" si="14"/>
        <v>100</v>
      </c>
      <c r="X35" s="895"/>
      <c r="Y35" s="3664"/>
      <c r="Z35" s="884" t="str">
        <f t="shared" si="15"/>
        <v>建筑结构</v>
      </c>
      <c r="AA35" s="912">
        <f t="shared" si="3"/>
        <v>1</v>
      </c>
      <c r="AB35" s="912">
        <f t="shared" si="4"/>
        <v>1</v>
      </c>
      <c r="AC35" s="1263">
        <f t="shared" si="5"/>
        <v>1</v>
      </c>
    </row>
    <row r="36" spans="1:29" ht="15">
      <c r="A36" s="772"/>
      <c r="B36" s="720" t="s">
        <v>1721</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60"/>
      <c r="Q36" s="819" t="str">
        <f t="shared" si="11"/>
        <v>公共部分装修</v>
      </c>
      <c r="R36" s="901" t="s">
        <v>1697</v>
      </c>
      <c r="S36" s="902">
        <f t="shared" si="12"/>
        <v>100</v>
      </c>
      <c r="T36" s="901" t="s">
        <v>1697</v>
      </c>
      <c r="U36" s="902">
        <f t="shared" si="13"/>
        <v>100</v>
      </c>
      <c r="V36" s="901" t="s">
        <v>1697</v>
      </c>
      <c r="W36" s="902">
        <f t="shared" si="14"/>
        <v>100</v>
      </c>
      <c r="X36" s="895"/>
      <c r="Y36" s="3664"/>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60"/>
      <c r="Q37" s="819" t="str">
        <f t="shared" si="11"/>
        <v>成新度</v>
      </c>
      <c r="R37" s="901" t="s">
        <v>1697</v>
      </c>
      <c r="S37" s="902" t="e">
        <f t="shared" si="12"/>
        <v>#N/A</v>
      </c>
      <c r="T37" s="901" t="s">
        <v>1697</v>
      </c>
      <c r="U37" s="902" t="e">
        <f t="shared" si="13"/>
        <v>#N/A</v>
      </c>
      <c r="V37" s="901" t="s">
        <v>1697</v>
      </c>
      <c r="W37" s="902" t="e">
        <f t="shared" si="14"/>
        <v>#N/A</v>
      </c>
      <c r="X37" s="895"/>
      <c r="Y37" s="3664"/>
      <c r="Z37" s="884" t="str">
        <f t="shared" si="15"/>
        <v>成新度</v>
      </c>
      <c r="AA37" s="912" t="e">
        <f t="shared" si="3"/>
        <v>#N/A</v>
      </c>
      <c r="AB37" s="912" t="e">
        <f t="shared" si="4"/>
        <v>#N/A</v>
      </c>
      <c r="AC37" s="1263" t="e">
        <f t="shared" si="5"/>
        <v>#N/A</v>
      </c>
    </row>
    <row r="38" spans="1:29" s="682" customFormat="1" ht="15">
      <c r="A38" s="774"/>
      <c r="B38" s="720" t="s">
        <v>1783</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60"/>
      <c r="Q38" s="900" t="str">
        <f t="shared" si="11"/>
        <v>写字楼等级</v>
      </c>
      <c r="R38" s="896" t="s">
        <v>1697</v>
      </c>
      <c r="S38" s="897">
        <f t="shared" si="12"/>
        <v>100</v>
      </c>
      <c r="T38" s="896" t="s">
        <v>1697</v>
      </c>
      <c r="U38" s="897">
        <f t="shared" si="13"/>
        <v>100</v>
      </c>
      <c r="V38" s="896" t="s">
        <v>1697</v>
      </c>
      <c r="W38" s="897">
        <f t="shared" si="14"/>
        <v>100</v>
      </c>
      <c r="X38" s="898"/>
      <c r="Y38" s="3664"/>
      <c r="Z38" s="911" t="str">
        <f t="shared" si="15"/>
        <v>写字楼等级</v>
      </c>
      <c r="AA38" s="910">
        <f t="shared" si="3"/>
        <v>1</v>
      </c>
      <c r="AB38" s="910">
        <f t="shared" si="4"/>
        <v>1</v>
      </c>
      <c r="AC38" s="1262">
        <f t="shared" si="5"/>
        <v>1</v>
      </c>
    </row>
    <row r="39" spans="1:29" ht="15">
      <c r="A39" s="772"/>
      <c r="B39" s="720" t="s">
        <v>1722</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60" t="s">
        <v>1717</v>
      </c>
      <c r="Q39" s="819" t="str">
        <f t="shared" si="11"/>
        <v>物业管理</v>
      </c>
      <c r="R39" s="901" t="s">
        <v>1697</v>
      </c>
      <c r="S39" s="902">
        <f t="shared" si="12"/>
        <v>100</v>
      </c>
      <c r="T39" s="901" t="s">
        <v>1697</v>
      </c>
      <c r="U39" s="902">
        <f t="shared" si="13"/>
        <v>100</v>
      </c>
      <c r="V39" s="901" t="s">
        <v>1697</v>
      </c>
      <c r="W39" s="902">
        <f t="shared" si="14"/>
        <v>100</v>
      </c>
      <c r="X39" s="895"/>
      <c r="Y39" s="3664" t="s">
        <v>1717</v>
      </c>
      <c r="Z39" s="884" t="str">
        <f t="shared" si="15"/>
        <v>物业管理</v>
      </c>
      <c r="AA39" s="912">
        <f t="shared" si="3"/>
        <v>1</v>
      </c>
      <c r="AB39" s="912">
        <f t="shared" si="4"/>
        <v>1</v>
      </c>
      <c r="AC39" s="1263">
        <f t="shared" si="5"/>
        <v>1</v>
      </c>
    </row>
    <row r="40" spans="1:29" ht="15">
      <c r="A40" s="772"/>
      <c r="B40" s="720" t="s">
        <v>1723</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60"/>
      <c r="Q40" s="819" t="str">
        <f t="shared" si="11"/>
        <v>市政基础设施</v>
      </c>
      <c r="R40" s="901" t="s">
        <v>1697</v>
      </c>
      <c r="S40" s="902">
        <f t="shared" si="12"/>
        <v>100</v>
      </c>
      <c r="T40" s="901" t="s">
        <v>1697</v>
      </c>
      <c r="U40" s="902">
        <f t="shared" si="13"/>
        <v>100</v>
      </c>
      <c r="V40" s="901" t="s">
        <v>1697</v>
      </c>
      <c r="W40" s="902">
        <f t="shared" si="14"/>
        <v>100</v>
      </c>
      <c r="X40" s="895"/>
      <c r="Y40" s="3664"/>
      <c r="Z40" s="884" t="str">
        <f t="shared" si="15"/>
        <v>市政基础设施</v>
      </c>
      <c r="AA40" s="912">
        <f t="shared" si="3"/>
        <v>1</v>
      </c>
      <c r="AB40" s="912">
        <f t="shared" si="4"/>
        <v>1</v>
      </c>
      <c r="AC40" s="1263">
        <f t="shared" si="5"/>
        <v>1</v>
      </c>
    </row>
    <row r="41" spans="1:29" ht="15">
      <c r="A41" s="772"/>
      <c r="B41" s="720" t="s">
        <v>1775</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60"/>
      <c r="Q41" s="819" t="str">
        <f t="shared" si="11"/>
        <v>层高</v>
      </c>
      <c r="R41" s="901" t="s">
        <v>1697</v>
      </c>
      <c r="S41" s="902">
        <f t="shared" si="12"/>
        <v>100</v>
      </c>
      <c r="T41" s="901" t="s">
        <v>1697</v>
      </c>
      <c r="U41" s="902">
        <f t="shared" si="13"/>
        <v>100</v>
      </c>
      <c r="V41" s="901" t="s">
        <v>1697</v>
      </c>
      <c r="W41" s="902">
        <f t="shared" si="14"/>
        <v>100</v>
      </c>
      <c r="X41" s="895"/>
      <c r="Y41" s="3664"/>
      <c r="Z41" s="884" t="str">
        <f t="shared" si="15"/>
        <v>层高</v>
      </c>
      <c r="AA41" s="912">
        <f t="shared" si="3"/>
        <v>1</v>
      </c>
      <c r="AB41" s="912">
        <f t="shared" si="4"/>
        <v>1</v>
      </c>
      <c r="AC41" s="1263">
        <f t="shared" si="5"/>
        <v>1</v>
      </c>
    </row>
    <row r="42" spans="1:29" s="684" customFormat="1" ht="15">
      <c r="A42" s="777"/>
      <c r="B42" s="879" t="s">
        <v>1784</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60"/>
      <c r="Q42" s="1136" t="str">
        <f t="shared" si="11"/>
        <v>单套建筑面积</v>
      </c>
      <c r="R42" s="903" t="s">
        <v>1697</v>
      </c>
      <c r="S42" s="904">
        <f t="shared" si="12"/>
        <v>100</v>
      </c>
      <c r="T42" s="903" t="s">
        <v>1697</v>
      </c>
      <c r="U42" s="904">
        <f t="shared" si="13"/>
        <v>100</v>
      </c>
      <c r="V42" s="903" t="s">
        <v>1697</v>
      </c>
      <c r="W42" s="904">
        <f t="shared" si="14"/>
        <v>100</v>
      </c>
      <c r="X42" s="905"/>
      <c r="Y42" s="3664"/>
      <c r="Z42" s="913" t="str">
        <f t="shared" si="15"/>
        <v>单套建筑面积</v>
      </c>
      <c r="AA42" s="912">
        <f t="shared" si="3"/>
        <v>1</v>
      </c>
      <c r="AB42" s="912">
        <f t="shared" si="4"/>
        <v>1</v>
      </c>
      <c r="AC42" s="1263">
        <f t="shared" si="5"/>
        <v>1</v>
      </c>
    </row>
    <row r="43" spans="1:29" ht="15">
      <c r="A43" s="772"/>
      <c r="B43" s="720" t="s">
        <v>1726</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60"/>
      <c r="Q43" s="819" t="str">
        <f t="shared" si="11"/>
        <v>内部装修</v>
      </c>
      <c r="R43" s="901" t="s">
        <v>1697</v>
      </c>
      <c r="S43" s="902">
        <f t="shared" si="12"/>
        <v>100</v>
      </c>
      <c r="T43" s="901" t="s">
        <v>1697</v>
      </c>
      <c r="U43" s="902">
        <f t="shared" si="13"/>
        <v>100</v>
      </c>
      <c r="V43" s="901" t="s">
        <v>1697</v>
      </c>
      <c r="W43" s="902">
        <f t="shared" si="14"/>
        <v>100</v>
      </c>
      <c r="X43" s="895"/>
      <c r="Y43" s="3664"/>
      <c r="Z43" s="884" t="str">
        <f t="shared" si="15"/>
        <v>内部装修</v>
      </c>
      <c r="AA43" s="912">
        <f t="shared" si="3"/>
        <v>1</v>
      </c>
      <c r="AB43" s="912">
        <f t="shared" si="4"/>
        <v>1</v>
      </c>
      <c r="AC43" s="1263">
        <f t="shared" si="5"/>
        <v>1</v>
      </c>
    </row>
    <row r="44" spans="1:29" ht="15">
      <c r="A44" s="772"/>
      <c r="B44" s="720" t="s">
        <v>1727</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60"/>
      <c r="Q44" s="819" t="str">
        <f t="shared" si="11"/>
        <v>内部装修维护情况</v>
      </c>
      <c r="R44" s="901" t="s">
        <v>1697</v>
      </c>
      <c r="S44" s="902">
        <f t="shared" si="12"/>
        <v>100</v>
      </c>
      <c r="T44" s="901" t="s">
        <v>1697</v>
      </c>
      <c r="U44" s="902">
        <f t="shared" si="13"/>
        <v>100</v>
      </c>
      <c r="V44" s="901" t="s">
        <v>1697</v>
      </c>
      <c r="W44" s="902">
        <f t="shared" si="14"/>
        <v>100</v>
      </c>
      <c r="X44" s="895"/>
      <c r="Y44" s="3664"/>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60"/>
      <c r="Q45" s="900">
        <f t="shared" si="11"/>
        <v>111</v>
      </c>
      <c r="R45" s="896" t="s">
        <v>1697</v>
      </c>
      <c r="S45" s="897">
        <f t="shared" si="12"/>
        <v>100</v>
      </c>
      <c r="T45" s="896" t="s">
        <v>1697</v>
      </c>
      <c r="U45" s="897">
        <f t="shared" si="13"/>
        <v>100</v>
      </c>
      <c r="V45" s="896" t="s">
        <v>1697</v>
      </c>
      <c r="W45" s="897">
        <f t="shared" si="14"/>
        <v>100</v>
      </c>
      <c r="X45" s="898"/>
      <c r="Y45" s="3664"/>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60"/>
      <c r="Q46" s="819">
        <f t="shared" si="11"/>
        <v>111</v>
      </c>
      <c r="R46" s="901" t="s">
        <v>1697</v>
      </c>
      <c r="S46" s="902">
        <f t="shared" si="12"/>
        <v>100</v>
      </c>
      <c r="T46" s="901" t="s">
        <v>1697</v>
      </c>
      <c r="U46" s="902">
        <f t="shared" si="13"/>
        <v>100</v>
      </c>
      <c r="V46" s="901" t="s">
        <v>1697</v>
      </c>
      <c r="W46" s="902">
        <f t="shared" si="14"/>
        <v>100</v>
      </c>
      <c r="X46" s="895"/>
      <c r="Y46" s="3664"/>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61"/>
      <c r="Q47" s="819">
        <f t="shared" si="11"/>
        <v>111</v>
      </c>
      <c r="R47" s="901" t="s">
        <v>1697</v>
      </c>
      <c r="S47" s="902">
        <f t="shared" si="12"/>
        <v>100</v>
      </c>
      <c r="T47" s="901" t="s">
        <v>1697</v>
      </c>
      <c r="U47" s="902">
        <f t="shared" si="13"/>
        <v>100</v>
      </c>
      <c r="V47" s="901" t="s">
        <v>1697</v>
      </c>
      <c r="W47" s="902">
        <f t="shared" si="14"/>
        <v>100</v>
      </c>
      <c r="X47" s="895"/>
      <c r="Y47" s="3665"/>
      <c r="Z47" s="884">
        <f t="shared" si="15"/>
        <v>111</v>
      </c>
      <c r="AA47" s="912">
        <f t="shared" si="3"/>
        <v>1</v>
      </c>
      <c r="AB47" s="912">
        <f t="shared" si="4"/>
        <v>1</v>
      </c>
      <c r="AC47" s="1263">
        <f t="shared" si="5"/>
        <v>1</v>
      </c>
    </row>
    <row r="48" spans="1:29" ht="15">
      <c r="A48" s="779" t="s">
        <v>1728</v>
      </c>
      <c r="B48" s="1111"/>
      <c r="C48" s="1112" t="s">
        <v>124</v>
      </c>
      <c r="D48" s="1113"/>
      <c r="E48" s="1114"/>
      <c r="F48" s="1115"/>
      <c r="G48" s="1116"/>
      <c r="H48" s="1117"/>
      <c r="I48" s="1114"/>
      <c r="J48" s="786"/>
      <c r="K48" s="875"/>
      <c r="L48" s="876"/>
      <c r="M48" s="853"/>
      <c r="N48" s="853"/>
      <c r="O48" s="853"/>
      <c r="P48" s="3656" t="str">
        <f>A48</f>
        <v>成交单价（元/平方米）</v>
      </c>
      <c r="Q48" s="3649"/>
      <c r="R48" s="3650">
        <f>E48</f>
        <v>0</v>
      </c>
      <c r="S48" s="3650"/>
      <c r="T48" s="3650">
        <f>G48</f>
        <v>0</v>
      </c>
      <c r="U48" s="3650"/>
      <c r="V48" s="3650">
        <f>I48</f>
        <v>0</v>
      </c>
      <c r="W48" s="3650"/>
      <c r="X48" s="1038"/>
      <c r="Y48" s="914"/>
      <c r="Z48" s="1038"/>
      <c r="AA48" s="1038"/>
      <c r="AB48" s="1038"/>
      <c r="AC48" s="742"/>
    </row>
    <row r="49" spans="1:29" ht="15">
      <c r="A49" s="787" t="s">
        <v>1729</v>
      </c>
      <c r="B49" s="1118"/>
      <c r="C49" s="1119" t="e">
        <f>R50</f>
        <v>#DIV/0!</v>
      </c>
      <c r="D49" s="790" t="s">
        <v>1730</v>
      </c>
      <c r="E49" s="1120" t="e">
        <f>R49</f>
        <v>#DIV/0!</v>
      </c>
      <c r="F49" s="791"/>
      <c r="G49" s="1119" t="e">
        <f>T49</f>
        <v>#DIV/0!</v>
      </c>
      <c r="H49" s="791"/>
      <c r="I49" s="1120" t="e">
        <f>V49</f>
        <v>#DIV/0!</v>
      </c>
      <c r="J49" s="791"/>
      <c r="K49" s="877">
        <f>F49+H49+J49</f>
        <v>0</v>
      </c>
      <c r="L49" s="876"/>
      <c r="M49" s="853"/>
      <c r="N49" s="853"/>
      <c r="O49" s="853"/>
      <c r="P49" s="3656"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038"/>
      <c r="Y49" s="1038"/>
      <c r="Z49" s="1038"/>
      <c r="AA49" s="1038"/>
      <c r="AB49" s="1038"/>
      <c r="AC49" s="742"/>
    </row>
    <row r="50" spans="1:29" ht="15">
      <c r="A50" s="793" t="s">
        <v>1731</v>
      </c>
      <c r="B50" s="794"/>
      <c r="C50" s="1121" t="e">
        <f>R50</f>
        <v>#DIV/0!</v>
      </c>
      <c r="D50" s="1121"/>
      <c r="E50" s="1121"/>
      <c r="F50" s="1121"/>
      <c r="G50" s="1121"/>
      <c r="H50" s="1121"/>
      <c r="I50" s="1121"/>
      <c r="J50" s="795"/>
      <c r="K50" s="878"/>
      <c r="L50" s="876"/>
      <c r="M50" s="853"/>
      <c r="N50" s="853"/>
      <c r="O50" s="853"/>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1732</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1733</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1734</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1735</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1695</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1736</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1698</v>
      </c>
      <c r="B62" s="927"/>
      <c r="C62" s="928" t="s">
        <v>1737</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1738</v>
      </c>
      <c r="B64" s="933" t="s">
        <v>1701</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1704</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1705</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1706</v>
      </c>
      <c r="B77" s="933" t="s">
        <v>1780</v>
      </c>
      <c r="C77" s="955" t="s">
        <v>1490</v>
      </c>
      <c r="D77" s="955" t="s">
        <v>1491</v>
      </c>
      <c r="E77" s="955" t="s">
        <v>1492</v>
      </c>
      <c r="F77" s="955" t="s">
        <v>1493</v>
      </c>
      <c r="G77" s="955" t="s">
        <v>1494</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1709</v>
      </c>
      <c r="C79" s="957" t="s">
        <v>1490</v>
      </c>
      <c r="D79" s="957" t="s">
        <v>1491</v>
      </c>
      <c r="E79" s="957" t="s">
        <v>1492</v>
      </c>
      <c r="F79" s="957" t="s">
        <v>1493</v>
      </c>
      <c r="G79" s="957" t="s">
        <v>1494</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1710</v>
      </c>
      <c r="C81" s="957" t="s">
        <v>1490</v>
      </c>
      <c r="D81" s="957" t="s">
        <v>1491</v>
      </c>
      <c r="E81" s="957" t="s">
        <v>1492</v>
      </c>
      <c r="F81" s="957" t="s">
        <v>1493</v>
      </c>
      <c r="G81" s="957" t="s">
        <v>1494</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1711</v>
      </c>
      <c r="C83" s="962" t="s">
        <v>1739</v>
      </c>
      <c r="D83" s="962" t="s">
        <v>1740</v>
      </c>
      <c r="E83" s="962" t="s">
        <v>1741</v>
      </c>
      <c r="F83" s="962" t="s">
        <v>1742</v>
      </c>
      <c r="G83" s="962" t="s">
        <v>1743</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1781</v>
      </c>
      <c r="C85" s="957" t="s">
        <v>1490</v>
      </c>
      <c r="D85" s="957" t="s">
        <v>1491</v>
      </c>
      <c r="E85" s="957" t="s">
        <v>1492</v>
      </c>
      <c r="F85" s="957" t="s">
        <v>1493</v>
      </c>
      <c r="G85" s="957" t="s">
        <v>1494</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1782</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1715</v>
      </c>
      <c r="B101" s="933" t="s">
        <v>1716</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1718</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1719</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1721</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1783</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1722</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1723</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1785</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1776</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1726</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1727</v>
      </c>
      <c r="C125" s="957" t="s">
        <v>1490</v>
      </c>
      <c r="D125" s="957" t="s">
        <v>1491</v>
      </c>
      <c r="E125" s="957" t="s">
        <v>1492</v>
      </c>
      <c r="F125" s="957" t="s">
        <v>1493</v>
      </c>
      <c r="G125" s="957" t="s">
        <v>1494</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估价对象为北京市房地产，为所有。根据《国有土地使用证》[]，估价对象（分摊）出让国有建设用地使用权面积为0平方米，建筑面积为1851.14平方米。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估价对象为北京市房地产,属开发建设的商业项目，该项目尚在开发建设中。根据《国有土地使用证》[]，估价对象（分摊）出让国有建设用地使用权面积为0平方米，规划建筑面积为1851.14平方米。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2024年9月5日（评估专业人员实地查勘之日）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1678</v>
      </c>
      <c r="B1" s="1207" t="s">
        <v>1786</v>
      </c>
      <c r="C1" s="1073" t="s">
        <v>1680</v>
      </c>
      <c r="D1" s="1074"/>
      <c r="E1" s="1075"/>
      <c r="F1" s="1076"/>
      <c r="G1" s="1077" t="s">
        <v>1681</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988</v>
      </c>
      <c r="B3" s="699">
        <f>IF(C2="——",C43,ROUND(B2*10000/D3,0))</f>
        <v>0</v>
      </c>
      <c r="C3" s="1084" t="s">
        <v>1333</v>
      </c>
      <c r="D3" s="1085">
        <f>IF(D1="",'数据-汇总表'!E3,SUMIF('数据-汇总表'!$C19:$C33,D1,'数据-汇总表'!$E19:$E33))</f>
        <v>1851.14</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1682</v>
      </c>
      <c r="B4" s="702"/>
      <c r="C4" s="3671" t="s">
        <v>1683</v>
      </c>
      <c r="D4" s="3672"/>
      <c r="E4" s="3673" t="s">
        <v>1684</v>
      </c>
      <c r="F4" s="3674"/>
      <c r="G4" s="3671" t="s">
        <v>1685</v>
      </c>
      <c r="H4" s="3672"/>
      <c r="I4" s="3671" t="s">
        <v>1686</v>
      </c>
      <c r="J4" s="3672"/>
      <c r="K4" s="851" t="s">
        <v>1687</v>
      </c>
      <c r="L4" s="1213"/>
      <c r="M4" s="1214"/>
      <c r="N4" s="1214"/>
      <c r="O4" s="1214"/>
      <c r="P4" s="3637" t="s">
        <v>1688</v>
      </c>
      <c r="Q4" s="3638"/>
      <c r="R4" s="3643" t="s">
        <v>1684</v>
      </c>
      <c r="S4" s="3644"/>
      <c r="T4" s="3643" t="s">
        <v>1685</v>
      </c>
      <c r="U4" s="3644"/>
      <c r="V4" s="3636" t="s">
        <v>1686</v>
      </c>
      <c r="W4" s="3636"/>
      <c r="X4" s="895"/>
      <c r="Y4" s="3643" t="s">
        <v>1688</v>
      </c>
      <c r="Z4" s="3644"/>
      <c r="AA4" s="3633" t="s">
        <v>1684</v>
      </c>
      <c r="AB4" s="3634" t="s">
        <v>1685</v>
      </c>
      <c r="AC4" s="3633" t="s">
        <v>1686</v>
      </c>
    </row>
    <row r="5" spans="1:29" ht="15">
      <c r="A5" s="703"/>
      <c r="B5" s="704"/>
      <c r="C5" s="3675" t="s">
        <v>1689</v>
      </c>
      <c r="D5" s="3676"/>
      <c r="E5" s="3677" t="s">
        <v>1690</v>
      </c>
      <c r="F5" s="3678"/>
      <c r="G5" s="3675" t="s">
        <v>1691</v>
      </c>
      <c r="H5" s="3676"/>
      <c r="I5" s="3675" t="s">
        <v>1692</v>
      </c>
      <c r="J5" s="3676"/>
      <c r="K5" s="851"/>
      <c r="L5" s="1213"/>
      <c r="M5" s="1214"/>
      <c r="N5" s="1214"/>
      <c r="O5" s="1214"/>
      <c r="P5" s="3639"/>
      <c r="Q5" s="3640"/>
      <c r="R5" s="3645"/>
      <c r="S5" s="3646"/>
      <c r="T5" s="3645"/>
      <c r="U5" s="3646"/>
      <c r="V5" s="3636"/>
      <c r="W5" s="3636"/>
      <c r="X5" s="895"/>
      <c r="Y5" s="3645"/>
      <c r="Z5" s="3646"/>
      <c r="AA5" s="3634"/>
      <c r="AB5" s="3634"/>
      <c r="AC5" s="3634"/>
    </row>
    <row r="6" spans="1:29" ht="15">
      <c r="A6" s="705"/>
      <c r="B6" s="706"/>
      <c r="C6" s="3666" t="s">
        <v>1693</v>
      </c>
      <c r="D6" s="3667"/>
      <c r="E6" s="3668" t="s">
        <v>1693</v>
      </c>
      <c r="F6" s="3669"/>
      <c r="G6" s="3666" t="s">
        <v>1693</v>
      </c>
      <c r="H6" s="3667"/>
      <c r="I6" s="3666" t="s">
        <v>1693</v>
      </c>
      <c r="J6" s="3667"/>
      <c r="K6" s="851" t="s">
        <v>1694</v>
      </c>
      <c r="L6" s="1213"/>
      <c r="M6" s="1214"/>
      <c r="N6" s="1214"/>
      <c r="O6" s="1214"/>
      <c r="P6" s="3641"/>
      <c r="Q6" s="3642"/>
      <c r="R6" s="3645"/>
      <c r="S6" s="3646"/>
      <c r="T6" s="3647"/>
      <c r="U6" s="3648"/>
      <c r="V6" s="3636"/>
      <c r="W6" s="3636"/>
      <c r="X6" s="895"/>
      <c r="Y6" s="3647"/>
      <c r="Z6" s="3648"/>
      <c r="AA6" s="3635"/>
      <c r="AB6" s="3635"/>
      <c r="AC6" s="3635"/>
    </row>
    <row r="7" spans="1:29" s="682" customFormat="1" ht="15">
      <c r="A7" s="707" t="s">
        <v>1695</v>
      </c>
      <c r="B7" s="708"/>
      <c r="C7" s="709">
        <f>'数据-取费表'!B2</f>
        <v>45540</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54" t="s">
        <v>1696</v>
      </c>
      <c r="Q7" s="3670"/>
      <c r="R7" s="896" t="s">
        <v>1697</v>
      </c>
      <c r="S7" s="897">
        <f t="shared" ref="S7:S15" si="0">F7</f>
        <v>0</v>
      </c>
      <c r="T7" s="896" t="s">
        <v>1697</v>
      </c>
      <c r="U7" s="897">
        <f t="shared" ref="U7:U15" si="1">H7</f>
        <v>0</v>
      </c>
      <c r="V7" s="896" t="s">
        <v>1697</v>
      </c>
      <c r="W7" s="897">
        <f t="shared" ref="W7:W15" si="2">J7</f>
        <v>0</v>
      </c>
      <c r="X7" s="898"/>
      <c r="Y7" s="3654" t="s">
        <v>1696</v>
      </c>
      <c r="Z7" s="3655"/>
      <c r="AA7" s="910" t="e">
        <f>D7/F7</f>
        <v>#DIV/0!</v>
      </c>
      <c r="AB7" s="910" t="e">
        <f>D7/H7</f>
        <v>#DIV/0!</v>
      </c>
      <c r="AC7" s="910" t="e">
        <f>D7/J7</f>
        <v>#DIV/0!</v>
      </c>
    </row>
    <row r="8" spans="1:29" s="682" customFormat="1" ht="15">
      <c r="A8" s="707" t="s">
        <v>1698</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54" t="s">
        <v>1699</v>
      </c>
      <c r="Q8" s="3655"/>
      <c r="R8" s="896" t="s">
        <v>1697</v>
      </c>
      <c r="S8" s="897">
        <f t="shared" si="0"/>
        <v>100</v>
      </c>
      <c r="T8" s="896" t="s">
        <v>1697</v>
      </c>
      <c r="U8" s="897">
        <f t="shared" si="1"/>
        <v>100</v>
      </c>
      <c r="V8" s="896" t="s">
        <v>1697</v>
      </c>
      <c r="W8" s="897">
        <f t="shared" si="2"/>
        <v>100</v>
      </c>
      <c r="X8" s="898"/>
      <c r="Y8" s="3654" t="s">
        <v>1699</v>
      </c>
      <c r="Z8" s="3655"/>
      <c r="AA8" s="910">
        <f t="shared" ref="AA8:AA40" si="3">D8/F8</f>
        <v>1</v>
      </c>
      <c r="AB8" s="910">
        <f t="shared" ref="AB8:AB40" si="4">D8/H8</f>
        <v>1</v>
      </c>
      <c r="AC8" s="910">
        <f t="shared" ref="AC8:AC40" si="5">D8/J8</f>
        <v>1</v>
      </c>
    </row>
    <row r="9" spans="1:29" s="682" customFormat="1">
      <c r="A9" s="715" t="s">
        <v>1700</v>
      </c>
      <c r="B9" s="716" t="s">
        <v>1701</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9"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910">
        <f t="shared" si="5"/>
        <v>1</v>
      </c>
    </row>
    <row r="10" spans="1:29" s="683" customFormat="1" ht="27">
      <c r="A10" s="719"/>
      <c r="B10" s="720" t="s">
        <v>1704</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9"/>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910">
        <f t="shared" si="5"/>
        <v>1</v>
      </c>
    </row>
    <row r="11" spans="1:29" ht="15">
      <c r="A11" s="723"/>
      <c r="B11" s="720" t="s">
        <v>1705</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9"/>
      <c r="Q11" s="900" t="str">
        <f t="shared" si="6"/>
        <v>容积率</v>
      </c>
      <c r="R11" s="896" t="s">
        <v>1697</v>
      </c>
      <c r="S11" s="897">
        <f t="shared" si="0"/>
        <v>100</v>
      </c>
      <c r="T11" s="896" t="s">
        <v>1697</v>
      </c>
      <c r="U11" s="897">
        <f t="shared" si="1"/>
        <v>100</v>
      </c>
      <c r="V11" s="896" t="s">
        <v>1697</v>
      </c>
      <c r="W11" s="897">
        <f t="shared" si="2"/>
        <v>100</v>
      </c>
      <c r="X11" s="898"/>
      <c r="Y11" s="3545"/>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9"/>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9"/>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9"/>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910">
        <f t="shared" si="5"/>
        <v>1</v>
      </c>
    </row>
    <row r="15" spans="1:29" ht="57">
      <c r="A15" s="737" t="s">
        <v>1706</v>
      </c>
      <c r="B15" s="1036" t="s">
        <v>1787</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62" t="s">
        <v>1708</v>
      </c>
      <c r="Q15" s="819" t="str">
        <f t="shared" si="6"/>
        <v>产业集聚程度</v>
      </c>
      <c r="R15" s="901" t="s">
        <v>1697</v>
      </c>
      <c r="S15" s="902">
        <f t="shared" si="0"/>
        <v>100</v>
      </c>
      <c r="T15" s="901" t="s">
        <v>1697</v>
      </c>
      <c r="U15" s="902">
        <f t="shared" si="1"/>
        <v>100</v>
      </c>
      <c r="V15" s="901" t="s">
        <v>1697</v>
      </c>
      <c r="W15" s="902">
        <f t="shared" si="2"/>
        <v>100</v>
      </c>
      <c r="X15" s="895"/>
      <c r="Y15" s="3662" t="s">
        <v>1708</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63"/>
      <c r="Q16" s="819"/>
      <c r="R16" s="901"/>
      <c r="S16" s="902"/>
      <c r="T16" s="901"/>
      <c r="U16" s="902"/>
      <c r="V16" s="901"/>
      <c r="W16" s="902"/>
      <c r="X16" s="895"/>
      <c r="Y16" s="3663"/>
      <c r="Z16" s="884"/>
      <c r="AA16" s="912">
        <v>1</v>
      </c>
      <c r="AB16" s="912">
        <v>1</v>
      </c>
      <c r="AC16" s="912">
        <v>1</v>
      </c>
    </row>
    <row r="17" spans="1:29" ht="85.5">
      <c r="A17" s="723"/>
      <c r="B17" s="1040" t="s">
        <v>1709</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63"/>
      <c r="Q17" s="819" t="str">
        <f>B17</f>
        <v>交通便捷度</v>
      </c>
      <c r="R17" s="901" t="s">
        <v>1697</v>
      </c>
      <c r="S17" s="902">
        <f>F17</f>
        <v>100</v>
      </c>
      <c r="T17" s="901" t="s">
        <v>1697</v>
      </c>
      <c r="U17" s="902">
        <f>H17</f>
        <v>100</v>
      </c>
      <c r="V17" s="901" t="s">
        <v>1697</v>
      </c>
      <c r="W17" s="902">
        <f>J17</f>
        <v>100</v>
      </c>
      <c r="X17" s="895"/>
      <c r="Y17" s="3663"/>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63"/>
      <c r="Q18" s="819"/>
      <c r="R18" s="901"/>
      <c r="S18" s="902"/>
      <c r="T18" s="901"/>
      <c r="U18" s="902"/>
      <c r="V18" s="901"/>
      <c r="W18" s="902"/>
      <c r="X18" s="895"/>
      <c r="Y18" s="3663"/>
      <c r="Z18" s="884"/>
      <c r="AA18" s="912">
        <v>1</v>
      </c>
      <c r="AB18" s="912">
        <v>1</v>
      </c>
      <c r="AC18" s="912">
        <v>1</v>
      </c>
    </row>
    <row r="19" spans="1:29" ht="42.75">
      <c r="A19" s="723"/>
      <c r="B19" s="1040" t="s">
        <v>1710</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63"/>
      <c r="Q19" s="819" t="str">
        <f>B19</f>
        <v>公共配套设施</v>
      </c>
      <c r="R19" s="901" t="s">
        <v>1697</v>
      </c>
      <c r="S19" s="902">
        <f>F19</f>
        <v>100</v>
      </c>
      <c r="T19" s="901" t="s">
        <v>1697</v>
      </c>
      <c r="U19" s="902">
        <f>H19</f>
        <v>100</v>
      </c>
      <c r="V19" s="901" t="s">
        <v>1697</v>
      </c>
      <c r="W19" s="902">
        <f>J19</f>
        <v>100</v>
      </c>
      <c r="X19" s="895"/>
      <c r="Y19" s="3663"/>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63"/>
      <c r="Q20" s="819"/>
      <c r="R20" s="901"/>
      <c r="S20" s="902"/>
      <c r="T20" s="901"/>
      <c r="U20" s="902"/>
      <c r="V20" s="901"/>
      <c r="W20" s="902"/>
      <c r="X20" s="895"/>
      <c r="Y20" s="3663"/>
      <c r="Z20" s="884"/>
      <c r="AA20" s="912">
        <v>1</v>
      </c>
      <c r="AB20" s="912">
        <v>1</v>
      </c>
      <c r="AC20" s="912">
        <v>1</v>
      </c>
    </row>
    <row r="21" spans="1:29" ht="28.5">
      <c r="A21" s="723"/>
      <c r="B21" s="1045" t="s">
        <v>1711</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63"/>
      <c r="Q21" s="819" t="str">
        <f>B21</f>
        <v>基础设施水平</v>
      </c>
      <c r="R21" s="901" t="s">
        <v>1697</v>
      </c>
      <c r="S21" s="902">
        <f>F21</f>
        <v>100</v>
      </c>
      <c r="T21" s="901" t="s">
        <v>1697</v>
      </c>
      <c r="U21" s="902">
        <f>H21</f>
        <v>100</v>
      </c>
      <c r="V21" s="901" t="s">
        <v>1697</v>
      </c>
      <c r="W21" s="902">
        <f>J21</f>
        <v>100</v>
      </c>
      <c r="X21" s="895"/>
      <c r="Y21" s="3663"/>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63"/>
      <c r="Q22" s="819"/>
      <c r="R22" s="901"/>
      <c r="S22" s="902"/>
      <c r="T22" s="901"/>
      <c r="U22" s="902"/>
      <c r="V22" s="901"/>
      <c r="W22" s="902"/>
      <c r="X22" s="895"/>
      <c r="Y22" s="3663"/>
      <c r="Z22" s="884"/>
      <c r="AA22" s="912">
        <v>1</v>
      </c>
      <c r="AB22" s="912">
        <v>1</v>
      </c>
      <c r="AC22" s="912">
        <v>1</v>
      </c>
    </row>
    <row r="23" spans="1:29" ht="71.25">
      <c r="A23" s="723"/>
      <c r="B23" s="1040" t="s">
        <v>1781</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63"/>
      <c r="Q23" s="819" t="str">
        <f>B23</f>
        <v>环境质量</v>
      </c>
      <c r="R23" s="901" t="s">
        <v>1697</v>
      </c>
      <c r="S23" s="902">
        <f>F23</f>
        <v>100</v>
      </c>
      <c r="T23" s="901" t="s">
        <v>1697</v>
      </c>
      <c r="U23" s="902">
        <f>H23</f>
        <v>100</v>
      </c>
      <c r="V23" s="901" t="s">
        <v>1697</v>
      </c>
      <c r="W23" s="902">
        <f>J23</f>
        <v>100</v>
      </c>
      <c r="X23" s="895"/>
      <c r="Y23" s="3663"/>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63"/>
      <c r="Q24" s="819"/>
      <c r="R24" s="901"/>
      <c r="S24" s="902"/>
      <c r="T24" s="901"/>
      <c r="U24" s="902"/>
      <c r="V24" s="901"/>
      <c r="W24" s="902"/>
      <c r="X24" s="895"/>
      <c r="Y24" s="3663"/>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63"/>
      <c r="Q25" s="819">
        <f>B25</f>
        <v>111</v>
      </c>
      <c r="R25" s="901" t="s">
        <v>1697</v>
      </c>
      <c r="S25" s="902">
        <f>F25</f>
        <v>100</v>
      </c>
      <c r="T25" s="901" t="s">
        <v>1697</v>
      </c>
      <c r="U25" s="902">
        <f>H25</f>
        <v>100</v>
      </c>
      <c r="V25" s="901" t="s">
        <v>1697</v>
      </c>
      <c r="W25" s="902">
        <f>J25</f>
        <v>100</v>
      </c>
      <c r="X25" s="895"/>
      <c r="Y25" s="3663"/>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63"/>
      <c r="Q26" s="819">
        <f t="shared" ref="Q26:Q40" si="11">B26</f>
        <v>111</v>
      </c>
      <c r="R26" s="901" t="s">
        <v>1697</v>
      </c>
      <c r="S26" s="902">
        <f>F26</f>
        <v>100</v>
      </c>
      <c r="T26" s="901" t="s">
        <v>1697</v>
      </c>
      <c r="U26" s="902">
        <f>H26</f>
        <v>100</v>
      </c>
      <c r="V26" s="901" t="s">
        <v>1697</v>
      </c>
      <c r="W26" s="902">
        <f>J26</f>
        <v>100</v>
      </c>
      <c r="X26" s="895"/>
      <c r="Y26" s="3663"/>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63"/>
      <c r="Q27" s="900">
        <f t="shared" si="11"/>
        <v>111</v>
      </c>
      <c r="R27" s="896" t="s">
        <v>1697</v>
      </c>
      <c r="S27" s="897">
        <f>F27</f>
        <v>100</v>
      </c>
      <c r="T27" s="896" t="s">
        <v>1697</v>
      </c>
      <c r="U27" s="897">
        <f>H27</f>
        <v>100</v>
      </c>
      <c r="V27" s="896" t="s">
        <v>1697</v>
      </c>
      <c r="W27" s="897">
        <f>J27</f>
        <v>100</v>
      </c>
      <c r="X27" s="898"/>
      <c r="Y27" s="3663"/>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63"/>
      <c r="Q28" s="819">
        <f t="shared" si="11"/>
        <v>111</v>
      </c>
      <c r="R28" s="901" t="s">
        <v>1697</v>
      </c>
      <c r="S28" s="902">
        <f t="shared" ref="S28:S40" si="12">F28</f>
        <v>100</v>
      </c>
      <c r="T28" s="901" t="s">
        <v>1697</v>
      </c>
      <c r="U28" s="902">
        <f t="shared" ref="U28:U40" si="13">H28</f>
        <v>100</v>
      </c>
      <c r="V28" s="901" t="s">
        <v>1697</v>
      </c>
      <c r="W28" s="902">
        <f t="shared" ref="W28:W40" si="14">J28</f>
        <v>100</v>
      </c>
      <c r="X28" s="895"/>
      <c r="Y28" s="3663"/>
      <c r="Z28" s="884">
        <f t="shared" ref="Z28:Z40" si="15">Q28</f>
        <v>111</v>
      </c>
      <c r="AA28" s="912">
        <f t="shared" si="3"/>
        <v>1</v>
      </c>
      <c r="AB28" s="912">
        <f t="shared" si="4"/>
        <v>1</v>
      </c>
      <c r="AC28" s="912">
        <f t="shared" si="5"/>
        <v>1</v>
      </c>
    </row>
    <row r="29" spans="1:29" ht="15">
      <c r="A29" s="1101" t="s">
        <v>1715</v>
      </c>
      <c r="B29" s="716" t="s">
        <v>1716</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9" t="s">
        <v>1717</v>
      </c>
      <c r="Q29" s="819" t="str">
        <f t="shared" si="11"/>
        <v>建筑类型</v>
      </c>
      <c r="R29" s="901" t="s">
        <v>1697</v>
      </c>
      <c r="S29" s="902">
        <f t="shared" si="12"/>
        <v>100</v>
      </c>
      <c r="T29" s="901" t="s">
        <v>1697</v>
      </c>
      <c r="U29" s="902">
        <f t="shared" si="13"/>
        <v>100</v>
      </c>
      <c r="V29" s="901" t="s">
        <v>1697</v>
      </c>
      <c r="W29" s="902">
        <f t="shared" si="14"/>
        <v>100</v>
      </c>
      <c r="X29" s="895"/>
      <c r="Y29" s="3664" t="s">
        <v>1717</v>
      </c>
      <c r="Z29" s="884" t="str">
        <f t="shared" si="15"/>
        <v>建筑类型</v>
      </c>
      <c r="AA29" s="912">
        <f t="shared" si="3"/>
        <v>1</v>
      </c>
      <c r="AB29" s="912">
        <f t="shared" si="4"/>
        <v>1</v>
      </c>
      <c r="AC29" s="912">
        <f t="shared" si="5"/>
        <v>1</v>
      </c>
    </row>
    <row r="30" spans="1:29" s="684" customFormat="1" ht="15">
      <c r="A30" s="777"/>
      <c r="B30" s="720" t="s">
        <v>1718</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64"/>
      <c r="Q30" s="1136" t="str">
        <f t="shared" si="11"/>
        <v>项目建筑规模</v>
      </c>
      <c r="R30" s="903" t="s">
        <v>1697</v>
      </c>
      <c r="S30" s="904" t="e">
        <f t="shared" si="12"/>
        <v>#N/A</v>
      </c>
      <c r="T30" s="903" t="s">
        <v>1697</v>
      </c>
      <c r="U30" s="904" t="e">
        <f t="shared" si="13"/>
        <v>#N/A</v>
      </c>
      <c r="V30" s="903" t="s">
        <v>1697</v>
      </c>
      <c r="W30" s="904" t="e">
        <f t="shared" si="14"/>
        <v>#N/A</v>
      </c>
      <c r="X30" s="905"/>
      <c r="Y30" s="3664"/>
      <c r="Z30" s="913" t="str">
        <f t="shared" si="15"/>
        <v>项目建筑规模</v>
      </c>
      <c r="AA30" s="912" t="e">
        <f t="shared" si="3"/>
        <v>#N/A</v>
      </c>
      <c r="AB30" s="912" t="e">
        <f t="shared" si="4"/>
        <v>#N/A</v>
      </c>
      <c r="AC30" s="912" t="e">
        <f t="shared" si="5"/>
        <v>#N/A</v>
      </c>
    </row>
    <row r="31" spans="1:29" ht="15">
      <c r="A31" s="772"/>
      <c r="B31" s="720" t="s">
        <v>1719</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64"/>
      <c r="Q31" s="819" t="str">
        <f t="shared" si="11"/>
        <v>建筑结构</v>
      </c>
      <c r="R31" s="901" t="s">
        <v>1697</v>
      </c>
      <c r="S31" s="902">
        <f t="shared" si="12"/>
        <v>100</v>
      </c>
      <c r="T31" s="901" t="s">
        <v>1697</v>
      </c>
      <c r="U31" s="902">
        <f t="shared" si="13"/>
        <v>100</v>
      </c>
      <c r="V31" s="901" t="s">
        <v>1697</v>
      </c>
      <c r="W31" s="902">
        <f t="shared" si="14"/>
        <v>100</v>
      </c>
      <c r="X31" s="895"/>
      <c r="Y31" s="3664"/>
      <c r="Z31" s="884" t="str">
        <f t="shared" si="15"/>
        <v>建筑结构</v>
      </c>
      <c r="AA31" s="912">
        <f t="shared" si="3"/>
        <v>1</v>
      </c>
      <c r="AB31" s="912">
        <f t="shared" si="4"/>
        <v>1</v>
      </c>
      <c r="AC31" s="912">
        <f t="shared" si="5"/>
        <v>1</v>
      </c>
    </row>
    <row r="32" spans="1:29" ht="15">
      <c r="A32" s="772"/>
      <c r="B32" s="720" t="s">
        <v>1721</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64"/>
      <c r="Q32" s="819" t="str">
        <f t="shared" si="11"/>
        <v>公共部分装修</v>
      </c>
      <c r="R32" s="901" t="s">
        <v>1697</v>
      </c>
      <c r="S32" s="902">
        <f t="shared" si="12"/>
        <v>100</v>
      </c>
      <c r="T32" s="901" t="s">
        <v>1697</v>
      </c>
      <c r="U32" s="902">
        <f t="shared" si="13"/>
        <v>100</v>
      </c>
      <c r="V32" s="901" t="s">
        <v>1697</v>
      </c>
      <c r="W32" s="902">
        <f t="shared" si="14"/>
        <v>100</v>
      </c>
      <c r="X32" s="895"/>
      <c r="Y32" s="3664"/>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64"/>
      <c r="Q33" s="819" t="str">
        <f t="shared" si="11"/>
        <v>成新度</v>
      </c>
      <c r="R33" s="901" t="s">
        <v>1697</v>
      </c>
      <c r="S33" s="902" t="e">
        <f t="shared" si="12"/>
        <v>#N/A</v>
      </c>
      <c r="T33" s="901" t="s">
        <v>1697</v>
      </c>
      <c r="U33" s="902" t="e">
        <f t="shared" si="13"/>
        <v>#N/A</v>
      </c>
      <c r="V33" s="901" t="s">
        <v>1697</v>
      </c>
      <c r="W33" s="902" t="e">
        <f t="shared" si="14"/>
        <v>#N/A</v>
      </c>
      <c r="X33" s="895"/>
      <c r="Y33" s="3664"/>
      <c r="Z33" s="884" t="str">
        <f t="shared" si="15"/>
        <v>成新度</v>
      </c>
      <c r="AA33" s="912" t="e">
        <f t="shared" si="3"/>
        <v>#N/A</v>
      </c>
      <c r="AB33" s="912" t="e">
        <f t="shared" si="4"/>
        <v>#N/A</v>
      </c>
      <c r="AC33" s="912" t="e">
        <f t="shared" si="5"/>
        <v>#N/A</v>
      </c>
    </row>
    <row r="34" spans="1:29" s="682" customFormat="1" ht="15">
      <c r="A34" s="774"/>
      <c r="B34" s="720" t="s">
        <v>1722</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64"/>
      <c r="Q34" s="900" t="str">
        <f t="shared" si="11"/>
        <v>物业管理</v>
      </c>
      <c r="R34" s="896" t="s">
        <v>1697</v>
      </c>
      <c r="S34" s="897">
        <f t="shared" si="12"/>
        <v>100</v>
      </c>
      <c r="T34" s="896" t="s">
        <v>1697</v>
      </c>
      <c r="U34" s="897">
        <f t="shared" si="13"/>
        <v>100</v>
      </c>
      <c r="V34" s="896" t="s">
        <v>1697</v>
      </c>
      <c r="W34" s="897">
        <f t="shared" si="14"/>
        <v>100</v>
      </c>
      <c r="X34" s="898"/>
      <c r="Y34" s="3664"/>
      <c r="Z34" s="911" t="str">
        <f t="shared" si="15"/>
        <v>物业管理</v>
      </c>
      <c r="AA34" s="910">
        <f t="shared" si="3"/>
        <v>1</v>
      </c>
      <c r="AB34" s="910">
        <f t="shared" si="4"/>
        <v>1</v>
      </c>
      <c r="AC34" s="910">
        <f t="shared" si="5"/>
        <v>1</v>
      </c>
    </row>
    <row r="35" spans="1:29" ht="15">
      <c r="A35" s="772"/>
      <c r="B35" s="720" t="s">
        <v>1723</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64" t="s">
        <v>1717</v>
      </c>
      <c r="Q35" s="819" t="str">
        <f t="shared" si="11"/>
        <v>市政基础设施</v>
      </c>
      <c r="R35" s="901" t="s">
        <v>1697</v>
      </c>
      <c r="S35" s="902">
        <f t="shared" si="12"/>
        <v>100</v>
      </c>
      <c r="T35" s="901" t="s">
        <v>1697</v>
      </c>
      <c r="U35" s="902">
        <f t="shared" si="13"/>
        <v>100</v>
      </c>
      <c r="V35" s="901" t="s">
        <v>1697</v>
      </c>
      <c r="W35" s="902">
        <f t="shared" si="14"/>
        <v>100</v>
      </c>
      <c r="X35" s="895"/>
      <c r="Y35" s="3664" t="s">
        <v>1717</v>
      </c>
      <c r="Z35" s="884" t="str">
        <f t="shared" si="15"/>
        <v>市政基础设施</v>
      </c>
      <c r="AA35" s="912">
        <f t="shared" si="3"/>
        <v>1</v>
      </c>
      <c r="AB35" s="912">
        <f t="shared" si="4"/>
        <v>1</v>
      </c>
      <c r="AC35" s="912">
        <f t="shared" si="5"/>
        <v>1</v>
      </c>
    </row>
    <row r="36" spans="1:29" ht="15">
      <c r="A36" s="772"/>
      <c r="B36" s="720" t="s">
        <v>1726</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64"/>
      <c r="Q36" s="819" t="str">
        <f t="shared" si="11"/>
        <v>内部装修</v>
      </c>
      <c r="R36" s="901" t="s">
        <v>1697</v>
      </c>
      <c r="S36" s="902">
        <f t="shared" si="12"/>
        <v>100</v>
      </c>
      <c r="T36" s="901" t="s">
        <v>1697</v>
      </c>
      <c r="U36" s="902">
        <f t="shared" si="13"/>
        <v>100</v>
      </c>
      <c r="V36" s="901" t="s">
        <v>1697</v>
      </c>
      <c r="W36" s="902">
        <f t="shared" si="14"/>
        <v>100</v>
      </c>
      <c r="X36" s="895"/>
      <c r="Y36" s="3664"/>
      <c r="Z36" s="884" t="str">
        <f t="shared" si="15"/>
        <v>内部装修</v>
      </c>
      <c r="AA36" s="912">
        <f t="shared" si="3"/>
        <v>1</v>
      </c>
      <c r="AB36" s="912">
        <f t="shared" si="4"/>
        <v>1</v>
      </c>
      <c r="AC36" s="912">
        <f t="shared" si="5"/>
        <v>1</v>
      </c>
    </row>
    <row r="37" spans="1:29" ht="15">
      <c r="A37" s="772"/>
      <c r="B37" s="720" t="s">
        <v>1788</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64"/>
      <c r="Q37" s="819" t="str">
        <f t="shared" si="11"/>
        <v>内部装修状况</v>
      </c>
      <c r="R37" s="901" t="s">
        <v>1697</v>
      </c>
      <c r="S37" s="902">
        <f t="shared" si="12"/>
        <v>100</v>
      </c>
      <c r="T37" s="901" t="s">
        <v>1697</v>
      </c>
      <c r="U37" s="902">
        <f t="shared" si="13"/>
        <v>100</v>
      </c>
      <c r="V37" s="901" t="s">
        <v>1697</v>
      </c>
      <c r="W37" s="902">
        <f t="shared" si="14"/>
        <v>100</v>
      </c>
      <c r="X37" s="895"/>
      <c r="Y37" s="3664"/>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64"/>
      <c r="Q38" s="1136">
        <f t="shared" si="11"/>
        <v>111</v>
      </c>
      <c r="R38" s="903" t="s">
        <v>1697</v>
      </c>
      <c r="S38" s="904">
        <f t="shared" si="12"/>
        <v>100</v>
      </c>
      <c r="T38" s="903" t="s">
        <v>1697</v>
      </c>
      <c r="U38" s="904">
        <f t="shared" si="13"/>
        <v>100</v>
      </c>
      <c r="V38" s="903" t="s">
        <v>1697</v>
      </c>
      <c r="W38" s="904">
        <f t="shared" si="14"/>
        <v>100</v>
      </c>
      <c r="X38" s="905"/>
      <c r="Y38" s="3664"/>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64"/>
      <c r="Q39" s="819">
        <f t="shared" si="11"/>
        <v>111</v>
      </c>
      <c r="R39" s="901" t="s">
        <v>1697</v>
      </c>
      <c r="S39" s="902">
        <f t="shared" si="12"/>
        <v>100</v>
      </c>
      <c r="T39" s="901" t="s">
        <v>1697</v>
      </c>
      <c r="U39" s="902">
        <f t="shared" si="13"/>
        <v>100</v>
      </c>
      <c r="V39" s="901" t="s">
        <v>1697</v>
      </c>
      <c r="W39" s="902">
        <f t="shared" si="14"/>
        <v>100</v>
      </c>
      <c r="X39" s="895"/>
      <c r="Y39" s="3664"/>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65"/>
      <c r="Q40" s="819">
        <f t="shared" si="11"/>
        <v>111</v>
      </c>
      <c r="R40" s="901" t="s">
        <v>1697</v>
      </c>
      <c r="S40" s="902">
        <f t="shared" si="12"/>
        <v>100</v>
      </c>
      <c r="T40" s="901" t="s">
        <v>1697</v>
      </c>
      <c r="U40" s="902">
        <f t="shared" si="13"/>
        <v>100</v>
      </c>
      <c r="V40" s="901" t="s">
        <v>1697</v>
      </c>
      <c r="W40" s="902">
        <f t="shared" si="14"/>
        <v>100</v>
      </c>
      <c r="X40" s="895"/>
      <c r="Y40" s="3665"/>
      <c r="Z40" s="884">
        <f t="shared" si="15"/>
        <v>111</v>
      </c>
      <c r="AA40" s="912">
        <f t="shared" si="3"/>
        <v>1</v>
      </c>
      <c r="AB40" s="912">
        <f t="shared" si="4"/>
        <v>1</v>
      </c>
      <c r="AC40" s="912">
        <f t="shared" si="5"/>
        <v>1</v>
      </c>
    </row>
    <row r="41" spans="1:29" ht="15">
      <c r="A41" s="779" t="s">
        <v>1728</v>
      </c>
      <c r="B41" s="1111"/>
      <c r="C41" s="1112" t="s">
        <v>124</v>
      </c>
      <c r="D41" s="1113"/>
      <c r="E41" s="1114"/>
      <c r="F41" s="1115"/>
      <c r="G41" s="1116"/>
      <c r="H41" s="1117"/>
      <c r="I41" s="1114"/>
      <c r="J41" s="1117"/>
      <c r="K41" s="875"/>
      <c r="L41" s="1226"/>
      <c r="M41" s="836"/>
      <c r="N41" s="1214"/>
      <c r="O41" s="836"/>
      <c r="P41" s="3649" t="str">
        <f>A41</f>
        <v>成交单价（元/平方米）</v>
      </c>
      <c r="Q41" s="3649"/>
      <c r="R41" s="3650">
        <f>E41</f>
        <v>0</v>
      </c>
      <c r="S41" s="3650"/>
      <c r="T41" s="3650">
        <f>G41</f>
        <v>0</v>
      </c>
      <c r="U41" s="3650"/>
      <c r="V41" s="3650">
        <f>I41</f>
        <v>0</v>
      </c>
      <c r="W41" s="3650"/>
      <c r="X41" s="841"/>
      <c r="Y41" s="914"/>
      <c r="Z41" s="841"/>
      <c r="AA41" s="841"/>
      <c r="AB41" s="841"/>
      <c r="AC41" s="841"/>
    </row>
    <row r="42" spans="1:29" ht="15">
      <c r="A42" s="787" t="s">
        <v>1729</v>
      </c>
      <c r="B42" s="1118"/>
      <c r="C42" s="1119" t="e">
        <f>R43</f>
        <v>#DIV/0!</v>
      </c>
      <c r="D42" s="790" t="s">
        <v>1730</v>
      </c>
      <c r="E42" s="1120" t="e">
        <f>R42</f>
        <v>#DIV/0!</v>
      </c>
      <c r="F42" s="791"/>
      <c r="G42" s="1119" t="e">
        <f>T42</f>
        <v>#DIV/0!</v>
      </c>
      <c r="H42" s="791"/>
      <c r="I42" s="1120" t="e">
        <f>V42</f>
        <v>#DIV/0!</v>
      </c>
      <c r="J42" s="791"/>
      <c r="K42" s="877">
        <f>F42+H42+J42</f>
        <v>0</v>
      </c>
      <c r="L42" s="1226"/>
      <c r="M42" s="836"/>
      <c r="N42" s="1214"/>
      <c r="O42" s="836"/>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841"/>
      <c r="Y42" s="841"/>
      <c r="Z42" s="841"/>
      <c r="AA42" s="841"/>
      <c r="AB42" s="841"/>
      <c r="AC42" s="841"/>
    </row>
    <row r="43" spans="1:29" ht="15">
      <c r="A43" s="793" t="s">
        <v>1731</v>
      </c>
      <c r="B43" s="794"/>
      <c r="C43" s="1121" t="e">
        <f>R43</f>
        <v>#DIV/0!</v>
      </c>
      <c r="D43" s="1121"/>
      <c r="E43" s="1121"/>
      <c r="F43" s="1121"/>
      <c r="G43" s="1121"/>
      <c r="H43" s="1121"/>
      <c r="I43" s="1121"/>
      <c r="J43" s="1121"/>
      <c r="K43" s="878"/>
      <c r="L43" s="1226"/>
      <c r="M43" s="836"/>
      <c r="N43" s="836"/>
      <c r="O43" s="836"/>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1735</v>
      </c>
      <c r="B51" s="841"/>
      <c r="C51" s="842"/>
      <c r="D51" s="842"/>
      <c r="E51" s="842"/>
      <c r="F51" s="843"/>
      <c r="G51" s="843"/>
      <c r="H51" s="842"/>
      <c r="I51" s="842"/>
      <c r="J51" s="842"/>
      <c r="K51" s="1066"/>
      <c r="L51" s="1067"/>
      <c r="M51" s="893"/>
      <c r="N51" s="893"/>
      <c r="O51" s="893"/>
      <c r="P51" s="1229"/>
      <c r="Q51" s="1231"/>
    </row>
    <row r="52" spans="1:17" s="687" customFormat="1" ht="15">
      <c r="A52" s="1123" t="s">
        <v>1695</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1736</v>
      </c>
      <c r="B54" s="923"/>
      <c r="C54" s="924"/>
      <c r="D54" s="925"/>
      <c r="E54" s="925"/>
      <c r="F54" s="925"/>
      <c r="G54" s="925"/>
      <c r="H54" s="925"/>
      <c r="I54" s="925"/>
      <c r="J54" s="925"/>
      <c r="K54" s="925"/>
      <c r="L54" s="925"/>
      <c r="M54" s="975"/>
      <c r="N54" s="1232"/>
      <c r="O54" s="1233"/>
      <c r="P54" s="1231"/>
      <c r="Q54" s="1231"/>
    </row>
    <row r="55" spans="1:17" s="682" customFormat="1" ht="15">
      <c r="A55" s="926" t="s">
        <v>1698</v>
      </c>
      <c r="B55" s="927"/>
      <c r="C55" s="928" t="s">
        <v>1737</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1738</v>
      </c>
      <c r="B57" s="933" t="s">
        <v>1701</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1704</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1705</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1706</v>
      </c>
      <c r="B70" s="933" t="s">
        <v>1787</v>
      </c>
      <c r="C70" s="955" t="s">
        <v>1490</v>
      </c>
      <c r="D70" s="955" t="s">
        <v>1491</v>
      </c>
      <c r="E70" s="955" t="s">
        <v>1492</v>
      </c>
      <c r="F70" s="955" t="s">
        <v>1493</v>
      </c>
      <c r="G70" s="955" t="s">
        <v>1494</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1709</v>
      </c>
      <c r="C72" s="957" t="s">
        <v>1490</v>
      </c>
      <c r="D72" s="957" t="s">
        <v>1491</v>
      </c>
      <c r="E72" s="957" t="s">
        <v>1492</v>
      </c>
      <c r="F72" s="957" t="s">
        <v>1493</v>
      </c>
      <c r="G72" s="957" t="s">
        <v>1494</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1710</v>
      </c>
      <c r="C74" s="957" t="s">
        <v>1490</v>
      </c>
      <c r="D74" s="957" t="s">
        <v>1491</v>
      </c>
      <c r="E74" s="957" t="s">
        <v>1492</v>
      </c>
      <c r="F74" s="957" t="s">
        <v>1493</v>
      </c>
      <c r="G74" s="957" t="s">
        <v>1494</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1711</v>
      </c>
      <c r="C76" s="962" t="s">
        <v>1739</v>
      </c>
      <c r="D76" s="962" t="s">
        <v>1740</v>
      </c>
      <c r="E76" s="962" t="s">
        <v>1741</v>
      </c>
      <c r="F76" s="962" t="s">
        <v>1742</v>
      </c>
      <c r="G76" s="962" t="s">
        <v>1743</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1781</v>
      </c>
      <c r="C78" s="957" t="s">
        <v>1490</v>
      </c>
      <c r="D78" s="957" t="s">
        <v>1491</v>
      </c>
      <c r="E78" s="957" t="s">
        <v>1492</v>
      </c>
      <c r="F78" s="957" t="s">
        <v>1493</v>
      </c>
      <c r="G78" s="957" t="s">
        <v>1494</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1715</v>
      </c>
      <c r="B88" s="933" t="s">
        <v>1716</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1718</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1719</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1721</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1722</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1723</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1726</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1789</v>
      </c>
      <c r="C106" s="957" t="s">
        <v>1490</v>
      </c>
      <c r="D106" s="957" t="s">
        <v>1491</v>
      </c>
      <c r="E106" s="957" t="s">
        <v>1492</v>
      </c>
      <c r="F106" s="957" t="s">
        <v>1493</v>
      </c>
      <c r="G106" s="957" t="s">
        <v>1494</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1790</v>
      </c>
      <c r="B1" s="1072" t="s">
        <v>1791</v>
      </c>
      <c r="C1" s="1073" t="s">
        <v>1680</v>
      </c>
      <c r="D1" s="1074"/>
      <c r="E1" s="1075"/>
      <c r="F1" s="1076"/>
      <c r="G1" s="1151" t="s">
        <v>1681</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986</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988</v>
      </c>
      <c r="B3" s="699" t="e">
        <f>IF(AND(C2="——",B37="元/平方米"),C39,ROUND(B2*10000/D3,0))</f>
        <v>#DIV/0!</v>
      </c>
      <c r="C3" s="1084" t="s">
        <v>1333</v>
      </c>
      <c r="D3" s="1085">
        <f>SUMIF('数据-汇总表'!$C19:$C33,D1,'数据-汇总表'!$E19:$E33)</f>
        <v>0</v>
      </c>
      <c r="E3" s="1084" t="s">
        <v>1792</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1682</v>
      </c>
      <c r="B4" s="702"/>
      <c r="C4" s="3671" t="s">
        <v>1683</v>
      </c>
      <c r="D4" s="3672"/>
      <c r="E4" s="3673" t="s">
        <v>1684</v>
      </c>
      <c r="F4" s="3674"/>
      <c r="G4" s="3671" t="s">
        <v>1685</v>
      </c>
      <c r="H4" s="3672"/>
      <c r="I4" s="3671" t="s">
        <v>1686</v>
      </c>
      <c r="J4" s="3672"/>
      <c r="K4" s="851"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4" t="s">
        <v>1685</v>
      </c>
      <c r="AC4" s="3633" t="s">
        <v>1686</v>
      </c>
    </row>
    <row r="5" spans="1:29" ht="15">
      <c r="A5" s="703"/>
      <c r="B5" s="704"/>
      <c r="C5" s="3675" t="s">
        <v>1689</v>
      </c>
      <c r="D5" s="3676"/>
      <c r="E5" s="3677" t="s">
        <v>1690</v>
      </c>
      <c r="F5" s="3678"/>
      <c r="G5" s="3675" t="s">
        <v>1691</v>
      </c>
      <c r="H5" s="3676"/>
      <c r="I5" s="3675" t="s">
        <v>1692</v>
      </c>
      <c r="J5" s="3676"/>
      <c r="K5" s="851"/>
      <c r="L5" s="852"/>
      <c r="M5" s="853"/>
      <c r="N5" s="853"/>
      <c r="O5" s="853"/>
      <c r="P5" s="3639"/>
      <c r="Q5" s="3640"/>
      <c r="R5" s="3645"/>
      <c r="S5" s="3646"/>
      <c r="T5" s="3645"/>
      <c r="U5" s="3646"/>
      <c r="V5" s="3636"/>
      <c r="W5" s="3636"/>
      <c r="X5" s="895"/>
      <c r="Y5" s="3645"/>
      <c r="Z5" s="3646"/>
      <c r="AA5" s="3634"/>
      <c r="AB5" s="3634"/>
      <c r="AC5" s="3634"/>
    </row>
    <row r="6" spans="1:29" ht="15">
      <c r="A6" s="705"/>
      <c r="B6" s="706"/>
      <c r="C6" s="3666" t="s">
        <v>1693</v>
      </c>
      <c r="D6" s="3667"/>
      <c r="E6" s="3668" t="s">
        <v>1693</v>
      </c>
      <c r="F6" s="3669"/>
      <c r="G6" s="3666" t="s">
        <v>1693</v>
      </c>
      <c r="H6" s="3667"/>
      <c r="I6" s="3666" t="s">
        <v>1693</v>
      </c>
      <c r="J6" s="3667"/>
      <c r="K6" s="851" t="s">
        <v>1694</v>
      </c>
      <c r="L6" s="852"/>
      <c r="M6" s="853"/>
      <c r="N6" s="853"/>
      <c r="O6" s="853"/>
      <c r="P6" s="3641"/>
      <c r="Q6" s="3642"/>
      <c r="R6" s="3645"/>
      <c r="S6" s="3646"/>
      <c r="T6" s="3647"/>
      <c r="U6" s="3648"/>
      <c r="V6" s="3636"/>
      <c r="W6" s="3636"/>
      <c r="X6" s="895"/>
      <c r="Y6" s="3647"/>
      <c r="Z6" s="3648"/>
      <c r="AA6" s="3635"/>
      <c r="AB6" s="3635"/>
      <c r="AC6" s="3635"/>
    </row>
    <row r="7" spans="1:29" s="682" customFormat="1" ht="15">
      <c r="A7" s="707" t="s">
        <v>1695</v>
      </c>
      <c r="B7" s="708"/>
      <c r="C7" s="709">
        <f>'数据-取费表'!B2</f>
        <v>45540</v>
      </c>
      <c r="D7" s="710">
        <v>100</v>
      </c>
      <c r="E7" s="711"/>
      <c r="F7" s="712">
        <f>SUMIF(48:48,YEAR(E7)&amp;"-"&amp;MONTH(E7),49:49)</f>
        <v>0</v>
      </c>
      <c r="G7" s="711"/>
      <c r="H7" s="710">
        <f>SUMIF(48:48,YEAR(G7)&amp;"-"&amp;MONTH(G7),49:49)</f>
        <v>0</v>
      </c>
      <c r="I7" s="711"/>
      <c r="J7" s="710">
        <f>SUMIF(48:48,YEAR(I7)&amp;"-"&amp;MONTH(I7),49:49)</f>
        <v>0</v>
      </c>
      <c r="K7" s="854"/>
      <c r="L7" s="855"/>
      <c r="M7" s="856"/>
      <c r="N7" s="856"/>
      <c r="O7" s="856"/>
      <c r="P7" s="3654" t="s">
        <v>1696</v>
      </c>
      <c r="Q7" s="3670"/>
      <c r="R7" s="896" t="s">
        <v>1697</v>
      </c>
      <c r="S7" s="897">
        <f t="shared" ref="S7:S14" si="0">F7</f>
        <v>0</v>
      </c>
      <c r="T7" s="896" t="s">
        <v>1697</v>
      </c>
      <c r="U7" s="897">
        <f t="shared" ref="U7:U14" si="1">H7</f>
        <v>0</v>
      </c>
      <c r="V7" s="896" t="s">
        <v>1697</v>
      </c>
      <c r="W7" s="897">
        <f t="shared" ref="W7:W14" si="2">J7</f>
        <v>0</v>
      </c>
      <c r="X7" s="898"/>
      <c r="Y7" s="3654" t="s">
        <v>1696</v>
      </c>
      <c r="Z7" s="3655"/>
      <c r="AA7" s="910" t="e">
        <f>D7/F7</f>
        <v>#DIV/0!</v>
      </c>
      <c r="AB7" s="910" t="e">
        <f>D7/H7</f>
        <v>#DIV/0!</v>
      </c>
      <c r="AC7" s="910" t="e">
        <f>D7/J7</f>
        <v>#DIV/0!</v>
      </c>
    </row>
    <row r="8" spans="1:29" s="682" customFormat="1" ht="15">
      <c r="A8" s="707" t="s">
        <v>1698</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54" t="s">
        <v>1699</v>
      </c>
      <c r="Q8" s="3655"/>
      <c r="R8" s="896" t="s">
        <v>1697</v>
      </c>
      <c r="S8" s="897">
        <f t="shared" si="0"/>
        <v>100</v>
      </c>
      <c r="T8" s="896" t="s">
        <v>1697</v>
      </c>
      <c r="U8" s="897">
        <f t="shared" si="1"/>
        <v>100</v>
      </c>
      <c r="V8" s="896" t="s">
        <v>1697</v>
      </c>
      <c r="W8" s="897">
        <f t="shared" si="2"/>
        <v>100</v>
      </c>
      <c r="X8" s="898"/>
      <c r="Y8" s="3654" t="s">
        <v>1699</v>
      </c>
      <c r="Z8" s="3655"/>
      <c r="AA8" s="910">
        <f t="shared" ref="AA8:AA36" si="3">D8/F8</f>
        <v>1</v>
      </c>
      <c r="AB8" s="910">
        <f t="shared" ref="AB8:AB36" si="4">D8/H8</f>
        <v>1</v>
      </c>
      <c r="AC8" s="910">
        <f t="shared" ref="AC8:AC36" si="5">D8/J8</f>
        <v>1</v>
      </c>
    </row>
    <row r="9" spans="1:29" s="682" customFormat="1">
      <c r="A9" s="1153" t="s">
        <v>1700</v>
      </c>
      <c r="B9" s="1154" t="s">
        <v>1701</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9" t="s">
        <v>1702</v>
      </c>
      <c r="Q9" s="900" t="str">
        <f t="shared" ref="Q9:Q14" si="6">B9</f>
        <v>用途</v>
      </c>
      <c r="R9" s="896" t="s">
        <v>1697</v>
      </c>
      <c r="S9" s="897">
        <f t="shared" si="0"/>
        <v>100</v>
      </c>
      <c r="T9" s="896" t="s">
        <v>1697</v>
      </c>
      <c r="U9" s="897">
        <f t="shared" si="1"/>
        <v>100</v>
      </c>
      <c r="V9" s="896" t="s">
        <v>1697</v>
      </c>
      <c r="W9" s="897">
        <f t="shared" si="2"/>
        <v>100</v>
      </c>
      <c r="X9" s="898"/>
      <c r="Y9" s="3545" t="s">
        <v>1703</v>
      </c>
      <c r="Z9" s="911" t="str">
        <f t="shared" ref="Z9:Z14" si="7">Q9</f>
        <v>用途</v>
      </c>
      <c r="AA9" s="910">
        <f t="shared" si="3"/>
        <v>1</v>
      </c>
      <c r="AB9" s="910">
        <f t="shared" si="4"/>
        <v>1</v>
      </c>
      <c r="AC9" s="910">
        <f t="shared" si="5"/>
        <v>1</v>
      </c>
    </row>
    <row r="10" spans="1:29" s="683" customFormat="1" ht="27">
      <c r="A10" s="1156"/>
      <c r="B10" s="1157" t="s">
        <v>1704</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9"/>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9"/>
      <c r="Q11" s="900">
        <f t="shared" si="6"/>
        <v>111</v>
      </c>
      <c r="R11" s="896" t="s">
        <v>1697</v>
      </c>
      <c r="S11" s="897">
        <f t="shared" si="0"/>
        <v>100</v>
      </c>
      <c r="T11" s="896" t="s">
        <v>1697</v>
      </c>
      <c r="U11" s="897">
        <f t="shared" si="1"/>
        <v>100</v>
      </c>
      <c r="V11" s="896" t="s">
        <v>1697</v>
      </c>
      <c r="W11" s="897">
        <f t="shared" si="2"/>
        <v>100</v>
      </c>
      <c r="X11" s="898"/>
      <c r="Y11" s="3545"/>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9"/>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9"/>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85.5">
      <c r="A14" s="701" t="s">
        <v>1706</v>
      </c>
      <c r="B14" s="738" t="s">
        <v>1709</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62" t="s">
        <v>1708</v>
      </c>
      <c r="Q14" s="819" t="str">
        <f t="shared" si="6"/>
        <v>交通便捷度</v>
      </c>
      <c r="R14" s="901" t="s">
        <v>1697</v>
      </c>
      <c r="S14" s="902">
        <f t="shared" si="0"/>
        <v>100</v>
      </c>
      <c r="T14" s="901" t="s">
        <v>1697</v>
      </c>
      <c r="U14" s="902">
        <f t="shared" si="1"/>
        <v>100</v>
      </c>
      <c r="V14" s="901" t="s">
        <v>1697</v>
      </c>
      <c r="W14" s="902">
        <f t="shared" si="2"/>
        <v>100</v>
      </c>
      <c r="X14" s="895"/>
      <c r="Y14" s="3662" t="s">
        <v>1708</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63"/>
      <c r="Q15" s="819"/>
      <c r="R15" s="901"/>
      <c r="S15" s="902"/>
      <c r="T15" s="901"/>
      <c r="U15" s="902"/>
      <c r="V15" s="901"/>
      <c r="W15" s="902"/>
      <c r="X15" s="895"/>
      <c r="Y15" s="3663"/>
      <c r="Z15" s="884"/>
      <c r="AA15" s="912">
        <v>1</v>
      </c>
      <c r="AB15" s="912">
        <v>1</v>
      </c>
      <c r="AC15" s="912">
        <v>1</v>
      </c>
    </row>
    <row r="16" spans="1:29" ht="42.75">
      <c r="A16" s="703"/>
      <c r="B16" s="746" t="s">
        <v>1710</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63"/>
      <c r="Q16" s="819" t="str">
        <f>B16</f>
        <v>公共配套设施</v>
      </c>
      <c r="R16" s="901" t="s">
        <v>1697</v>
      </c>
      <c r="S16" s="902">
        <f>F16</f>
        <v>100</v>
      </c>
      <c r="T16" s="901" t="s">
        <v>1697</v>
      </c>
      <c r="U16" s="902">
        <f>H16</f>
        <v>100</v>
      </c>
      <c r="V16" s="901" t="s">
        <v>1697</v>
      </c>
      <c r="W16" s="902">
        <f>J16</f>
        <v>100</v>
      </c>
      <c r="X16" s="895"/>
      <c r="Y16" s="3663"/>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63"/>
      <c r="Q17" s="819"/>
      <c r="R17" s="901"/>
      <c r="S17" s="902"/>
      <c r="T17" s="901"/>
      <c r="U17" s="902"/>
      <c r="V17" s="901"/>
      <c r="W17" s="902"/>
      <c r="X17" s="895"/>
      <c r="Y17" s="3663"/>
      <c r="Z17" s="884"/>
      <c r="AA17" s="912">
        <v>1</v>
      </c>
      <c r="AB17" s="912">
        <v>1</v>
      </c>
      <c r="AC17" s="912">
        <v>1</v>
      </c>
    </row>
    <row r="18" spans="1:29" ht="28.5">
      <c r="A18" s="703"/>
      <c r="B18" s="752" t="s">
        <v>1711</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63"/>
      <c r="Q18" s="819" t="str">
        <f>B18</f>
        <v>基础设施水平</v>
      </c>
      <c r="R18" s="901" t="s">
        <v>1697</v>
      </c>
      <c r="S18" s="902">
        <f>F18</f>
        <v>100</v>
      </c>
      <c r="T18" s="901" t="s">
        <v>1697</v>
      </c>
      <c r="U18" s="902">
        <f>H18</f>
        <v>100</v>
      </c>
      <c r="V18" s="901" t="s">
        <v>1697</v>
      </c>
      <c r="W18" s="902">
        <f>J18</f>
        <v>100</v>
      </c>
      <c r="X18" s="895"/>
      <c r="Y18" s="3663"/>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63"/>
      <c r="Q19" s="819"/>
      <c r="R19" s="901"/>
      <c r="S19" s="902"/>
      <c r="T19" s="901"/>
      <c r="U19" s="902"/>
      <c r="V19" s="901"/>
      <c r="W19" s="902"/>
      <c r="X19" s="895"/>
      <c r="Y19" s="3663"/>
      <c r="Z19" s="884"/>
      <c r="AA19" s="912">
        <v>1</v>
      </c>
      <c r="AB19" s="912">
        <v>1</v>
      </c>
      <c r="AC19" s="912">
        <v>1</v>
      </c>
    </row>
    <row r="20" spans="1:29" ht="57">
      <c r="A20" s="703"/>
      <c r="B20" s="746" t="s">
        <v>1712</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63"/>
      <c r="Q20" s="819" t="str">
        <f>B20</f>
        <v>自然及人文环境</v>
      </c>
      <c r="R20" s="901" t="s">
        <v>1697</v>
      </c>
      <c r="S20" s="902">
        <f>F20</f>
        <v>100</v>
      </c>
      <c r="T20" s="901" t="s">
        <v>1697</v>
      </c>
      <c r="U20" s="902">
        <f>H20</f>
        <v>100</v>
      </c>
      <c r="V20" s="901" t="s">
        <v>1697</v>
      </c>
      <c r="W20" s="902">
        <f>J20</f>
        <v>100</v>
      </c>
      <c r="X20" s="895"/>
      <c r="Y20" s="3663"/>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63"/>
      <c r="Q21" s="819"/>
      <c r="R21" s="901"/>
      <c r="S21" s="902"/>
      <c r="T21" s="901"/>
      <c r="U21" s="902"/>
      <c r="V21" s="901"/>
      <c r="W21" s="902"/>
      <c r="X21" s="895"/>
      <c r="Y21" s="3663"/>
      <c r="Z21" s="884"/>
      <c r="AA21" s="912">
        <v>1</v>
      </c>
      <c r="AB21" s="912">
        <v>1</v>
      </c>
      <c r="AC21" s="912">
        <v>1</v>
      </c>
    </row>
    <row r="22" spans="1:29" ht="15">
      <c r="A22" s="703"/>
      <c r="B22" s="746" t="s">
        <v>1772</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63"/>
      <c r="Q22" s="819" t="str">
        <f>B22</f>
        <v>楼层</v>
      </c>
      <c r="R22" s="901" t="s">
        <v>1697</v>
      </c>
      <c r="S22" s="902">
        <f>F22</f>
        <v>100</v>
      </c>
      <c r="T22" s="901" t="s">
        <v>1697</v>
      </c>
      <c r="U22" s="902">
        <f>H22</f>
        <v>100</v>
      </c>
      <c r="V22" s="901" t="s">
        <v>1697</v>
      </c>
      <c r="W22" s="902">
        <f>J22</f>
        <v>100</v>
      </c>
      <c r="X22" s="895"/>
      <c r="Y22" s="3663"/>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63"/>
      <c r="Q23" s="819">
        <f>B23</f>
        <v>111</v>
      </c>
      <c r="R23" s="901" t="s">
        <v>1697</v>
      </c>
      <c r="S23" s="902">
        <f>F23</f>
        <v>100</v>
      </c>
      <c r="T23" s="901" t="s">
        <v>1697</v>
      </c>
      <c r="U23" s="902">
        <f>H23</f>
        <v>100</v>
      </c>
      <c r="V23" s="901" t="s">
        <v>1697</v>
      </c>
      <c r="W23" s="902">
        <f>J23</f>
        <v>100</v>
      </c>
      <c r="X23" s="895"/>
      <c r="Y23" s="3663"/>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63"/>
      <c r="Q24" s="819">
        <f t="shared" ref="Q24:Q36" si="11">B24</f>
        <v>111</v>
      </c>
      <c r="R24" s="901" t="s">
        <v>1697</v>
      </c>
      <c r="S24" s="902">
        <f>F24</f>
        <v>100</v>
      </c>
      <c r="T24" s="901" t="s">
        <v>1697</v>
      </c>
      <c r="U24" s="902">
        <f>H24</f>
        <v>100</v>
      </c>
      <c r="V24" s="901" t="s">
        <v>1697</v>
      </c>
      <c r="W24" s="902">
        <f>J24</f>
        <v>100</v>
      </c>
      <c r="X24" s="895"/>
      <c r="Y24" s="3663"/>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63"/>
      <c r="Q25" s="900">
        <f t="shared" si="11"/>
        <v>111</v>
      </c>
      <c r="R25" s="896" t="s">
        <v>1697</v>
      </c>
      <c r="S25" s="897">
        <f>F25</f>
        <v>100</v>
      </c>
      <c r="T25" s="896" t="s">
        <v>1697</v>
      </c>
      <c r="U25" s="897">
        <f>H25</f>
        <v>100</v>
      </c>
      <c r="V25" s="896" t="s">
        <v>1697</v>
      </c>
      <c r="W25" s="897">
        <f>J25</f>
        <v>100</v>
      </c>
      <c r="X25" s="898"/>
      <c r="Y25" s="3663"/>
      <c r="Z25" s="911">
        <f>Q25</f>
        <v>111</v>
      </c>
      <c r="AA25" s="912">
        <f t="shared" si="3"/>
        <v>1</v>
      </c>
      <c r="AB25" s="912">
        <f t="shared" si="4"/>
        <v>1</v>
      </c>
      <c r="AC25" s="912">
        <f t="shared" si="5"/>
        <v>1</v>
      </c>
    </row>
    <row r="26" spans="1:29" ht="15">
      <c r="A26" s="1169" t="s">
        <v>1715</v>
      </c>
      <c r="B26" s="1170" t="s">
        <v>1793</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9" t="s">
        <v>1717</v>
      </c>
      <c r="Q26" s="819" t="str">
        <f t="shared" si="11"/>
        <v>配套类型</v>
      </c>
      <c r="R26" s="901" t="s">
        <v>1697</v>
      </c>
      <c r="S26" s="902">
        <f t="shared" ref="S26:S36" si="12">F26</f>
        <v>0</v>
      </c>
      <c r="T26" s="901" t="s">
        <v>1697</v>
      </c>
      <c r="U26" s="902">
        <f t="shared" ref="U26:U36" si="13">H26</f>
        <v>0</v>
      </c>
      <c r="V26" s="901" t="s">
        <v>1697</v>
      </c>
      <c r="W26" s="902">
        <f t="shared" ref="W26:W36" si="14">J26</f>
        <v>0</v>
      </c>
      <c r="X26" s="895"/>
      <c r="Y26" s="3664" t="s">
        <v>1717</v>
      </c>
      <c r="Z26" s="884" t="str">
        <f t="shared" ref="Z26:Z36" si="15">Q26</f>
        <v>配套类型</v>
      </c>
      <c r="AA26" s="912" t="e">
        <f t="shared" si="3"/>
        <v>#DIV/0!</v>
      </c>
      <c r="AB26" s="912" t="e">
        <f t="shared" si="4"/>
        <v>#DIV/0!</v>
      </c>
      <c r="AC26" s="912" t="e">
        <f t="shared" si="5"/>
        <v>#DIV/0!</v>
      </c>
    </row>
    <row r="27" spans="1:29" s="684" customFormat="1" ht="15">
      <c r="A27" s="1172"/>
      <c r="B27" s="758" t="s">
        <v>1794</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64"/>
      <c r="Q27" s="1136" t="str">
        <f t="shared" si="11"/>
        <v>项目停车位配比</v>
      </c>
      <c r="R27" s="903" t="s">
        <v>1697</v>
      </c>
      <c r="S27" s="904">
        <f t="shared" si="12"/>
        <v>100</v>
      </c>
      <c r="T27" s="903" t="s">
        <v>1697</v>
      </c>
      <c r="U27" s="904">
        <f t="shared" si="13"/>
        <v>100</v>
      </c>
      <c r="V27" s="903" t="s">
        <v>1697</v>
      </c>
      <c r="W27" s="904">
        <f t="shared" si="14"/>
        <v>100</v>
      </c>
      <c r="X27" s="905"/>
      <c r="Y27" s="3664"/>
      <c r="Z27" s="913" t="str">
        <f t="shared" si="15"/>
        <v>项目停车位配比</v>
      </c>
      <c r="AA27" s="912">
        <f t="shared" si="3"/>
        <v>1</v>
      </c>
      <c r="AB27" s="912">
        <f t="shared" si="4"/>
        <v>1</v>
      </c>
      <c r="AC27" s="912">
        <f t="shared" si="5"/>
        <v>1</v>
      </c>
    </row>
    <row r="28" spans="1:29" ht="15">
      <c r="A28" s="1174"/>
      <c r="B28" s="758" t="s">
        <v>1721</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64"/>
      <c r="Q28" s="819" t="str">
        <f t="shared" si="11"/>
        <v>公共部分装修</v>
      </c>
      <c r="R28" s="901" t="s">
        <v>1697</v>
      </c>
      <c r="S28" s="902">
        <f t="shared" si="12"/>
        <v>100</v>
      </c>
      <c r="T28" s="901" t="s">
        <v>1697</v>
      </c>
      <c r="U28" s="902">
        <f t="shared" si="13"/>
        <v>100</v>
      </c>
      <c r="V28" s="901" t="s">
        <v>1697</v>
      </c>
      <c r="W28" s="902">
        <f t="shared" si="14"/>
        <v>100</v>
      </c>
      <c r="X28" s="895"/>
      <c r="Y28" s="3664"/>
      <c r="Z28" s="884" t="str">
        <f t="shared" si="15"/>
        <v>公共部分装修</v>
      </c>
      <c r="AA28" s="912">
        <f t="shared" si="3"/>
        <v>1</v>
      </c>
      <c r="AB28" s="912">
        <f t="shared" si="4"/>
        <v>1</v>
      </c>
      <c r="AC28" s="912">
        <f t="shared" si="5"/>
        <v>1</v>
      </c>
    </row>
    <row r="29" spans="1:29" ht="15">
      <c r="A29" s="1174"/>
      <c r="B29" s="758" t="s">
        <v>1795</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64"/>
      <c r="Q29" s="819" t="str">
        <f t="shared" si="11"/>
        <v>成新率</v>
      </c>
      <c r="R29" s="901" t="s">
        <v>1697</v>
      </c>
      <c r="S29" s="902" t="e">
        <f t="shared" si="12"/>
        <v>#N/A</v>
      </c>
      <c r="T29" s="901" t="s">
        <v>1697</v>
      </c>
      <c r="U29" s="902" t="e">
        <f t="shared" si="13"/>
        <v>#N/A</v>
      </c>
      <c r="V29" s="901" t="s">
        <v>1697</v>
      </c>
      <c r="W29" s="902" t="e">
        <f t="shared" si="14"/>
        <v>#N/A</v>
      </c>
      <c r="X29" s="895"/>
      <c r="Y29" s="3664"/>
      <c r="Z29" s="884" t="str">
        <f t="shared" si="15"/>
        <v>成新率</v>
      </c>
      <c r="AA29" s="912" t="e">
        <f t="shared" si="3"/>
        <v>#N/A</v>
      </c>
      <c r="AB29" s="912" t="e">
        <f t="shared" si="4"/>
        <v>#N/A</v>
      </c>
      <c r="AC29" s="912" t="e">
        <f t="shared" si="5"/>
        <v>#N/A</v>
      </c>
    </row>
    <row r="30" spans="1:29" ht="15">
      <c r="A30" s="1174"/>
      <c r="B30" s="758" t="s">
        <v>1796</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64"/>
      <c r="Q30" s="819" t="str">
        <f t="shared" si="11"/>
        <v>物业等级</v>
      </c>
      <c r="R30" s="901" t="s">
        <v>1697</v>
      </c>
      <c r="S30" s="902">
        <f t="shared" si="12"/>
        <v>100</v>
      </c>
      <c r="T30" s="901" t="s">
        <v>1697</v>
      </c>
      <c r="U30" s="902">
        <f t="shared" si="13"/>
        <v>100</v>
      </c>
      <c r="V30" s="901" t="s">
        <v>1697</v>
      </c>
      <c r="W30" s="902">
        <f t="shared" si="14"/>
        <v>100</v>
      </c>
      <c r="X30" s="895"/>
      <c r="Y30" s="3664"/>
      <c r="Z30" s="884" t="str">
        <f t="shared" si="15"/>
        <v>物业等级</v>
      </c>
      <c r="AA30" s="912">
        <f t="shared" si="3"/>
        <v>1</v>
      </c>
      <c r="AB30" s="912">
        <f t="shared" si="4"/>
        <v>1</v>
      </c>
      <c r="AC30" s="912">
        <f t="shared" si="5"/>
        <v>1</v>
      </c>
    </row>
    <row r="31" spans="1:29" s="682" customFormat="1" ht="15">
      <c r="A31" s="1175"/>
      <c r="B31" s="758" t="s">
        <v>1797</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64"/>
      <c r="Q31" s="900" t="str">
        <f t="shared" si="11"/>
        <v>停车位面积</v>
      </c>
      <c r="R31" s="896" t="s">
        <v>1697</v>
      </c>
      <c r="S31" s="897" t="e">
        <f t="shared" si="12"/>
        <v>#N/A</v>
      </c>
      <c r="T31" s="896" t="s">
        <v>1697</v>
      </c>
      <c r="U31" s="897" t="e">
        <f t="shared" si="13"/>
        <v>#N/A</v>
      </c>
      <c r="V31" s="896" t="s">
        <v>1697</v>
      </c>
      <c r="W31" s="897" t="e">
        <f t="shared" si="14"/>
        <v>#N/A</v>
      </c>
      <c r="X31" s="898"/>
      <c r="Y31" s="3664"/>
      <c r="Z31" s="911" t="str">
        <f t="shared" si="15"/>
        <v>停车位面积</v>
      </c>
      <c r="AA31" s="910" t="e">
        <f t="shared" si="3"/>
        <v>#N/A</v>
      </c>
      <c r="AB31" s="910" t="e">
        <f t="shared" si="4"/>
        <v>#N/A</v>
      </c>
      <c r="AC31" s="910" t="e">
        <f t="shared" si="5"/>
        <v>#N/A</v>
      </c>
    </row>
    <row r="32" spans="1:29" ht="15">
      <c r="A32" s="1174"/>
      <c r="B32" s="758" t="s">
        <v>1798</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64" t="s">
        <v>1717</v>
      </c>
      <c r="Q32" s="819" t="str">
        <f t="shared" si="11"/>
        <v>车位类型</v>
      </c>
      <c r="R32" s="901" t="s">
        <v>1697</v>
      </c>
      <c r="S32" s="902">
        <f t="shared" si="12"/>
        <v>100</v>
      </c>
      <c r="T32" s="901" t="s">
        <v>1697</v>
      </c>
      <c r="U32" s="902">
        <f t="shared" si="13"/>
        <v>100</v>
      </c>
      <c r="V32" s="901" t="s">
        <v>1697</v>
      </c>
      <c r="W32" s="902">
        <f t="shared" si="14"/>
        <v>100</v>
      </c>
      <c r="X32" s="895"/>
      <c r="Y32" s="3664" t="s">
        <v>1717</v>
      </c>
      <c r="Z32" s="884" t="str">
        <f t="shared" si="15"/>
        <v>车位类型</v>
      </c>
      <c r="AA32" s="912">
        <f t="shared" si="3"/>
        <v>1</v>
      </c>
      <c r="AB32" s="912">
        <f t="shared" si="4"/>
        <v>1</v>
      </c>
      <c r="AC32" s="912">
        <f t="shared" si="5"/>
        <v>1</v>
      </c>
    </row>
    <row r="33" spans="1:29" ht="15">
      <c r="A33" s="1174"/>
      <c r="B33" s="758" t="s">
        <v>1799</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64"/>
      <c r="Q33" s="819" t="str">
        <f t="shared" si="11"/>
        <v>是否直接入户</v>
      </c>
      <c r="R33" s="901" t="s">
        <v>1697</v>
      </c>
      <c r="S33" s="902">
        <f t="shared" si="12"/>
        <v>100</v>
      </c>
      <c r="T33" s="901" t="s">
        <v>1697</v>
      </c>
      <c r="U33" s="902">
        <f t="shared" si="13"/>
        <v>100</v>
      </c>
      <c r="V33" s="901" t="s">
        <v>1697</v>
      </c>
      <c r="W33" s="902">
        <f t="shared" si="14"/>
        <v>100</v>
      </c>
      <c r="X33" s="895"/>
      <c r="Y33" s="3664"/>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64"/>
      <c r="Q34" s="819">
        <f t="shared" si="11"/>
        <v>111</v>
      </c>
      <c r="R34" s="901" t="s">
        <v>1697</v>
      </c>
      <c r="S34" s="902">
        <f t="shared" si="12"/>
        <v>100</v>
      </c>
      <c r="T34" s="901" t="s">
        <v>1697</v>
      </c>
      <c r="U34" s="902">
        <f t="shared" si="13"/>
        <v>100</v>
      </c>
      <c r="V34" s="901" t="s">
        <v>1697</v>
      </c>
      <c r="W34" s="902">
        <f t="shared" si="14"/>
        <v>100</v>
      </c>
      <c r="X34" s="895"/>
      <c r="Y34" s="3664"/>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64"/>
      <c r="Q35" s="1136">
        <f t="shared" si="11"/>
        <v>111</v>
      </c>
      <c r="R35" s="903" t="s">
        <v>1697</v>
      </c>
      <c r="S35" s="904">
        <f t="shared" si="12"/>
        <v>100</v>
      </c>
      <c r="T35" s="903" t="s">
        <v>1697</v>
      </c>
      <c r="U35" s="904">
        <f t="shared" si="13"/>
        <v>100</v>
      </c>
      <c r="V35" s="903" t="s">
        <v>1697</v>
      </c>
      <c r="W35" s="904">
        <f t="shared" si="14"/>
        <v>100</v>
      </c>
      <c r="X35" s="905"/>
      <c r="Y35" s="3664"/>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64"/>
      <c r="Q36" s="819">
        <f t="shared" si="11"/>
        <v>111</v>
      </c>
      <c r="R36" s="901" t="s">
        <v>1697</v>
      </c>
      <c r="S36" s="902">
        <f t="shared" si="12"/>
        <v>100</v>
      </c>
      <c r="T36" s="901" t="s">
        <v>1697</v>
      </c>
      <c r="U36" s="902">
        <f t="shared" si="13"/>
        <v>100</v>
      </c>
      <c r="V36" s="901" t="s">
        <v>1697</v>
      </c>
      <c r="W36" s="902">
        <f t="shared" si="14"/>
        <v>100</v>
      </c>
      <c r="X36" s="895"/>
      <c r="Y36" s="3664"/>
      <c r="Z36" s="884">
        <f t="shared" si="15"/>
        <v>111</v>
      </c>
      <c r="AA36" s="912">
        <f t="shared" si="3"/>
        <v>1</v>
      </c>
      <c r="AB36" s="912">
        <f t="shared" si="4"/>
        <v>1</v>
      </c>
      <c r="AC36" s="912">
        <f t="shared" si="5"/>
        <v>1</v>
      </c>
    </row>
    <row r="37" spans="1:29" ht="15">
      <c r="A37" s="779" t="s">
        <v>1800</v>
      </c>
      <c r="B37" s="1177" t="s">
        <v>1801</v>
      </c>
      <c r="C37" s="1112" t="s">
        <v>124</v>
      </c>
      <c r="D37" s="1113"/>
      <c r="E37" s="1114"/>
      <c r="F37" s="1115"/>
      <c r="G37" s="1116"/>
      <c r="H37" s="1117"/>
      <c r="I37" s="1114"/>
      <c r="J37" s="1117"/>
      <c r="K37" s="1186"/>
      <c r="L37" s="876"/>
      <c r="M37" s="796"/>
      <c r="N37" s="853"/>
      <c r="O37" s="796"/>
      <c r="P37" s="3649" t="str">
        <f>A37</f>
        <v>成交单价</v>
      </c>
      <c r="Q37" s="3649"/>
      <c r="R37" s="3650">
        <f>E37</f>
        <v>0</v>
      </c>
      <c r="S37" s="3650"/>
      <c r="T37" s="3650">
        <f>G37</f>
        <v>0</v>
      </c>
      <c r="U37" s="3650"/>
      <c r="V37" s="3650">
        <f>I37</f>
        <v>0</v>
      </c>
      <c r="W37" s="3650"/>
      <c r="X37" s="841"/>
      <c r="Y37" s="914"/>
      <c r="Z37" s="841"/>
      <c r="AA37" s="841"/>
      <c r="AB37" s="841"/>
      <c r="AC37" s="841"/>
    </row>
    <row r="38" spans="1:29" ht="15">
      <c r="A38" s="787" t="s">
        <v>1729</v>
      </c>
      <c r="B38" s="1118" t="str">
        <f>B37</f>
        <v>元/平方米</v>
      </c>
      <c r="C38" s="1119" t="e">
        <f>R39</f>
        <v>#DIV/0!</v>
      </c>
      <c r="D38" s="790" t="s">
        <v>1730</v>
      </c>
      <c r="E38" s="1120" t="e">
        <f>R38</f>
        <v>#DIV/0!</v>
      </c>
      <c r="F38" s="791"/>
      <c r="G38" s="1119" t="e">
        <f>T38</f>
        <v>#DIV/0!</v>
      </c>
      <c r="H38" s="791"/>
      <c r="I38" s="1120" t="e">
        <f>V38</f>
        <v>#DIV/0!</v>
      </c>
      <c r="J38" s="791"/>
      <c r="K38" s="877">
        <f>F38+H38+J38</f>
        <v>0</v>
      </c>
      <c r="L38" s="876"/>
      <c r="M38" s="796"/>
      <c r="N38" s="796"/>
      <c r="O38" s="796"/>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841"/>
      <c r="Y38" s="841"/>
      <c r="Z38" s="841"/>
      <c r="AA38" s="841"/>
      <c r="AB38" s="841"/>
      <c r="AC38" s="841"/>
    </row>
    <row r="39" spans="1:29" ht="15">
      <c r="A39" s="793" t="s">
        <v>1802</v>
      </c>
      <c r="B39" s="794"/>
      <c r="C39" s="1121" t="e">
        <f>R39</f>
        <v>#DIV/0!</v>
      </c>
      <c r="D39" s="1121"/>
      <c r="E39" s="1121"/>
      <c r="F39" s="1121"/>
      <c r="G39" s="1121"/>
      <c r="H39" s="1121"/>
      <c r="I39" s="1121"/>
      <c r="J39" s="1121"/>
      <c r="K39" s="1187"/>
      <c r="L39" s="876"/>
      <c r="M39" s="796"/>
      <c r="N39" s="796"/>
      <c r="O39" s="796"/>
      <c r="P39" s="3651" t="str">
        <f>A39</f>
        <v>估价对象XX用房的比较价值（楼面单价，元/平方米）</v>
      </c>
      <c r="Q39" s="3652"/>
      <c r="R39" s="3740" t="e">
        <f>IF(F1="售价",ROUND(IF(D38="简单平均",AVERAGE(R38:W38),R38*F38+T38*H38+V38*J38),0),ROUND(IF(D38="简单平均",AVERAGE(R38:V38),R38*F38+T38*H38+V38*J38),1))</f>
        <v>#DIV/0!</v>
      </c>
      <c r="S39" s="3740"/>
      <c r="T39" s="3740"/>
      <c r="U39" s="3740"/>
      <c r="V39" s="3740"/>
      <c r="W39" s="3740"/>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1732</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1733</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1734</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1735</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1695</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1736</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1698</v>
      </c>
      <c r="B51" s="927"/>
      <c r="C51" s="928" t="s">
        <v>1737</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1738</v>
      </c>
      <c r="B53" s="933" t="s">
        <v>1701</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1704</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1706</v>
      </c>
      <c r="B63" s="933" t="s">
        <v>1709</v>
      </c>
      <c r="C63" s="955" t="s">
        <v>1490</v>
      </c>
      <c r="D63" s="955" t="s">
        <v>1491</v>
      </c>
      <c r="E63" s="955" t="s">
        <v>1492</v>
      </c>
      <c r="F63" s="955" t="s">
        <v>1493</v>
      </c>
      <c r="G63" s="955" t="s">
        <v>1494</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1710</v>
      </c>
      <c r="C65" s="957" t="s">
        <v>1490</v>
      </c>
      <c r="D65" s="957" t="s">
        <v>1491</v>
      </c>
      <c r="E65" s="957" t="s">
        <v>1492</v>
      </c>
      <c r="F65" s="957" t="s">
        <v>1493</v>
      </c>
      <c r="G65" s="957" t="s">
        <v>1494</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1711</v>
      </c>
      <c r="C67" s="962" t="s">
        <v>1739</v>
      </c>
      <c r="D67" s="962" t="s">
        <v>1740</v>
      </c>
      <c r="E67" s="962" t="s">
        <v>1741</v>
      </c>
      <c r="F67" s="962" t="s">
        <v>1742</v>
      </c>
      <c r="G67" s="962" t="s">
        <v>1743</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1712</v>
      </c>
      <c r="C69" s="957" t="s">
        <v>1490</v>
      </c>
      <c r="D69" s="957" t="s">
        <v>1491</v>
      </c>
      <c r="E69" s="957" t="s">
        <v>1492</v>
      </c>
      <c r="F69" s="957" t="s">
        <v>1493</v>
      </c>
      <c r="G69" s="957" t="s">
        <v>1494</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1772</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1715</v>
      </c>
      <c r="B79" s="933" t="s">
        <v>1803</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1794</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1721</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1795</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1796</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1797</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1798</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1799</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1790</v>
      </c>
      <c r="B1" s="1072" t="s">
        <v>1804</v>
      </c>
      <c r="C1" s="1073" t="s">
        <v>1680</v>
      </c>
      <c r="D1" s="1074"/>
      <c r="E1" s="1075"/>
      <c r="F1" s="1076"/>
      <c r="G1" s="1077" t="s">
        <v>1681</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1682</v>
      </c>
      <c r="B4" s="702"/>
      <c r="C4" s="3671" t="s">
        <v>1683</v>
      </c>
      <c r="D4" s="3672"/>
      <c r="E4" s="3673" t="s">
        <v>1684</v>
      </c>
      <c r="F4" s="3674"/>
      <c r="G4" s="3671" t="s">
        <v>1685</v>
      </c>
      <c r="H4" s="3672"/>
      <c r="I4" s="3671" t="s">
        <v>1686</v>
      </c>
      <c r="J4" s="3672"/>
      <c r="K4" s="851"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4" t="s">
        <v>1685</v>
      </c>
      <c r="AC4" s="3633" t="s">
        <v>1686</v>
      </c>
    </row>
    <row r="5" spans="1:29" ht="15">
      <c r="A5" s="703"/>
      <c r="B5" s="704"/>
      <c r="C5" s="3675" t="s">
        <v>1689</v>
      </c>
      <c r="D5" s="3676"/>
      <c r="E5" s="3677" t="s">
        <v>1690</v>
      </c>
      <c r="F5" s="3678"/>
      <c r="G5" s="3675" t="s">
        <v>1691</v>
      </c>
      <c r="H5" s="3676"/>
      <c r="I5" s="3675" t="s">
        <v>1692</v>
      </c>
      <c r="J5" s="3676"/>
      <c r="K5" s="851"/>
      <c r="L5" s="852"/>
      <c r="M5" s="853"/>
      <c r="N5" s="853"/>
      <c r="O5" s="853"/>
      <c r="P5" s="3639"/>
      <c r="Q5" s="3640"/>
      <c r="R5" s="3645"/>
      <c r="S5" s="3646"/>
      <c r="T5" s="3645"/>
      <c r="U5" s="3646"/>
      <c r="V5" s="3636"/>
      <c r="W5" s="3636"/>
      <c r="X5" s="895"/>
      <c r="Y5" s="3645"/>
      <c r="Z5" s="3646"/>
      <c r="AA5" s="3634"/>
      <c r="AB5" s="3634"/>
      <c r="AC5" s="3634"/>
    </row>
    <row r="6" spans="1:29" ht="15">
      <c r="A6" s="705"/>
      <c r="B6" s="706"/>
      <c r="C6" s="3666" t="s">
        <v>1693</v>
      </c>
      <c r="D6" s="3667"/>
      <c r="E6" s="3668" t="s">
        <v>1693</v>
      </c>
      <c r="F6" s="3669"/>
      <c r="G6" s="3666" t="s">
        <v>1693</v>
      </c>
      <c r="H6" s="3667"/>
      <c r="I6" s="3666" t="s">
        <v>1693</v>
      </c>
      <c r="J6" s="3667"/>
      <c r="K6" s="851" t="s">
        <v>1694</v>
      </c>
      <c r="L6" s="852"/>
      <c r="M6" s="853"/>
      <c r="N6" s="853"/>
      <c r="O6" s="853"/>
      <c r="P6" s="3641"/>
      <c r="Q6" s="3642"/>
      <c r="R6" s="3645"/>
      <c r="S6" s="3646"/>
      <c r="T6" s="3647"/>
      <c r="U6" s="3648"/>
      <c r="V6" s="3636"/>
      <c r="W6" s="3636"/>
      <c r="X6" s="895"/>
      <c r="Y6" s="3647"/>
      <c r="Z6" s="3648"/>
      <c r="AA6" s="3635"/>
      <c r="AB6" s="3635"/>
      <c r="AC6" s="3635"/>
    </row>
    <row r="7" spans="1:29" s="682" customFormat="1" ht="15">
      <c r="A7" s="707" t="s">
        <v>1695</v>
      </c>
      <c r="B7" s="708"/>
      <c r="C7" s="709">
        <f>'数据-取费表'!B2</f>
        <v>45540</v>
      </c>
      <c r="D7" s="710">
        <v>100</v>
      </c>
      <c r="E7" s="711"/>
      <c r="F7" s="712">
        <f>SUMIF(46:46,YEAR(E7)&amp;"-"&amp;MONTH(E7),47:47)</f>
        <v>0</v>
      </c>
      <c r="G7" s="713"/>
      <c r="H7" s="710">
        <f>SUMIF(46:46,YEAR(G7)&amp;"-"&amp;MONTH(G7),47:47)</f>
        <v>0</v>
      </c>
      <c r="I7" s="711"/>
      <c r="J7" s="710">
        <f>SUMIF(46:46,YEAR(I7)&amp;"-"&amp;MONTH(I7),47:47)</f>
        <v>0</v>
      </c>
      <c r="K7" s="854"/>
      <c r="L7" s="855"/>
      <c r="M7" s="856"/>
      <c r="N7" s="856"/>
      <c r="O7" s="856"/>
      <c r="P7" s="3654" t="s">
        <v>1696</v>
      </c>
      <c r="Q7" s="3670"/>
      <c r="R7" s="896" t="s">
        <v>1697</v>
      </c>
      <c r="S7" s="897">
        <f t="shared" ref="S7:S14" si="0">F7</f>
        <v>0</v>
      </c>
      <c r="T7" s="896" t="s">
        <v>1697</v>
      </c>
      <c r="U7" s="897">
        <f t="shared" ref="U7:U14" si="1">H7</f>
        <v>0</v>
      </c>
      <c r="V7" s="896" t="s">
        <v>1697</v>
      </c>
      <c r="W7" s="897">
        <f t="shared" ref="W7:W14" si="2">J7</f>
        <v>0</v>
      </c>
      <c r="X7" s="898"/>
      <c r="Y7" s="3654" t="s">
        <v>1696</v>
      </c>
      <c r="Z7" s="3655"/>
      <c r="AA7" s="910" t="e">
        <f>D7/F7</f>
        <v>#DIV/0!</v>
      </c>
      <c r="AB7" s="910" t="e">
        <f>D7/H7</f>
        <v>#DIV/0!</v>
      </c>
      <c r="AC7" s="910" t="e">
        <f>D7/J7</f>
        <v>#DIV/0!</v>
      </c>
    </row>
    <row r="8" spans="1:29" s="682" customFormat="1" ht="15">
      <c r="A8" s="707" t="s">
        <v>1698</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54" t="s">
        <v>1699</v>
      </c>
      <c r="Q8" s="3655"/>
      <c r="R8" s="896" t="s">
        <v>1697</v>
      </c>
      <c r="S8" s="897">
        <f t="shared" si="0"/>
        <v>100</v>
      </c>
      <c r="T8" s="896" t="s">
        <v>1697</v>
      </c>
      <c r="U8" s="897">
        <f t="shared" si="1"/>
        <v>100</v>
      </c>
      <c r="V8" s="896" t="s">
        <v>1697</v>
      </c>
      <c r="W8" s="897">
        <f t="shared" si="2"/>
        <v>100</v>
      </c>
      <c r="X8" s="898"/>
      <c r="Y8" s="3654" t="s">
        <v>1699</v>
      </c>
      <c r="Z8" s="3655"/>
      <c r="AA8" s="910">
        <f t="shared" ref="AA8:AA34" si="3">D8/F8</f>
        <v>1</v>
      </c>
      <c r="AB8" s="910">
        <f t="shared" ref="AB8:AB34" si="4">D8/H8</f>
        <v>1</v>
      </c>
      <c r="AC8" s="910">
        <f t="shared" ref="AC8:AC34" si="5">D8/J8</f>
        <v>1</v>
      </c>
    </row>
    <row r="9" spans="1:29" s="682" customFormat="1">
      <c r="A9" s="715" t="s">
        <v>1700</v>
      </c>
      <c r="B9" s="716" t="s">
        <v>1701</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9" t="s">
        <v>1702</v>
      </c>
      <c r="Q9" s="900" t="str">
        <f t="shared" ref="Q9:Q14" si="6">B9</f>
        <v>用途</v>
      </c>
      <c r="R9" s="896" t="s">
        <v>1697</v>
      </c>
      <c r="S9" s="897">
        <f t="shared" si="0"/>
        <v>100</v>
      </c>
      <c r="T9" s="896" t="s">
        <v>1697</v>
      </c>
      <c r="U9" s="897">
        <f t="shared" si="1"/>
        <v>100</v>
      </c>
      <c r="V9" s="896" t="s">
        <v>1697</v>
      </c>
      <c r="W9" s="897">
        <f t="shared" si="2"/>
        <v>100</v>
      </c>
      <c r="X9" s="898"/>
      <c r="Y9" s="3545" t="s">
        <v>1703</v>
      </c>
      <c r="Z9" s="911" t="str">
        <f t="shared" ref="Z9:Z14" si="7">Q9</f>
        <v>用途</v>
      </c>
      <c r="AA9" s="910">
        <f t="shared" si="3"/>
        <v>1</v>
      </c>
      <c r="AB9" s="910">
        <f t="shared" si="4"/>
        <v>1</v>
      </c>
      <c r="AC9" s="910">
        <f t="shared" si="5"/>
        <v>1</v>
      </c>
    </row>
    <row r="10" spans="1:29" s="683" customFormat="1" ht="27">
      <c r="A10" s="719"/>
      <c r="B10" s="720" t="s">
        <v>1704</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9"/>
      <c r="Q10" s="900" t="str">
        <f t="shared" si="6"/>
        <v>土地使用年限（年）</v>
      </c>
      <c r="R10" s="896" t="s">
        <v>1697</v>
      </c>
      <c r="S10" s="897">
        <f t="shared" si="0"/>
        <v>100</v>
      </c>
      <c r="T10" s="896" t="s">
        <v>1697</v>
      </c>
      <c r="U10" s="897">
        <f t="shared" si="1"/>
        <v>100</v>
      </c>
      <c r="V10" s="896" t="s">
        <v>1697</v>
      </c>
      <c r="W10" s="897">
        <f t="shared" si="2"/>
        <v>100</v>
      </c>
      <c r="X10" s="898"/>
      <c r="Y10" s="3545"/>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9"/>
      <c r="Q11" s="900">
        <f t="shared" si="6"/>
        <v>111</v>
      </c>
      <c r="R11" s="896" t="s">
        <v>1697</v>
      </c>
      <c r="S11" s="897">
        <f t="shared" si="0"/>
        <v>100</v>
      </c>
      <c r="T11" s="896" t="s">
        <v>1697</v>
      </c>
      <c r="U11" s="897">
        <f t="shared" si="1"/>
        <v>100</v>
      </c>
      <c r="V11" s="896" t="s">
        <v>1697</v>
      </c>
      <c r="W11" s="897">
        <f t="shared" si="2"/>
        <v>100</v>
      </c>
      <c r="X11" s="898"/>
      <c r="Y11" s="3545"/>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9"/>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9"/>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85.5">
      <c r="A14" s="737" t="s">
        <v>1706</v>
      </c>
      <c r="B14" s="1036" t="s">
        <v>1709</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62" t="s">
        <v>1708</v>
      </c>
      <c r="Q14" s="819" t="str">
        <f t="shared" si="6"/>
        <v>交通便捷度</v>
      </c>
      <c r="R14" s="901" t="s">
        <v>1697</v>
      </c>
      <c r="S14" s="902">
        <f t="shared" si="0"/>
        <v>100</v>
      </c>
      <c r="T14" s="901" t="s">
        <v>1697</v>
      </c>
      <c r="U14" s="902">
        <f t="shared" si="1"/>
        <v>100</v>
      </c>
      <c r="V14" s="901" t="s">
        <v>1697</v>
      </c>
      <c r="W14" s="902">
        <f t="shared" si="2"/>
        <v>100</v>
      </c>
      <c r="X14" s="895"/>
      <c r="Y14" s="3662" t="s">
        <v>1708</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63"/>
      <c r="Q15" s="819"/>
      <c r="R15" s="901"/>
      <c r="S15" s="902"/>
      <c r="T15" s="901"/>
      <c r="U15" s="902"/>
      <c r="V15" s="901"/>
      <c r="W15" s="902"/>
      <c r="X15" s="895"/>
      <c r="Y15" s="3663"/>
      <c r="Z15" s="884"/>
      <c r="AA15" s="912">
        <v>1</v>
      </c>
      <c r="AB15" s="912">
        <v>1</v>
      </c>
      <c r="AC15" s="912">
        <v>1</v>
      </c>
    </row>
    <row r="16" spans="1:29" ht="42.75">
      <c r="A16" s="723"/>
      <c r="B16" s="1040" t="s">
        <v>1710</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63"/>
      <c r="Q16" s="819" t="str">
        <f>B16</f>
        <v>公共配套设施</v>
      </c>
      <c r="R16" s="901" t="s">
        <v>1697</v>
      </c>
      <c r="S16" s="902">
        <f>F16</f>
        <v>100</v>
      </c>
      <c r="T16" s="901" t="s">
        <v>1697</v>
      </c>
      <c r="U16" s="902">
        <f>H16</f>
        <v>100</v>
      </c>
      <c r="V16" s="901" t="s">
        <v>1697</v>
      </c>
      <c r="W16" s="902">
        <f>J16</f>
        <v>100</v>
      </c>
      <c r="X16" s="895"/>
      <c r="Y16" s="3663"/>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63"/>
      <c r="Q17" s="819"/>
      <c r="R17" s="901"/>
      <c r="S17" s="902"/>
      <c r="T17" s="901"/>
      <c r="U17" s="902"/>
      <c r="V17" s="901"/>
      <c r="W17" s="902"/>
      <c r="X17" s="895"/>
      <c r="Y17" s="3663"/>
      <c r="Z17" s="884"/>
      <c r="AA17" s="912">
        <v>1</v>
      </c>
      <c r="AB17" s="912">
        <v>1</v>
      </c>
      <c r="AC17" s="912">
        <v>1</v>
      </c>
    </row>
    <row r="18" spans="1:29" ht="28.5">
      <c r="A18" s="723"/>
      <c r="B18" s="1045" t="s">
        <v>1711</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63"/>
      <c r="Q18" s="819" t="str">
        <f>B18</f>
        <v>基础设施水平</v>
      </c>
      <c r="R18" s="901" t="s">
        <v>1697</v>
      </c>
      <c r="S18" s="902">
        <f>F18</f>
        <v>100</v>
      </c>
      <c r="T18" s="901" t="s">
        <v>1697</v>
      </c>
      <c r="U18" s="902">
        <f>H18</f>
        <v>100</v>
      </c>
      <c r="V18" s="901" t="s">
        <v>1697</v>
      </c>
      <c r="W18" s="902">
        <f>J18</f>
        <v>100</v>
      </c>
      <c r="X18" s="895"/>
      <c r="Y18" s="3663"/>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63"/>
      <c r="Q19" s="819"/>
      <c r="R19" s="901"/>
      <c r="S19" s="902"/>
      <c r="T19" s="901"/>
      <c r="U19" s="902"/>
      <c r="V19" s="901"/>
      <c r="W19" s="902"/>
      <c r="X19" s="895"/>
      <c r="Y19" s="3663"/>
      <c r="Z19" s="884"/>
      <c r="AA19" s="912">
        <v>1</v>
      </c>
      <c r="AB19" s="912">
        <v>1</v>
      </c>
      <c r="AC19" s="912">
        <v>1</v>
      </c>
    </row>
    <row r="20" spans="1:29" ht="57">
      <c r="A20" s="723"/>
      <c r="B20" s="1040" t="s">
        <v>1712</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63"/>
      <c r="Q20" s="819" t="str">
        <f>B20</f>
        <v>自然及人文环境</v>
      </c>
      <c r="R20" s="901" t="s">
        <v>1697</v>
      </c>
      <c r="S20" s="902">
        <f>F20</f>
        <v>100</v>
      </c>
      <c r="T20" s="901" t="s">
        <v>1697</v>
      </c>
      <c r="U20" s="902">
        <f>H20</f>
        <v>100</v>
      </c>
      <c r="V20" s="901" t="s">
        <v>1697</v>
      </c>
      <c r="W20" s="902">
        <f>J20</f>
        <v>100</v>
      </c>
      <c r="X20" s="895"/>
      <c r="Y20" s="3663"/>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63"/>
      <c r="Q21" s="819"/>
      <c r="R21" s="901"/>
      <c r="S21" s="902"/>
      <c r="T21" s="901"/>
      <c r="U21" s="902"/>
      <c r="V21" s="901"/>
      <c r="W21" s="902"/>
      <c r="X21" s="895"/>
      <c r="Y21" s="3663"/>
      <c r="Z21" s="884"/>
      <c r="AA21" s="912">
        <v>1</v>
      </c>
      <c r="AB21" s="912">
        <v>1</v>
      </c>
      <c r="AC21" s="912">
        <v>1</v>
      </c>
    </row>
    <row r="22" spans="1:29" ht="15">
      <c r="A22" s="723"/>
      <c r="B22" s="1040" t="s">
        <v>1772</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63"/>
      <c r="Q22" s="819" t="str">
        <f>B22</f>
        <v>楼层</v>
      </c>
      <c r="R22" s="901" t="s">
        <v>1697</v>
      </c>
      <c r="S22" s="902">
        <f>F22</f>
        <v>100</v>
      </c>
      <c r="T22" s="901" t="s">
        <v>1697</v>
      </c>
      <c r="U22" s="902">
        <f>H22</f>
        <v>100</v>
      </c>
      <c r="V22" s="901" t="s">
        <v>1697</v>
      </c>
      <c r="W22" s="902">
        <f>J22</f>
        <v>100</v>
      </c>
      <c r="X22" s="895"/>
      <c r="Y22" s="3663"/>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63"/>
      <c r="Q23" s="819">
        <f>B23</f>
        <v>111</v>
      </c>
      <c r="R23" s="901" t="s">
        <v>1697</v>
      </c>
      <c r="S23" s="902">
        <f>F23</f>
        <v>100</v>
      </c>
      <c r="T23" s="901" t="s">
        <v>1697</v>
      </c>
      <c r="U23" s="902">
        <f>H23</f>
        <v>100</v>
      </c>
      <c r="V23" s="901" t="s">
        <v>1697</v>
      </c>
      <c r="W23" s="902">
        <f>J23</f>
        <v>100</v>
      </c>
      <c r="X23" s="895"/>
      <c r="Y23" s="3663"/>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63"/>
      <c r="Q24" s="819">
        <f t="shared" ref="Q24:Q34" si="11">B24</f>
        <v>111</v>
      </c>
      <c r="R24" s="901" t="s">
        <v>1697</v>
      </c>
      <c r="S24" s="902">
        <f>F24</f>
        <v>100</v>
      </c>
      <c r="T24" s="901" t="s">
        <v>1697</v>
      </c>
      <c r="U24" s="902">
        <f>H24</f>
        <v>100</v>
      </c>
      <c r="V24" s="901" t="s">
        <v>1697</v>
      </c>
      <c r="W24" s="902">
        <f>J24</f>
        <v>100</v>
      </c>
      <c r="X24" s="895"/>
      <c r="Y24" s="3663"/>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63"/>
      <c r="Q25" s="900">
        <f t="shared" si="11"/>
        <v>111</v>
      </c>
      <c r="R25" s="896" t="s">
        <v>1697</v>
      </c>
      <c r="S25" s="897">
        <f>F25</f>
        <v>100</v>
      </c>
      <c r="T25" s="896" t="s">
        <v>1697</v>
      </c>
      <c r="U25" s="897">
        <f>H25</f>
        <v>100</v>
      </c>
      <c r="V25" s="896" t="s">
        <v>1697</v>
      </c>
      <c r="W25" s="897">
        <f>J25</f>
        <v>100</v>
      </c>
      <c r="X25" s="898"/>
      <c r="Y25" s="3663"/>
      <c r="Z25" s="911">
        <f>Q25</f>
        <v>111</v>
      </c>
      <c r="AA25" s="912">
        <f t="shared" si="3"/>
        <v>1</v>
      </c>
      <c r="AB25" s="912">
        <f t="shared" si="4"/>
        <v>1</v>
      </c>
      <c r="AC25" s="912">
        <f t="shared" si="5"/>
        <v>1</v>
      </c>
    </row>
    <row r="26" spans="1:29" ht="15">
      <c r="A26" s="1101" t="s">
        <v>1715</v>
      </c>
      <c r="B26" s="716" t="s">
        <v>1721</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9" t="s">
        <v>1717</v>
      </c>
      <c r="Q26" s="819" t="str">
        <f t="shared" si="11"/>
        <v>公共部分装修</v>
      </c>
      <c r="R26" s="901" t="s">
        <v>1697</v>
      </c>
      <c r="S26" s="902">
        <f t="shared" ref="S26:S34" si="12">F26</f>
        <v>100</v>
      </c>
      <c r="T26" s="901" t="s">
        <v>1697</v>
      </c>
      <c r="U26" s="902">
        <f t="shared" ref="U26:U34" si="13">H26</f>
        <v>100</v>
      </c>
      <c r="V26" s="901" t="s">
        <v>1697</v>
      </c>
      <c r="W26" s="902">
        <f t="shared" ref="W26:W34" si="14">J26</f>
        <v>100</v>
      </c>
      <c r="X26" s="895"/>
      <c r="Y26" s="3664" t="s">
        <v>1717</v>
      </c>
      <c r="Z26" s="884" t="str">
        <f t="shared" ref="Z26:Z34" si="15">Q26</f>
        <v>公共部分装修</v>
      </c>
      <c r="AA26" s="912">
        <f t="shared" si="3"/>
        <v>1</v>
      </c>
      <c r="AB26" s="912">
        <f t="shared" si="4"/>
        <v>1</v>
      </c>
      <c r="AC26" s="912">
        <f t="shared" si="5"/>
        <v>1</v>
      </c>
    </row>
    <row r="27" spans="1:29" s="684" customFormat="1" ht="15">
      <c r="A27" s="777"/>
      <c r="B27" s="720" t="s">
        <v>1795</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64"/>
      <c r="Q27" s="1136" t="str">
        <f t="shared" si="11"/>
        <v>成新率</v>
      </c>
      <c r="R27" s="903" t="s">
        <v>1697</v>
      </c>
      <c r="S27" s="904" t="e">
        <f t="shared" si="12"/>
        <v>#N/A</v>
      </c>
      <c r="T27" s="903" t="s">
        <v>1697</v>
      </c>
      <c r="U27" s="904" t="e">
        <f t="shared" si="13"/>
        <v>#N/A</v>
      </c>
      <c r="V27" s="903" t="s">
        <v>1697</v>
      </c>
      <c r="W27" s="904" t="e">
        <f t="shared" si="14"/>
        <v>#N/A</v>
      </c>
      <c r="X27" s="905"/>
      <c r="Y27" s="3664"/>
      <c r="Z27" s="913" t="str">
        <f t="shared" si="15"/>
        <v>成新率</v>
      </c>
      <c r="AA27" s="912" t="e">
        <f t="shared" si="3"/>
        <v>#N/A</v>
      </c>
      <c r="AB27" s="912" t="e">
        <f t="shared" si="4"/>
        <v>#N/A</v>
      </c>
      <c r="AC27" s="912" t="e">
        <f t="shared" si="5"/>
        <v>#N/A</v>
      </c>
    </row>
    <row r="28" spans="1:29" ht="15">
      <c r="A28" s="772"/>
      <c r="B28" s="720" t="s">
        <v>1796</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64"/>
      <c r="Q28" s="819" t="str">
        <f t="shared" si="11"/>
        <v>物业等级</v>
      </c>
      <c r="R28" s="901" t="s">
        <v>1697</v>
      </c>
      <c r="S28" s="902">
        <f t="shared" si="12"/>
        <v>100</v>
      </c>
      <c r="T28" s="901" t="s">
        <v>1697</v>
      </c>
      <c r="U28" s="902">
        <f t="shared" si="13"/>
        <v>100</v>
      </c>
      <c r="V28" s="901" t="s">
        <v>1697</v>
      </c>
      <c r="W28" s="902">
        <f t="shared" si="14"/>
        <v>100</v>
      </c>
      <c r="X28" s="895"/>
      <c r="Y28" s="3664"/>
      <c r="Z28" s="884" t="str">
        <f t="shared" si="15"/>
        <v>物业等级</v>
      </c>
      <c r="AA28" s="912">
        <f t="shared" si="3"/>
        <v>1</v>
      </c>
      <c r="AB28" s="912">
        <f t="shared" si="4"/>
        <v>1</v>
      </c>
      <c r="AC28" s="912">
        <f t="shared" si="5"/>
        <v>1</v>
      </c>
    </row>
    <row r="29" spans="1:29" ht="15">
      <c r="A29" s="772"/>
      <c r="B29" s="720" t="s">
        <v>1805</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64"/>
      <c r="Q29" s="819" t="str">
        <f t="shared" si="11"/>
        <v>有无电梯</v>
      </c>
      <c r="R29" s="901" t="s">
        <v>1697</v>
      </c>
      <c r="S29" s="902">
        <f t="shared" si="12"/>
        <v>100</v>
      </c>
      <c r="T29" s="901" t="s">
        <v>1697</v>
      </c>
      <c r="U29" s="902">
        <f t="shared" si="13"/>
        <v>100</v>
      </c>
      <c r="V29" s="901" t="s">
        <v>1697</v>
      </c>
      <c r="W29" s="902">
        <f t="shared" si="14"/>
        <v>100</v>
      </c>
      <c r="X29" s="895"/>
      <c r="Y29" s="3664"/>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64"/>
      <c r="Q30" s="819" t="str">
        <f t="shared" si="11"/>
        <v>建筑面积</v>
      </c>
      <c r="R30" s="901" t="s">
        <v>1697</v>
      </c>
      <c r="S30" s="902" t="e">
        <f t="shared" si="12"/>
        <v>#N/A</v>
      </c>
      <c r="T30" s="901" t="s">
        <v>1697</v>
      </c>
      <c r="U30" s="902" t="e">
        <f t="shared" si="13"/>
        <v>#N/A</v>
      </c>
      <c r="V30" s="901" t="s">
        <v>1697</v>
      </c>
      <c r="W30" s="902" t="e">
        <f t="shared" si="14"/>
        <v>#N/A</v>
      </c>
      <c r="X30" s="895"/>
      <c r="Y30" s="3664"/>
      <c r="Z30" s="884" t="str">
        <f t="shared" si="15"/>
        <v>建筑面积</v>
      </c>
      <c r="AA30" s="912" t="e">
        <f t="shared" si="3"/>
        <v>#N/A</v>
      </c>
      <c r="AB30" s="912" t="e">
        <f t="shared" si="4"/>
        <v>#N/A</v>
      </c>
      <c r="AC30" s="912" t="e">
        <f t="shared" si="5"/>
        <v>#N/A</v>
      </c>
    </row>
    <row r="31" spans="1:29" s="682" customFormat="1" ht="15">
      <c r="A31" s="774"/>
      <c r="B31" s="720" t="s">
        <v>1806</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64"/>
      <c r="Q31" s="900" t="str">
        <f t="shared" si="11"/>
        <v>是否封闭</v>
      </c>
      <c r="R31" s="896" t="s">
        <v>1697</v>
      </c>
      <c r="S31" s="897">
        <f t="shared" si="12"/>
        <v>100</v>
      </c>
      <c r="T31" s="896" t="s">
        <v>1697</v>
      </c>
      <c r="U31" s="897">
        <f t="shared" si="13"/>
        <v>100</v>
      </c>
      <c r="V31" s="896" t="s">
        <v>1697</v>
      </c>
      <c r="W31" s="897">
        <f t="shared" si="14"/>
        <v>100</v>
      </c>
      <c r="X31" s="898"/>
      <c r="Y31" s="3664"/>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64" t="s">
        <v>1717</v>
      </c>
      <c r="Q32" s="819">
        <f t="shared" si="11"/>
        <v>111</v>
      </c>
      <c r="R32" s="901" t="s">
        <v>1697</v>
      </c>
      <c r="S32" s="902">
        <f t="shared" si="12"/>
        <v>100</v>
      </c>
      <c r="T32" s="901" t="s">
        <v>1697</v>
      </c>
      <c r="U32" s="902">
        <f t="shared" si="13"/>
        <v>100</v>
      </c>
      <c r="V32" s="901" t="s">
        <v>1697</v>
      </c>
      <c r="W32" s="902">
        <f t="shared" si="14"/>
        <v>100</v>
      </c>
      <c r="X32" s="895"/>
      <c r="Y32" s="3664" t="s">
        <v>1717</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64"/>
      <c r="Q33" s="819">
        <f t="shared" si="11"/>
        <v>111</v>
      </c>
      <c r="R33" s="901" t="s">
        <v>1697</v>
      </c>
      <c r="S33" s="902">
        <f t="shared" si="12"/>
        <v>100</v>
      </c>
      <c r="T33" s="901" t="s">
        <v>1697</v>
      </c>
      <c r="U33" s="902">
        <f t="shared" si="13"/>
        <v>100</v>
      </c>
      <c r="V33" s="901" t="s">
        <v>1697</v>
      </c>
      <c r="W33" s="902">
        <f t="shared" si="14"/>
        <v>100</v>
      </c>
      <c r="X33" s="895"/>
      <c r="Y33" s="3664"/>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64"/>
      <c r="Q34" s="819">
        <f t="shared" si="11"/>
        <v>111</v>
      </c>
      <c r="R34" s="901" t="s">
        <v>1697</v>
      </c>
      <c r="S34" s="902">
        <f t="shared" si="12"/>
        <v>100</v>
      </c>
      <c r="T34" s="901" t="s">
        <v>1697</v>
      </c>
      <c r="U34" s="902">
        <f t="shared" si="13"/>
        <v>100</v>
      </c>
      <c r="V34" s="901" t="s">
        <v>1697</v>
      </c>
      <c r="W34" s="902">
        <f t="shared" si="14"/>
        <v>100</v>
      </c>
      <c r="X34" s="895"/>
      <c r="Y34" s="3664"/>
      <c r="Z34" s="884">
        <f t="shared" si="15"/>
        <v>111</v>
      </c>
      <c r="AA34" s="912">
        <f t="shared" si="3"/>
        <v>1</v>
      </c>
      <c r="AB34" s="912">
        <f t="shared" si="4"/>
        <v>1</v>
      </c>
      <c r="AC34" s="912">
        <f t="shared" si="5"/>
        <v>1</v>
      </c>
    </row>
    <row r="35" spans="1:30" ht="15">
      <c r="A35" s="779" t="s">
        <v>1728</v>
      </c>
      <c r="B35" s="1111"/>
      <c r="C35" s="1112" t="s">
        <v>124</v>
      </c>
      <c r="D35" s="1113"/>
      <c r="E35" s="1114"/>
      <c r="F35" s="1115"/>
      <c r="G35" s="1116"/>
      <c r="H35" s="1117"/>
      <c r="I35" s="1114"/>
      <c r="J35" s="1117"/>
      <c r="K35" s="875"/>
      <c r="L35" s="876"/>
      <c r="M35" s="796"/>
      <c r="N35" s="853"/>
      <c r="O35" s="796"/>
      <c r="P35" s="3649" t="str">
        <f>A35</f>
        <v>成交单价（元/平方米）</v>
      </c>
      <c r="Q35" s="3649"/>
      <c r="R35" s="3650">
        <f>E35</f>
        <v>0</v>
      </c>
      <c r="S35" s="3650"/>
      <c r="T35" s="3650">
        <f>G35</f>
        <v>0</v>
      </c>
      <c r="U35" s="3650"/>
      <c r="V35" s="3650">
        <f>I35</f>
        <v>0</v>
      </c>
      <c r="W35" s="3650"/>
      <c r="X35" s="841"/>
      <c r="Y35" s="914"/>
      <c r="Z35" s="841"/>
      <c r="AA35" s="841"/>
      <c r="AB35" s="841"/>
      <c r="AC35" s="841"/>
    </row>
    <row r="36" spans="1:30" ht="15">
      <c r="A36" s="787" t="s">
        <v>1729</v>
      </c>
      <c r="B36" s="1118"/>
      <c r="C36" s="1119" t="e">
        <f>R37</f>
        <v>#DIV/0!</v>
      </c>
      <c r="D36" s="790" t="s">
        <v>1730</v>
      </c>
      <c r="E36" s="1120" t="e">
        <f>R36</f>
        <v>#DIV/0!</v>
      </c>
      <c r="F36" s="791"/>
      <c r="G36" s="1119" t="e">
        <f>T36</f>
        <v>#DIV/0!</v>
      </c>
      <c r="H36" s="791"/>
      <c r="I36" s="1120" t="e">
        <f>V36</f>
        <v>#DIV/0!</v>
      </c>
      <c r="J36" s="791"/>
      <c r="K36" s="877">
        <f>F36+H36+J36</f>
        <v>0</v>
      </c>
      <c r="L36" s="876"/>
      <c r="M36" s="796"/>
      <c r="N36" s="853"/>
      <c r="O36" s="796"/>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841"/>
      <c r="Y36" s="841"/>
      <c r="Z36" s="841"/>
      <c r="AA36" s="841"/>
      <c r="AB36" s="841"/>
      <c r="AC36" s="841"/>
    </row>
    <row r="37" spans="1:30" ht="15">
      <c r="A37" s="793" t="s">
        <v>1731</v>
      </c>
      <c r="B37" s="794"/>
      <c r="C37" s="1121" t="e">
        <f>R37</f>
        <v>#DIV/0!</v>
      </c>
      <c r="D37" s="1121"/>
      <c r="E37" s="1121"/>
      <c r="F37" s="1121"/>
      <c r="G37" s="1121"/>
      <c r="H37" s="1121"/>
      <c r="I37" s="1121"/>
      <c r="J37" s="1121"/>
      <c r="K37" s="878"/>
      <c r="L37" s="876"/>
      <c r="M37" s="796"/>
      <c r="N37" s="796"/>
      <c r="O37" s="796"/>
      <c r="P37" s="3651" t="str">
        <f>A37</f>
        <v>估价对象XX用房的比较价值（楼面单价，元/平方米）</v>
      </c>
      <c r="Q37" s="3652"/>
      <c r="R37" s="3740" t="e">
        <f>IF(F1="售价",ROUND(IF(D36="简单平均",AVERAGE(R36:W36),R36*F36+T36*H36+V36*J36),0),ROUND(IF(D36="简单平均",AVERAGE(R36:V36),R36*F36+T36*H36+V36*J36),1))</f>
        <v>#DIV/0!</v>
      </c>
      <c r="S37" s="3740"/>
      <c r="T37" s="3740"/>
      <c r="U37" s="3740"/>
      <c r="V37" s="3740"/>
      <c r="W37" s="3740"/>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1732</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1733</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1734</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1735</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1695</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1736</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1698</v>
      </c>
      <c r="B49" s="927"/>
      <c r="C49" s="928" t="s">
        <v>1737</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1738</v>
      </c>
      <c r="B51" s="933" t="s">
        <v>1701</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1704</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1706</v>
      </c>
      <c r="B61" s="933" t="s">
        <v>1709</v>
      </c>
      <c r="C61" s="955" t="s">
        <v>1490</v>
      </c>
      <c r="D61" s="955" t="s">
        <v>1491</v>
      </c>
      <c r="E61" s="955" t="s">
        <v>1492</v>
      </c>
      <c r="F61" s="955" t="s">
        <v>1493</v>
      </c>
      <c r="G61" s="955" t="s">
        <v>1494</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1807</v>
      </c>
      <c r="C63" s="957" t="s">
        <v>1490</v>
      </c>
      <c r="D63" s="957" t="s">
        <v>1491</v>
      </c>
      <c r="E63" s="957" t="s">
        <v>1492</v>
      </c>
      <c r="F63" s="957" t="s">
        <v>1493</v>
      </c>
      <c r="G63" s="957" t="s">
        <v>1494</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1711</v>
      </c>
      <c r="C65" s="962" t="s">
        <v>1739</v>
      </c>
      <c r="D65" s="962" t="s">
        <v>1740</v>
      </c>
      <c r="E65" s="962" t="s">
        <v>1741</v>
      </c>
      <c r="F65" s="962" t="s">
        <v>1742</v>
      </c>
      <c r="G65" s="962" t="s">
        <v>1743</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1712</v>
      </c>
      <c r="C67" s="957" t="s">
        <v>1490</v>
      </c>
      <c r="D67" s="957" t="s">
        <v>1491</v>
      </c>
      <c r="E67" s="957" t="s">
        <v>1492</v>
      </c>
      <c r="F67" s="957" t="s">
        <v>1493</v>
      </c>
      <c r="G67" s="957" t="s">
        <v>1494</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1772</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1715</v>
      </c>
      <c r="B77" s="933" t="s">
        <v>1721</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1795</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1796</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1805</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1806</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1808</v>
      </c>
      <c r="B1" s="692"/>
      <c r="C1" s="693" t="s">
        <v>1809</v>
      </c>
      <c r="D1" s="694"/>
      <c r="E1" s="694"/>
      <c r="F1" s="695" t="s">
        <v>1681</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986</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988</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1682</v>
      </c>
      <c r="B4" s="702"/>
      <c r="C4" s="3671" t="s">
        <v>1683</v>
      </c>
      <c r="D4" s="3672"/>
      <c r="E4" s="3673" t="s">
        <v>1684</v>
      </c>
      <c r="F4" s="3674"/>
      <c r="G4" s="3671" t="s">
        <v>1685</v>
      </c>
      <c r="H4" s="3672"/>
      <c r="I4" s="3671" t="s">
        <v>1686</v>
      </c>
      <c r="J4" s="3672"/>
      <c r="K4" s="851"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4" t="s">
        <v>1685</v>
      </c>
      <c r="AC4" s="3633" t="s">
        <v>1686</v>
      </c>
    </row>
    <row r="5" spans="1:30" ht="15">
      <c r="A5" s="703"/>
      <c r="B5" s="704"/>
      <c r="C5" s="3675" t="s">
        <v>1689</v>
      </c>
      <c r="D5" s="3676"/>
      <c r="E5" s="3677" t="s">
        <v>1690</v>
      </c>
      <c r="F5" s="3678"/>
      <c r="G5" s="3675" t="s">
        <v>1691</v>
      </c>
      <c r="H5" s="3676"/>
      <c r="I5" s="3675" t="s">
        <v>1692</v>
      </c>
      <c r="J5" s="3676"/>
      <c r="K5" s="851"/>
      <c r="L5" s="852"/>
      <c r="M5" s="853"/>
      <c r="N5" s="853"/>
      <c r="O5" s="853"/>
      <c r="P5" s="3639"/>
      <c r="Q5" s="3640"/>
      <c r="R5" s="3645"/>
      <c r="S5" s="3646"/>
      <c r="T5" s="3645"/>
      <c r="U5" s="3646"/>
      <c r="V5" s="3636"/>
      <c r="W5" s="3636"/>
      <c r="X5" s="895"/>
      <c r="Y5" s="3645"/>
      <c r="Z5" s="3646"/>
      <c r="AA5" s="3634"/>
      <c r="AB5" s="3634"/>
      <c r="AC5" s="3634"/>
    </row>
    <row r="6" spans="1:30" ht="15">
      <c r="A6" s="705"/>
      <c r="B6" s="706"/>
      <c r="C6" s="3666" t="s">
        <v>1693</v>
      </c>
      <c r="D6" s="3667"/>
      <c r="E6" s="3668" t="s">
        <v>1693</v>
      </c>
      <c r="F6" s="3669"/>
      <c r="G6" s="3666" t="s">
        <v>1693</v>
      </c>
      <c r="H6" s="3667"/>
      <c r="I6" s="3666" t="s">
        <v>1693</v>
      </c>
      <c r="J6" s="3667"/>
      <c r="K6" s="851" t="s">
        <v>1694</v>
      </c>
      <c r="L6" s="852"/>
      <c r="M6" s="853"/>
      <c r="N6" s="853"/>
      <c r="O6" s="853"/>
      <c r="P6" s="3641"/>
      <c r="Q6" s="3642"/>
      <c r="R6" s="3645"/>
      <c r="S6" s="3646"/>
      <c r="T6" s="3647"/>
      <c r="U6" s="3648"/>
      <c r="V6" s="3636"/>
      <c r="W6" s="3636"/>
      <c r="X6" s="895"/>
      <c r="Y6" s="3647"/>
      <c r="Z6" s="3648"/>
      <c r="AA6" s="3635"/>
      <c r="AB6" s="3635"/>
      <c r="AC6" s="3635"/>
    </row>
    <row r="7" spans="1:30" s="682" customFormat="1" ht="15">
      <c r="A7" s="707" t="s">
        <v>1695</v>
      </c>
      <c r="B7" s="708"/>
      <c r="C7" s="709">
        <f>'数据-取费表'!B2</f>
        <v>45540</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54" t="s">
        <v>1696</v>
      </c>
      <c r="Q7" s="3670"/>
      <c r="R7" s="896" t="s">
        <v>1697</v>
      </c>
      <c r="S7" s="897">
        <f t="shared" ref="S7:S15" si="0">F7</f>
        <v>0</v>
      </c>
      <c r="T7" s="896" t="s">
        <v>1697</v>
      </c>
      <c r="U7" s="897">
        <f t="shared" ref="U7:U15" si="1">H7</f>
        <v>0</v>
      </c>
      <c r="V7" s="896" t="s">
        <v>1697</v>
      </c>
      <c r="W7" s="897">
        <f t="shared" ref="W7:W15" si="2">J7</f>
        <v>0</v>
      </c>
      <c r="X7" s="898"/>
      <c r="Y7" s="3654" t="s">
        <v>1696</v>
      </c>
      <c r="Z7" s="3655"/>
      <c r="AA7" s="910" t="e">
        <f>D7/F7</f>
        <v>#DIV/0!</v>
      </c>
      <c r="AB7" s="910" t="e">
        <f>D7/H7</f>
        <v>#DIV/0!</v>
      </c>
      <c r="AC7" s="910" t="e">
        <f>D7/J7</f>
        <v>#DIV/0!</v>
      </c>
    </row>
    <row r="8" spans="1:30" s="682" customFormat="1" ht="15">
      <c r="A8" s="707" t="s">
        <v>1698</v>
      </c>
      <c r="B8" s="708"/>
      <c r="C8" s="714" t="s">
        <v>1737</v>
      </c>
      <c r="D8" s="710">
        <v>100</v>
      </c>
      <c r="E8" s="714"/>
      <c r="F8" s="712">
        <f>SUMIF(72:72,E8,73:73)-SUMIF(72:72,C8,73:73)+100</f>
        <v>0</v>
      </c>
      <c r="G8" s="714"/>
      <c r="H8" s="710">
        <f>SUMIF(72:72,G8,73:73)-SUMIF(72:72,C8,73:73)+100</f>
        <v>0</v>
      </c>
      <c r="I8" s="714"/>
      <c r="J8" s="710">
        <f>SUMIF(72:72,I8,73:73)-SUMIF(72:72,C8,73:73)+100</f>
        <v>0</v>
      </c>
      <c r="K8" s="854"/>
      <c r="L8" s="855"/>
      <c r="M8" s="856"/>
      <c r="N8" s="856"/>
      <c r="O8" s="856"/>
      <c r="P8" s="3654" t="s">
        <v>1699</v>
      </c>
      <c r="Q8" s="3655"/>
      <c r="R8" s="896" t="s">
        <v>1697</v>
      </c>
      <c r="S8" s="897">
        <f t="shared" si="0"/>
        <v>0</v>
      </c>
      <c r="T8" s="896" t="s">
        <v>1697</v>
      </c>
      <c r="U8" s="897">
        <f t="shared" si="1"/>
        <v>0</v>
      </c>
      <c r="V8" s="896" t="s">
        <v>1697</v>
      </c>
      <c r="W8" s="897">
        <f t="shared" si="2"/>
        <v>0</v>
      </c>
      <c r="X8" s="898"/>
      <c r="Y8" s="3654" t="s">
        <v>1699</v>
      </c>
      <c r="Z8" s="3655"/>
      <c r="AA8" s="910" t="e">
        <f t="shared" ref="AA8:AA45" si="3">D8/F8</f>
        <v>#DIV/0!</v>
      </c>
      <c r="AB8" s="910" t="e">
        <f t="shared" ref="AB8:AB45" si="4">D8/H8</f>
        <v>#DIV/0!</v>
      </c>
      <c r="AC8" s="910" t="e">
        <f t="shared" ref="AC8:AC45" si="5">D8/J8</f>
        <v>#DIV/0!</v>
      </c>
    </row>
    <row r="9" spans="1:30" s="682" customFormat="1">
      <c r="A9" s="715" t="s">
        <v>1700</v>
      </c>
      <c r="B9" s="716" t="s">
        <v>1701</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9"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910">
        <f t="shared" si="5"/>
        <v>1</v>
      </c>
    </row>
    <row r="10" spans="1:30" s="683" customFormat="1" ht="27">
      <c r="A10" s="719"/>
      <c r="B10" s="720" t="s">
        <v>1704</v>
      </c>
      <c r="C10" s="721"/>
      <c r="D10" s="722">
        <v>100</v>
      </c>
      <c r="E10" s="1034"/>
      <c r="F10" s="722">
        <f>ROUND(100/'数据-取费表'!G16,0)</f>
        <v>127</v>
      </c>
      <c r="G10" s="1035"/>
      <c r="H10" s="722">
        <f>ROUND(100/'数据-取费表'!G16,0)</f>
        <v>127</v>
      </c>
      <c r="I10" s="1035"/>
      <c r="J10" s="722">
        <f>ROUND(100/'数据-取费表'!G16,0)</f>
        <v>127</v>
      </c>
      <c r="K10" s="858"/>
      <c r="L10" s="859"/>
      <c r="M10" s="860"/>
      <c r="N10" s="860"/>
      <c r="O10" s="861"/>
      <c r="P10" s="3649"/>
      <c r="Q10" s="900" t="str">
        <f t="shared" si="6"/>
        <v>土地使用年限（年）</v>
      </c>
      <c r="R10" s="896" t="s">
        <v>1697</v>
      </c>
      <c r="S10" s="897">
        <f t="shared" si="0"/>
        <v>127</v>
      </c>
      <c r="T10" s="896" t="s">
        <v>1697</v>
      </c>
      <c r="U10" s="897">
        <f t="shared" si="1"/>
        <v>127</v>
      </c>
      <c r="V10" s="896" t="s">
        <v>1697</v>
      </c>
      <c r="W10" s="897">
        <f t="shared" si="2"/>
        <v>127</v>
      </c>
      <c r="X10" s="898"/>
      <c r="Y10" s="3545"/>
      <c r="Z10" s="911" t="str">
        <f t="shared" si="7"/>
        <v>土地使用年限（年）</v>
      </c>
      <c r="AA10" s="910">
        <f t="shared" si="3"/>
        <v>0.78740157480314965</v>
      </c>
      <c r="AB10" s="910">
        <f t="shared" si="4"/>
        <v>0.78740157480314965</v>
      </c>
      <c r="AC10" s="910">
        <f t="shared" si="5"/>
        <v>0.78740157480314965</v>
      </c>
    </row>
    <row r="11" spans="1:30" ht="15">
      <c r="A11" s="723"/>
      <c r="B11" s="720" t="s">
        <v>1705</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9"/>
      <c r="Q11" s="900" t="str">
        <f t="shared" si="6"/>
        <v>容积率</v>
      </c>
      <c r="R11" s="896" t="s">
        <v>1697</v>
      </c>
      <c r="S11" s="897" t="e">
        <f t="shared" si="0"/>
        <v>#N/A</v>
      </c>
      <c r="T11" s="896" t="s">
        <v>1697</v>
      </c>
      <c r="U11" s="897" t="e">
        <f t="shared" si="1"/>
        <v>#N/A</v>
      </c>
      <c r="V11" s="896" t="s">
        <v>1697</v>
      </c>
      <c r="W11" s="897" t="e">
        <f t="shared" si="2"/>
        <v>#N/A</v>
      </c>
      <c r="X11" s="898"/>
      <c r="Y11" s="3545"/>
      <c r="Z11" s="911" t="str">
        <f t="shared" si="7"/>
        <v>容积率</v>
      </c>
      <c r="AA11" s="910" t="e">
        <f t="shared" si="3"/>
        <v>#N/A</v>
      </c>
      <c r="AB11" s="910" t="e">
        <f t="shared" si="4"/>
        <v>#N/A</v>
      </c>
      <c r="AC11" s="910" t="e">
        <f t="shared" si="5"/>
        <v>#N/A</v>
      </c>
    </row>
    <row r="12" spans="1:30" s="682" customFormat="1" ht="15">
      <c r="A12" s="726"/>
      <c r="B12" s="727" t="s">
        <v>1810</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9"/>
      <c r="Q12" s="900" t="str">
        <f t="shared" si="6"/>
        <v>配建</v>
      </c>
      <c r="R12" s="896" t="s">
        <v>1697</v>
      </c>
      <c r="S12" s="897">
        <f t="shared" si="0"/>
        <v>100</v>
      </c>
      <c r="T12" s="896" t="s">
        <v>1697</v>
      </c>
      <c r="U12" s="897">
        <f t="shared" si="1"/>
        <v>100</v>
      </c>
      <c r="V12" s="896" t="s">
        <v>1697</v>
      </c>
      <c r="W12" s="897">
        <f t="shared" si="2"/>
        <v>100</v>
      </c>
      <c r="X12" s="898"/>
      <c r="Y12" s="3545"/>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9"/>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9"/>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910">
        <f t="shared" si="5"/>
        <v>1</v>
      </c>
    </row>
    <row r="15" spans="1:30" ht="99.75">
      <c r="A15" s="737" t="s">
        <v>1706</v>
      </c>
      <c r="B15" s="1036" t="s">
        <v>1707</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62" t="s">
        <v>1708</v>
      </c>
      <c r="Q15" s="819" t="str">
        <f t="shared" si="6"/>
        <v>居住社区成熟度</v>
      </c>
      <c r="R15" s="901" t="s">
        <v>1697</v>
      </c>
      <c r="S15" s="902">
        <f t="shared" si="0"/>
        <v>100</v>
      </c>
      <c r="T15" s="901" t="s">
        <v>1697</v>
      </c>
      <c r="U15" s="902">
        <f t="shared" si="1"/>
        <v>100</v>
      </c>
      <c r="V15" s="901" t="s">
        <v>1697</v>
      </c>
      <c r="W15" s="902">
        <f t="shared" si="2"/>
        <v>100</v>
      </c>
      <c r="X15" s="895"/>
      <c r="Y15" s="3662" t="s">
        <v>1708</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63"/>
      <c r="Q16" s="819"/>
      <c r="R16" s="901"/>
      <c r="S16" s="902"/>
      <c r="T16" s="901"/>
      <c r="U16" s="902"/>
      <c r="V16" s="901"/>
      <c r="W16" s="902"/>
      <c r="X16" s="895"/>
      <c r="Y16" s="3663"/>
      <c r="Z16" s="884"/>
      <c r="AA16" s="912">
        <v>1</v>
      </c>
      <c r="AB16" s="912">
        <v>1</v>
      </c>
      <c r="AC16" s="912">
        <v>1</v>
      </c>
    </row>
    <row r="17" spans="1:29" ht="71.25">
      <c r="A17" s="723"/>
      <c r="B17" s="1040" t="s">
        <v>1768</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63"/>
      <c r="Q17" s="819" t="str">
        <f>B17</f>
        <v>商业繁华度</v>
      </c>
      <c r="R17" s="901" t="s">
        <v>1697</v>
      </c>
      <c r="S17" s="902">
        <f>F17</f>
        <v>100</v>
      </c>
      <c r="T17" s="901" t="s">
        <v>1697</v>
      </c>
      <c r="U17" s="902">
        <f>H17</f>
        <v>100</v>
      </c>
      <c r="V17" s="901" t="s">
        <v>1697</v>
      </c>
      <c r="W17" s="902">
        <f>J17</f>
        <v>100</v>
      </c>
      <c r="X17" s="895"/>
      <c r="Y17" s="3663"/>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63"/>
      <c r="Q18" s="819"/>
      <c r="R18" s="901"/>
      <c r="S18" s="902"/>
      <c r="T18" s="901"/>
      <c r="U18" s="902"/>
      <c r="V18" s="901"/>
      <c r="W18" s="902"/>
      <c r="X18" s="895"/>
      <c r="Y18" s="3663"/>
      <c r="Z18" s="884"/>
      <c r="AA18" s="912">
        <v>1</v>
      </c>
      <c r="AB18" s="912">
        <v>1</v>
      </c>
      <c r="AC18" s="912">
        <v>1</v>
      </c>
    </row>
    <row r="19" spans="1:29" ht="71.25">
      <c r="A19" s="723"/>
      <c r="B19" s="1040" t="s">
        <v>1780</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63"/>
      <c r="Q19" s="819" t="str">
        <f>B19</f>
        <v>办公集聚程度</v>
      </c>
      <c r="R19" s="901" t="s">
        <v>1697</v>
      </c>
      <c r="S19" s="902">
        <f>F19</f>
        <v>100</v>
      </c>
      <c r="T19" s="901" t="s">
        <v>1697</v>
      </c>
      <c r="U19" s="902">
        <f>H19</f>
        <v>100</v>
      </c>
      <c r="V19" s="901" t="s">
        <v>1697</v>
      </c>
      <c r="W19" s="902">
        <f>J19</f>
        <v>100</v>
      </c>
      <c r="X19" s="895"/>
      <c r="Y19" s="3663"/>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63"/>
      <c r="Q20" s="819"/>
      <c r="R20" s="901"/>
      <c r="S20" s="902"/>
      <c r="T20" s="901"/>
      <c r="U20" s="902"/>
      <c r="V20" s="901"/>
      <c r="W20" s="902"/>
      <c r="X20" s="895"/>
      <c r="Y20" s="3663"/>
      <c r="Z20" s="884"/>
      <c r="AA20" s="912">
        <v>1</v>
      </c>
      <c r="AB20" s="912">
        <v>1</v>
      </c>
      <c r="AC20" s="912">
        <v>1</v>
      </c>
    </row>
    <row r="21" spans="1:29" ht="85.5">
      <c r="A21" s="723"/>
      <c r="B21" s="1040" t="s">
        <v>1709</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63"/>
      <c r="Q21" s="819" t="str">
        <f>B21</f>
        <v>交通便捷度</v>
      </c>
      <c r="R21" s="901" t="s">
        <v>1697</v>
      </c>
      <c r="S21" s="902">
        <f>F21</f>
        <v>100</v>
      </c>
      <c r="T21" s="901" t="s">
        <v>1697</v>
      </c>
      <c r="U21" s="902">
        <f>H21</f>
        <v>100</v>
      </c>
      <c r="V21" s="901" t="s">
        <v>1697</v>
      </c>
      <c r="W21" s="902">
        <f>J21</f>
        <v>100</v>
      </c>
      <c r="X21" s="895"/>
      <c r="Y21" s="3663"/>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63"/>
      <c r="Q22" s="819"/>
      <c r="R22" s="901"/>
      <c r="S22" s="902"/>
      <c r="T22" s="901"/>
      <c r="U22" s="902"/>
      <c r="V22" s="901"/>
      <c r="W22" s="902"/>
      <c r="X22" s="895"/>
      <c r="Y22" s="3663"/>
      <c r="Z22" s="884"/>
      <c r="AA22" s="912">
        <v>1</v>
      </c>
      <c r="AB22" s="912">
        <v>1</v>
      </c>
      <c r="AC22" s="912">
        <v>1</v>
      </c>
    </row>
    <row r="23" spans="1:29" ht="15">
      <c r="A23" s="703"/>
      <c r="B23" s="1040" t="s">
        <v>1811</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63"/>
      <c r="Q23" s="819" t="str">
        <f t="shared" ref="Q23:Q38" si="8">B23</f>
        <v>区域土地利用方向</v>
      </c>
      <c r="R23" s="901" t="s">
        <v>1697</v>
      </c>
      <c r="S23" s="902">
        <f>F23</f>
        <v>100</v>
      </c>
      <c r="T23" s="901" t="s">
        <v>1697</v>
      </c>
      <c r="U23" s="902">
        <f>H23</f>
        <v>100</v>
      </c>
      <c r="V23" s="901" t="s">
        <v>1697</v>
      </c>
      <c r="W23" s="902">
        <f>J23</f>
        <v>100</v>
      </c>
      <c r="X23" s="895"/>
      <c r="Y23" s="3663"/>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63"/>
      <c r="Q24" s="819"/>
      <c r="R24" s="901"/>
      <c r="S24" s="902"/>
      <c r="T24" s="901"/>
      <c r="U24" s="902"/>
      <c r="V24" s="901"/>
      <c r="W24" s="902"/>
      <c r="X24" s="895"/>
      <c r="Y24" s="3663"/>
      <c r="Z24" s="884"/>
      <c r="AA24" s="912"/>
      <c r="AB24" s="912"/>
      <c r="AC24" s="912"/>
    </row>
    <row r="25" spans="1:29" ht="57">
      <c r="A25" s="703"/>
      <c r="B25" s="1045" t="s">
        <v>1812</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63"/>
      <c r="Q25" s="819" t="str">
        <f t="shared" si="8"/>
        <v>自然及人文环境状况</v>
      </c>
      <c r="R25" s="901" t="s">
        <v>1697</v>
      </c>
      <c r="S25" s="902">
        <f>F25</f>
        <v>100</v>
      </c>
      <c r="T25" s="901" t="s">
        <v>1697</v>
      </c>
      <c r="U25" s="902">
        <f>H25</f>
        <v>100</v>
      </c>
      <c r="V25" s="901" t="s">
        <v>1697</v>
      </c>
      <c r="W25" s="902">
        <f>J25</f>
        <v>100</v>
      </c>
      <c r="X25" s="895"/>
      <c r="Y25" s="3663"/>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63"/>
      <c r="Q26" s="819"/>
      <c r="R26" s="901"/>
      <c r="S26" s="902"/>
      <c r="T26" s="901"/>
      <c r="U26" s="902"/>
      <c r="V26" s="901"/>
      <c r="W26" s="902"/>
      <c r="X26" s="895"/>
      <c r="Y26" s="3663"/>
      <c r="Z26" s="884"/>
      <c r="AA26" s="912">
        <v>1</v>
      </c>
      <c r="AB26" s="912">
        <v>1</v>
      </c>
      <c r="AC26" s="912">
        <v>1</v>
      </c>
    </row>
    <row r="27" spans="1:29" s="682" customFormat="1" ht="42.75">
      <c r="A27" s="751"/>
      <c r="B27" s="1045" t="s">
        <v>1710</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63"/>
      <c r="Q27" s="900" t="str">
        <f t="shared" si="8"/>
        <v>公共配套设施</v>
      </c>
      <c r="R27" s="896" t="s">
        <v>1697</v>
      </c>
      <c r="S27" s="897">
        <f>F27</f>
        <v>100</v>
      </c>
      <c r="T27" s="896" t="s">
        <v>1697</v>
      </c>
      <c r="U27" s="897">
        <f>H27</f>
        <v>100</v>
      </c>
      <c r="V27" s="896" t="s">
        <v>1697</v>
      </c>
      <c r="W27" s="897">
        <f>J27</f>
        <v>100</v>
      </c>
      <c r="X27" s="898"/>
      <c r="Y27" s="3663"/>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63"/>
      <c r="Q28" s="900"/>
      <c r="R28" s="896"/>
      <c r="S28" s="897"/>
      <c r="T28" s="896"/>
      <c r="U28" s="897"/>
      <c r="V28" s="896"/>
      <c r="W28" s="897"/>
      <c r="X28" s="898"/>
      <c r="Y28" s="3663"/>
      <c r="Z28" s="911"/>
      <c r="AA28" s="912">
        <v>1</v>
      </c>
      <c r="AB28" s="912">
        <v>1</v>
      </c>
      <c r="AC28" s="912">
        <v>1</v>
      </c>
    </row>
    <row r="29" spans="1:29" s="682" customFormat="1" ht="28.5">
      <c r="A29" s="751"/>
      <c r="B29" s="1045" t="s">
        <v>1711</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63"/>
      <c r="Q29" s="900" t="str">
        <f t="shared" ref="Q29" si="9">B29</f>
        <v>基础设施水平</v>
      </c>
      <c r="R29" s="896" t="s">
        <v>1697</v>
      </c>
      <c r="S29" s="897">
        <f>F29</f>
        <v>100</v>
      </c>
      <c r="T29" s="896" t="s">
        <v>1697</v>
      </c>
      <c r="U29" s="897">
        <f>H29</f>
        <v>100</v>
      </c>
      <c r="V29" s="896" t="s">
        <v>1697</v>
      </c>
      <c r="W29" s="897">
        <f>J29</f>
        <v>100</v>
      </c>
      <c r="X29" s="898"/>
      <c r="Y29" s="3663"/>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63"/>
      <c r="Q30" s="900"/>
      <c r="R30" s="896"/>
      <c r="S30" s="897"/>
      <c r="T30" s="896"/>
      <c r="U30" s="897"/>
      <c r="V30" s="896"/>
      <c r="W30" s="897"/>
      <c r="X30" s="898"/>
      <c r="Y30" s="3663"/>
      <c r="Z30" s="911"/>
      <c r="AA30" s="912">
        <v>1</v>
      </c>
      <c r="AB30" s="912">
        <v>1</v>
      </c>
      <c r="AC30" s="912">
        <v>1</v>
      </c>
    </row>
    <row r="31" spans="1:29" ht="15">
      <c r="A31" s="723"/>
      <c r="B31" s="769" t="s">
        <v>1769</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63"/>
      <c r="Q31" s="819" t="str">
        <f t="shared" si="8"/>
        <v>临街状况</v>
      </c>
      <c r="R31" s="901" t="s">
        <v>1697</v>
      </c>
      <c r="S31" s="902">
        <f t="shared" ref="S31:S45" si="10">F31</f>
        <v>100</v>
      </c>
      <c r="T31" s="901" t="s">
        <v>1697</v>
      </c>
      <c r="U31" s="902">
        <f t="shared" ref="U31:U45" si="11">H31</f>
        <v>100</v>
      </c>
      <c r="V31" s="901" t="s">
        <v>1697</v>
      </c>
      <c r="W31" s="902">
        <f t="shared" ref="W31:W45" si="12">J31</f>
        <v>100</v>
      </c>
      <c r="X31" s="895"/>
      <c r="Y31" s="3663"/>
      <c r="Z31" s="884" t="str">
        <f t="shared" ref="Z31:Z45" si="13">Q31</f>
        <v>临街状况</v>
      </c>
      <c r="AA31" s="912">
        <f t="shared" si="3"/>
        <v>1</v>
      </c>
      <c r="AB31" s="912">
        <f t="shared" si="4"/>
        <v>1</v>
      </c>
      <c r="AC31" s="912">
        <f t="shared" si="5"/>
        <v>1</v>
      </c>
    </row>
    <row r="32" spans="1:29" ht="27">
      <c r="A32" s="723"/>
      <c r="B32" s="1045" t="s">
        <v>1782</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63"/>
      <c r="Q32" s="819" t="str">
        <f t="shared" si="8"/>
        <v>毗邻道路的类型与等级</v>
      </c>
      <c r="R32" s="901" t="s">
        <v>1697</v>
      </c>
      <c r="S32" s="902">
        <f t="shared" si="10"/>
        <v>100</v>
      </c>
      <c r="T32" s="901" t="s">
        <v>1697</v>
      </c>
      <c r="U32" s="902">
        <f t="shared" si="11"/>
        <v>100</v>
      </c>
      <c r="V32" s="901" t="s">
        <v>1697</v>
      </c>
      <c r="W32" s="902">
        <f t="shared" si="12"/>
        <v>100</v>
      </c>
      <c r="X32" s="895"/>
      <c r="Y32" s="3663"/>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63"/>
      <c r="Q33" s="819"/>
      <c r="R33" s="901"/>
      <c r="S33" s="902"/>
      <c r="T33" s="901"/>
      <c r="U33" s="902"/>
      <c r="V33" s="901"/>
      <c r="W33" s="902"/>
      <c r="X33" s="895"/>
      <c r="Y33" s="3663"/>
      <c r="Z33" s="884"/>
      <c r="AA33" s="912">
        <v>1</v>
      </c>
      <c r="AB33" s="912">
        <v>1</v>
      </c>
      <c r="AC33" s="912">
        <v>1</v>
      </c>
    </row>
    <row r="34" spans="1:29" ht="15">
      <c r="A34" s="723"/>
      <c r="B34" s="720" t="s">
        <v>1813</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63"/>
      <c r="Q34" s="819" t="str">
        <f t="shared" si="8"/>
        <v>土地级别</v>
      </c>
      <c r="R34" s="901" t="s">
        <v>1697</v>
      </c>
      <c r="S34" s="902">
        <f t="shared" si="10"/>
        <v>100</v>
      </c>
      <c r="T34" s="901" t="s">
        <v>1697</v>
      </c>
      <c r="U34" s="902">
        <f t="shared" si="11"/>
        <v>100</v>
      </c>
      <c r="V34" s="901" t="s">
        <v>1697</v>
      </c>
      <c r="W34" s="902">
        <f t="shared" si="12"/>
        <v>100</v>
      </c>
      <c r="X34" s="895"/>
      <c r="Y34" s="3663"/>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63"/>
      <c r="Q35" s="819">
        <f t="shared" si="8"/>
        <v>111</v>
      </c>
      <c r="R35" s="901" t="s">
        <v>1697</v>
      </c>
      <c r="S35" s="902">
        <f t="shared" si="10"/>
        <v>100</v>
      </c>
      <c r="T35" s="901" t="s">
        <v>1697</v>
      </c>
      <c r="U35" s="902">
        <f t="shared" si="11"/>
        <v>100</v>
      </c>
      <c r="V35" s="901" t="s">
        <v>1697</v>
      </c>
      <c r="W35" s="902">
        <f t="shared" si="12"/>
        <v>100</v>
      </c>
      <c r="X35" s="895"/>
      <c r="Y35" s="3663"/>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9" t="s">
        <v>1717</v>
      </c>
      <c r="Q36" s="819">
        <f t="shared" si="8"/>
        <v>111</v>
      </c>
      <c r="R36" s="901" t="s">
        <v>1697</v>
      </c>
      <c r="S36" s="902">
        <f t="shared" si="10"/>
        <v>100</v>
      </c>
      <c r="T36" s="901" t="s">
        <v>1697</v>
      </c>
      <c r="U36" s="902">
        <f t="shared" si="11"/>
        <v>100</v>
      </c>
      <c r="V36" s="901" t="s">
        <v>1697</v>
      </c>
      <c r="W36" s="902">
        <f t="shared" si="12"/>
        <v>100</v>
      </c>
      <c r="X36" s="895"/>
      <c r="Y36" s="3664" t="s">
        <v>1717</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64"/>
      <c r="Q37" s="819">
        <f t="shared" si="8"/>
        <v>111</v>
      </c>
      <c r="R37" s="903" t="s">
        <v>1697</v>
      </c>
      <c r="S37" s="904">
        <f t="shared" si="10"/>
        <v>100</v>
      </c>
      <c r="T37" s="903" t="s">
        <v>1697</v>
      </c>
      <c r="U37" s="904">
        <f t="shared" si="11"/>
        <v>100</v>
      </c>
      <c r="V37" s="903" t="s">
        <v>1697</v>
      </c>
      <c r="W37" s="904">
        <f t="shared" si="12"/>
        <v>100</v>
      </c>
      <c r="X37" s="905"/>
      <c r="Y37" s="3664"/>
      <c r="Z37" s="913">
        <f t="shared" si="13"/>
        <v>111</v>
      </c>
      <c r="AA37" s="912">
        <f t="shared" si="3"/>
        <v>1</v>
      </c>
      <c r="AB37" s="912">
        <f t="shared" si="4"/>
        <v>1</v>
      </c>
      <c r="AC37" s="912">
        <f t="shared" si="5"/>
        <v>1</v>
      </c>
    </row>
    <row r="38" spans="1:29" ht="15">
      <c r="A38" s="772" t="s">
        <v>1715</v>
      </c>
      <c r="B38" s="769" t="s">
        <v>1814</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64"/>
      <c r="Q38" s="819" t="str">
        <f t="shared" si="8"/>
        <v>宗地面积</v>
      </c>
      <c r="R38" s="901" t="s">
        <v>1697</v>
      </c>
      <c r="S38" s="902" t="e">
        <f t="shared" si="10"/>
        <v>#N/A</v>
      </c>
      <c r="T38" s="901" t="s">
        <v>1697</v>
      </c>
      <c r="U38" s="902" t="e">
        <f t="shared" si="11"/>
        <v>#N/A</v>
      </c>
      <c r="V38" s="901" t="s">
        <v>1697</v>
      </c>
      <c r="W38" s="902" t="e">
        <f t="shared" si="12"/>
        <v>#N/A</v>
      </c>
      <c r="X38" s="895"/>
      <c r="Y38" s="3664"/>
      <c r="Z38" s="884" t="str">
        <f t="shared" si="13"/>
        <v>宗地面积</v>
      </c>
      <c r="AA38" s="912" t="e">
        <f t="shared" si="3"/>
        <v>#N/A</v>
      </c>
      <c r="AB38" s="912" t="e">
        <f t="shared" si="4"/>
        <v>#N/A</v>
      </c>
      <c r="AC38" s="912" t="e">
        <f t="shared" si="5"/>
        <v>#N/A</v>
      </c>
    </row>
    <row r="39" spans="1:29" ht="15">
      <c r="A39" s="772"/>
      <c r="B39" s="720" t="s">
        <v>1815</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64"/>
      <c r="Q39" s="819" t="str">
        <f t="shared" ref="Q39:Q45" si="14">B39</f>
        <v>宗地形状</v>
      </c>
      <c r="R39" s="901" t="s">
        <v>1697</v>
      </c>
      <c r="S39" s="902">
        <f t="shared" si="10"/>
        <v>100</v>
      </c>
      <c r="T39" s="901" t="s">
        <v>1697</v>
      </c>
      <c r="U39" s="902">
        <f t="shared" si="11"/>
        <v>100</v>
      </c>
      <c r="V39" s="901" t="s">
        <v>1697</v>
      </c>
      <c r="W39" s="902">
        <f t="shared" si="12"/>
        <v>100</v>
      </c>
      <c r="X39" s="895"/>
      <c r="Y39" s="3664"/>
      <c r="Z39" s="884" t="str">
        <f t="shared" si="13"/>
        <v>宗地形状</v>
      </c>
      <c r="AA39" s="912">
        <f t="shared" si="3"/>
        <v>1</v>
      </c>
      <c r="AB39" s="912">
        <f t="shared" si="4"/>
        <v>1</v>
      </c>
      <c r="AC39" s="912">
        <f t="shared" si="5"/>
        <v>1</v>
      </c>
    </row>
    <row r="40" spans="1:29" ht="15">
      <c r="A40" s="772"/>
      <c r="B40" s="720" t="s">
        <v>1816</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64"/>
      <c r="Q40" s="819" t="str">
        <f t="shared" si="14"/>
        <v>临街宽度及深度</v>
      </c>
      <c r="R40" s="901" t="s">
        <v>1697</v>
      </c>
      <c r="S40" s="902">
        <f t="shared" si="10"/>
        <v>100</v>
      </c>
      <c r="T40" s="901" t="s">
        <v>1697</v>
      </c>
      <c r="U40" s="902">
        <f t="shared" si="11"/>
        <v>100</v>
      </c>
      <c r="V40" s="901" t="s">
        <v>1697</v>
      </c>
      <c r="W40" s="902">
        <f t="shared" si="12"/>
        <v>100</v>
      </c>
      <c r="X40" s="895"/>
      <c r="Y40" s="3664"/>
      <c r="Z40" s="884" t="str">
        <f t="shared" si="13"/>
        <v>临街宽度及深度</v>
      </c>
      <c r="AA40" s="912">
        <f t="shared" si="3"/>
        <v>1</v>
      </c>
      <c r="AB40" s="912">
        <f t="shared" si="4"/>
        <v>1</v>
      </c>
      <c r="AC40" s="912">
        <f t="shared" si="5"/>
        <v>1</v>
      </c>
    </row>
    <row r="41" spans="1:29" s="682" customFormat="1" ht="15">
      <c r="A41" s="774"/>
      <c r="B41" s="720" t="s">
        <v>1817</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64"/>
      <c r="Q41" s="819" t="str">
        <f t="shared" si="14"/>
        <v>宗地开发程度</v>
      </c>
      <c r="R41" s="896" t="s">
        <v>1697</v>
      </c>
      <c r="S41" s="897">
        <f t="shared" si="10"/>
        <v>100</v>
      </c>
      <c r="T41" s="896" t="s">
        <v>1697</v>
      </c>
      <c r="U41" s="897">
        <f t="shared" si="11"/>
        <v>100</v>
      </c>
      <c r="V41" s="896" t="s">
        <v>1697</v>
      </c>
      <c r="W41" s="897">
        <f t="shared" si="12"/>
        <v>100</v>
      </c>
      <c r="X41" s="898"/>
      <c r="Y41" s="3664"/>
      <c r="Z41" s="911" t="str">
        <f t="shared" si="13"/>
        <v>宗地开发程度</v>
      </c>
      <c r="AA41" s="910">
        <f t="shared" si="3"/>
        <v>1</v>
      </c>
      <c r="AB41" s="910">
        <f t="shared" si="4"/>
        <v>1</v>
      </c>
      <c r="AC41" s="910">
        <f t="shared" si="5"/>
        <v>1</v>
      </c>
    </row>
    <row r="42" spans="1:29" ht="15">
      <c r="A42" s="772"/>
      <c r="B42" s="720" t="s">
        <v>1818</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64" t="s">
        <v>1717</v>
      </c>
      <c r="Q42" s="819" t="str">
        <f t="shared" si="14"/>
        <v>工程地质条件</v>
      </c>
      <c r="R42" s="901" t="s">
        <v>1697</v>
      </c>
      <c r="S42" s="902">
        <f t="shared" si="10"/>
        <v>100</v>
      </c>
      <c r="T42" s="901" t="s">
        <v>1697</v>
      </c>
      <c r="U42" s="902">
        <f t="shared" si="11"/>
        <v>100</v>
      </c>
      <c r="V42" s="901" t="s">
        <v>1697</v>
      </c>
      <c r="W42" s="902">
        <f t="shared" si="12"/>
        <v>100</v>
      </c>
      <c r="X42" s="895"/>
      <c r="Y42" s="3664" t="s">
        <v>1717</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64"/>
      <c r="Q43" s="819">
        <f t="shared" si="14"/>
        <v>111</v>
      </c>
      <c r="R43" s="901" t="s">
        <v>1697</v>
      </c>
      <c r="S43" s="902">
        <f t="shared" si="10"/>
        <v>100</v>
      </c>
      <c r="T43" s="901" t="s">
        <v>1697</v>
      </c>
      <c r="U43" s="902">
        <f t="shared" si="11"/>
        <v>100</v>
      </c>
      <c r="V43" s="901" t="s">
        <v>1697</v>
      </c>
      <c r="W43" s="902">
        <f t="shared" si="12"/>
        <v>100</v>
      </c>
      <c r="X43" s="895"/>
      <c r="Y43" s="3664"/>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64"/>
      <c r="Q44" s="819">
        <f t="shared" si="14"/>
        <v>111</v>
      </c>
      <c r="R44" s="901" t="s">
        <v>1697</v>
      </c>
      <c r="S44" s="902">
        <f t="shared" si="10"/>
        <v>100</v>
      </c>
      <c r="T44" s="901" t="s">
        <v>1697</v>
      </c>
      <c r="U44" s="902">
        <f t="shared" si="11"/>
        <v>100</v>
      </c>
      <c r="V44" s="901" t="s">
        <v>1697</v>
      </c>
      <c r="W44" s="902">
        <f t="shared" si="12"/>
        <v>100</v>
      </c>
      <c r="X44" s="895"/>
      <c r="Y44" s="3664"/>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64"/>
      <c r="Q45" s="819">
        <f t="shared" si="14"/>
        <v>111</v>
      </c>
      <c r="R45" s="903" t="s">
        <v>1697</v>
      </c>
      <c r="S45" s="904">
        <f t="shared" si="10"/>
        <v>100</v>
      </c>
      <c r="T45" s="903" t="s">
        <v>1697</v>
      </c>
      <c r="U45" s="904">
        <f t="shared" si="11"/>
        <v>100</v>
      </c>
      <c r="V45" s="903" t="s">
        <v>1697</v>
      </c>
      <c r="W45" s="904">
        <f t="shared" si="12"/>
        <v>100</v>
      </c>
      <c r="X45" s="905"/>
      <c r="Y45" s="3664"/>
      <c r="Z45" s="913">
        <f t="shared" si="13"/>
        <v>111</v>
      </c>
      <c r="AA45" s="912">
        <f t="shared" si="3"/>
        <v>1</v>
      </c>
      <c r="AB45" s="912">
        <f t="shared" si="4"/>
        <v>1</v>
      </c>
      <c r="AC45" s="912">
        <f t="shared" si="5"/>
        <v>1</v>
      </c>
    </row>
    <row r="46" spans="1:29" ht="15">
      <c r="A46" s="779" t="s">
        <v>1800</v>
      </c>
      <c r="B46" s="780" t="s">
        <v>1819</v>
      </c>
      <c r="C46" s="781" t="s">
        <v>124</v>
      </c>
      <c r="D46" s="782"/>
      <c r="E46" s="783"/>
      <c r="F46" s="784"/>
      <c r="G46" s="785"/>
      <c r="H46" s="786"/>
      <c r="I46" s="783"/>
      <c r="J46" s="786"/>
      <c r="K46" s="875"/>
      <c r="L46" s="876"/>
      <c r="M46" s="796"/>
      <c r="N46" s="853"/>
      <c r="O46" s="796"/>
      <c r="P46" s="3649" t="str">
        <f>A46</f>
        <v>成交单价</v>
      </c>
      <c r="Q46" s="3649"/>
      <c r="R46" s="3636">
        <f>E46</f>
        <v>0</v>
      </c>
      <c r="S46" s="3636"/>
      <c r="T46" s="3636">
        <f>G46</f>
        <v>0</v>
      </c>
      <c r="U46" s="3636"/>
      <c r="V46" s="3636">
        <f>I46</f>
        <v>0</v>
      </c>
      <c r="W46" s="3636"/>
      <c r="X46" s="841"/>
      <c r="Y46" s="914"/>
      <c r="Z46" s="841"/>
      <c r="AA46" s="841"/>
      <c r="AB46" s="841"/>
      <c r="AC46" s="841"/>
    </row>
    <row r="47" spans="1:29" ht="15">
      <c r="A47" s="787" t="s">
        <v>1729</v>
      </c>
      <c r="B47" s="788"/>
      <c r="C47" s="789" t="e">
        <f>R48</f>
        <v>#DIV/0!</v>
      </c>
      <c r="D47" s="790" t="s">
        <v>1730</v>
      </c>
      <c r="E47" s="789" t="e">
        <f>R47</f>
        <v>#DIV/0!</v>
      </c>
      <c r="F47" s="791"/>
      <c r="G47" s="792" t="e">
        <f>T47</f>
        <v>#DIV/0!</v>
      </c>
      <c r="H47" s="791"/>
      <c r="I47" s="789" t="e">
        <f>V47</f>
        <v>#DIV/0!</v>
      </c>
      <c r="J47" s="791"/>
      <c r="K47" s="877">
        <f>F47+H47+J47</f>
        <v>0</v>
      </c>
      <c r="L47" s="876"/>
      <c r="M47" s="796"/>
      <c r="N47" s="796"/>
      <c r="O47" s="796"/>
      <c r="P47" s="3649" t="str">
        <f>A47</f>
        <v>比较价值（元/平方米）</v>
      </c>
      <c r="Q47" s="3649"/>
      <c r="R47" s="3742" t="e">
        <f>ROUND(PRODUCT(R46,AA7:AA45),0)</f>
        <v>#DIV/0!</v>
      </c>
      <c r="S47" s="3742"/>
      <c r="T47" s="3742" t="e">
        <f>ROUND(PRODUCT(T46,AB7:AB45),0)</f>
        <v>#DIV/0!</v>
      </c>
      <c r="U47" s="3742"/>
      <c r="V47" s="3742" t="e">
        <f>ROUND(PRODUCT(V46,AC7:AC45),0)</f>
        <v>#DIV/0!</v>
      </c>
      <c r="W47" s="3742"/>
      <c r="X47" s="841"/>
      <c r="Y47" s="841"/>
      <c r="Z47" s="841"/>
      <c r="AA47" s="841"/>
      <c r="AB47" s="841"/>
      <c r="AC47" s="841"/>
    </row>
    <row r="48" spans="1:29" ht="15">
      <c r="A48" s="793" t="s">
        <v>1820</v>
      </c>
      <c r="B48" s="794"/>
      <c r="C48" s="795" t="e">
        <f>R48</f>
        <v>#DIV/0!</v>
      </c>
      <c r="D48" s="795"/>
      <c r="E48" s="795"/>
      <c r="F48" s="795"/>
      <c r="G48" s="795"/>
      <c r="H48" s="795"/>
      <c r="I48" s="795"/>
      <c r="J48" s="795"/>
      <c r="K48" s="878"/>
      <c r="L48" s="876"/>
      <c r="M48" s="796"/>
      <c r="N48" s="796"/>
      <c r="O48" s="796"/>
      <c r="P48" s="3651" t="str">
        <f>A48</f>
        <v>估价对象XX用房的比较价值（楼面单价，元/平方米）</v>
      </c>
      <c r="Q48" s="3652"/>
      <c r="R48" s="3743" t="e">
        <f>ROUND(IF(D47="简单平均",AVERAGE(R47:W47),R47*F47+T47*H47+V47*J47),0)</f>
        <v>#DIV/0!</v>
      </c>
      <c r="S48" s="3743"/>
      <c r="T48" s="3743"/>
      <c r="U48" s="3743"/>
      <c r="V48" s="3743"/>
      <c r="W48" s="3743"/>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1732</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1733</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1734</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1821</v>
      </c>
      <c r="B55" s="808" t="s">
        <v>1822</v>
      </c>
      <c r="C55" s="809" t="s">
        <v>1823</v>
      </c>
      <c r="D55" s="810" t="s">
        <v>1824</v>
      </c>
      <c r="E55" s="811" t="s">
        <v>1825</v>
      </c>
      <c r="F55" s="1051" t="s">
        <v>1826</v>
      </c>
      <c r="G55" s="3671" t="s">
        <v>1827</v>
      </c>
      <c r="H55" s="3741"/>
      <c r="I55" s="1055" t="s">
        <v>1828</v>
      </c>
      <c r="J55" s="1056">
        <f>项目基本情况!F35</f>
        <v>0</v>
      </c>
      <c r="K55" s="885" t="s">
        <v>1829</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1830</v>
      </c>
      <c r="B56" s="815" t="e">
        <f>C48</f>
        <v>#DIV/0!</v>
      </c>
      <c r="C56" s="816">
        <v>1</v>
      </c>
      <c r="D56" s="817">
        <v>1</v>
      </c>
      <c r="E56" s="816">
        <f>'数据-汇总表'!E8+'数据-汇总表'!E9</f>
        <v>1851.14</v>
      </c>
      <c r="F56" s="1052" t="e">
        <f t="shared" ref="F56:F64" si="15">ROUND(B56*E56/10000,0)</f>
        <v>#DIV/0!</v>
      </c>
      <c r="G56" s="3656"/>
      <c r="H56" s="3649"/>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1831</v>
      </c>
      <c r="B57" s="397" t="e">
        <f>ROUND($C$48*C57*D57,0)</f>
        <v>#DIV/0!</v>
      </c>
      <c r="C57" s="821">
        <f t="shared" ref="C57:C64" si="16">IF($C$55="北京市系数",I57,J57)</f>
        <v>0.6</v>
      </c>
      <c r="D57" s="822">
        <v>0.25</v>
      </c>
      <c r="E57" s="823"/>
      <c r="F57" s="1052" t="e">
        <f t="shared" si="15"/>
        <v>#DIV/0!</v>
      </c>
      <c r="G57" s="824" t="s">
        <v>1832</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1833</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1834</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1835</v>
      </c>
      <c r="B60" s="397" t="e">
        <f t="shared" si="17"/>
        <v>#DIV/0!</v>
      </c>
      <c r="C60" s="821">
        <f t="shared" si="16"/>
        <v>0</v>
      </c>
      <c r="D60" s="822">
        <v>0.25</v>
      </c>
      <c r="E60" s="396">
        <f>'数据-汇总表'!E11</f>
        <v>0</v>
      </c>
      <c r="F60" s="1052" t="e">
        <f t="shared" si="15"/>
        <v>#DIV/0!</v>
      </c>
      <c r="G60" s="828" t="s">
        <v>1836</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1837</v>
      </c>
      <c r="B61" s="397" t="e">
        <f t="shared" si="17"/>
        <v>#DIV/0!</v>
      </c>
      <c r="C61" s="821">
        <f t="shared" si="16"/>
        <v>0</v>
      </c>
      <c r="D61" s="822">
        <v>0.25</v>
      </c>
      <c r="E61" s="396">
        <f>'数据-汇总表'!E12</f>
        <v>0</v>
      </c>
      <c r="F61" s="1052" t="e">
        <f t="shared" si="15"/>
        <v>#DIV/0!</v>
      </c>
      <c r="G61" s="829" t="s">
        <v>1838</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1839</v>
      </c>
      <c r="B62" s="397" t="e">
        <f t="shared" si="17"/>
        <v>#DIV/0!</v>
      </c>
      <c r="C62" s="821">
        <f t="shared" si="16"/>
        <v>0</v>
      </c>
      <c r="D62" s="822">
        <v>0.25</v>
      </c>
      <c r="E62" s="396">
        <f>'数据-汇总表'!E13</f>
        <v>0</v>
      </c>
      <c r="F62" s="1052" t="e">
        <f t="shared" si="15"/>
        <v>#DIV/0!</v>
      </c>
      <c r="G62" s="829" t="s">
        <v>1840</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1841</v>
      </c>
      <c r="B63" s="397" t="e">
        <f t="shared" si="17"/>
        <v>#DIV/0!</v>
      </c>
      <c r="C63" s="821">
        <f t="shared" si="16"/>
        <v>0.15</v>
      </c>
      <c r="D63" s="822">
        <v>0.25</v>
      </c>
      <c r="E63" s="396">
        <f>'数据-汇总表'!E14</f>
        <v>0</v>
      </c>
      <c r="F63" s="1052" t="e">
        <f t="shared" si="15"/>
        <v>#DIV/0!</v>
      </c>
      <c r="G63" s="828" t="s">
        <v>1832</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1842</v>
      </c>
      <c r="B64" s="397" t="e">
        <f t="shared" si="17"/>
        <v>#DIV/0!</v>
      </c>
      <c r="C64" s="821">
        <f t="shared" si="16"/>
        <v>0</v>
      </c>
      <c r="D64" s="822">
        <v>0.25</v>
      </c>
      <c r="E64" s="396">
        <f>'数据-汇总表'!E15</f>
        <v>0</v>
      </c>
      <c r="F64" s="1052" t="e">
        <f t="shared" si="15"/>
        <v>#DIV/0!</v>
      </c>
      <c r="G64" s="830" t="s">
        <v>1836</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1843</v>
      </c>
      <c r="B65" s="833" t="s">
        <v>1844</v>
      </c>
      <c r="C65" s="833" t="s">
        <v>1844</v>
      </c>
      <c r="D65" s="833" t="s">
        <v>1844</v>
      </c>
      <c r="E65" s="833">
        <f>IF(B46="楼面地价",SUM(E56:E64),'数据-汇总表'!D3)</f>
        <v>1851.14</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1735</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1845</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1846</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1736</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1698</v>
      </c>
      <c r="B72" s="927"/>
      <c r="C72" s="928" t="s">
        <v>1737</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1738</v>
      </c>
      <c r="B74" s="933" t="s">
        <v>1701</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1704</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1705</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1706</v>
      </c>
      <c r="B87" s="933" t="s">
        <v>1707</v>
      </c>
      <c r="C87" s="955" t="s">
        <v>1490</v>
      </c>
      <c r="D87" s="955" t="s">
        <v>1491</v>
      </c>
      <c r="E87" s="955" t="s">
        <v>1492</v>
      </c>
      <c r="F87" s="955" t="s">
        <v>1493</v>
      </c>
      <c r="G87" s="955" t="s">
        <v>1494</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1768</v>
      </c>
      <c r="C89" s="957" t="s">
        <v>1490</v>
      </c>
      <c r="D89" s="957" t="s">
        <v>1491</v>
      </c>
      <c r="E89" s="957" t="s">
        <v>1492</v>
      </c>
      <c r="F89" s="957" t="s">
        <v>1493</v>
      </c>
      <c r="G89" s="957" t="s">
        <v>1494</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1780</v>
      </c>
      <c r="C91" s="957" t="s">
        <v>1490</v>
      </c>
      <c r="D91" s="957" t="s">
        <v>1491</v>
      </c>
      <c r="E91" s="957" t="s">
        <v>1492</v>
      </c>
      <c r="F91" s="957" t="s">
        <v>1493</v>
      </c>
      <c r="G91" s="957" t="s">
        <v>1494</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1709</v>
      </c>
      <c r="C93" s="957" t="s">
        <v>1490</v>
      </c>
      <c r="D93" s="957" t="s">
        <v>1491</v>
      </c>
      <c r="E93" s="957" t="s">
        <v>1492</v>
      </c>
      <c r="F93" s="957" t="s">
        <v>1493</v>
      </c>
      <c r="G93" s="957" t="s">
        <v>1494</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1811</v>
      </c>
      <c r="C95" s="957" t="s">
        <v>1490</v>
      </c>
      <c r="D95" s="957" t="s">
        <v>1491</v>
      </c>
      <c r="E95" s="957" t="s">
        <v>1492</v>
      </c>
      <c r="F95" s="957" t="s">
        <v>1493</v>
      </c>
      <c r="G95" s="957" t="s">
        <v>1494</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1812</v>
      </c>
      <c r="C97" s="955" t="s">
        <v>1490</v>
      </c>
      <c r="D97" s="955" t="s">
        <v>1491</v>
      </c>
      <c r="E97" s="955" t="s">
        <v>1492</v>
      </c>
      <c r="F97" s="955" t="s">
        <v>1493</v>
      </c>
      <c r="G97" s="955" t="s">
        <v>1494</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1710</v>
      </c>
      <c r="C99" s="955" t="s">
        <v>1490</v>
      </c>
      <c r="D99" s="955" t="s">
        <v>1491</v>
      </c>
      <c r="E99" s="955" t="s">
        <v>1492</v>
      </c>
      <c r="F99" s="955" t="s">
        <v>1493</v>
      </c>
      <c r="G99" s="955" t="s">
        <v>1494</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1711</v>
      </c>
      <c r="C101" s="962" t="s">
        <v>1739</v>
      </c>
      <c r="D101" s="962" t="s">
        <v>1740</v>
      </c>
      <c r="E101" s="962" t="s">
        <v>1741</v>
      </c>
      <c r="F101" s="962" t="s">
        <v>1742</v>
      </c>
      <c r="G101" s="962" t="s">
        <v>1743</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1847</v>
      </c>
      <c r="D103" s="939" t="s">
        <v>1848</v>
      </c>
      <c r="E103" s="939" t="s">
        <v>1849</v>
      </c>
      <c r="F103" s="939" t="s">
        <v>1850</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1782</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1813</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1715</v>
      </c>
      <c r="B115" s="933" t="s">
        <v>1814</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1815</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1816</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1817</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1818</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1808</v>
      </c>
      <c r="B1" s="692"/>
      <c r="C1" s="693" t="s">
        <v>1786</v>
      </c>
      <c r="D1" s="694"/>
      <c r="E1" s="694"/>
      <c r="F1" s="695" t="s">
        <v>1681</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986</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ROUND(IF(D3="",B2*10000/'数据-汇总表'!E3,B2*10000/D3),0)</f>
        <v>#DIV/0!</v>
      </c>
      <c r="C3" s="383" t="s">
        <v>1333</v>
      </c>
      <c r="D3" s="700">
        <f>'数据-基础表'!B3</f>
        <v>1851.14</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1682</v>
      </c>
      <c r="B4" s="702"/>
      <c r="C4" s="3671" t="s">
        <v>1683</v>
      </c>
      <c r="D4" s="3672"/>
      <c r="E4" s="3673" t="s">
        <v>1684</v>
      </c>
      <c r="F4" s="3674"/>
      <c r="G4" s="3671" t="s">
        <v>1685</v>
      </c>
      <c r="H4" s="3672"/>
      <c r="I4" s="3671" t="s">
        <v>1686</v>
      </c>
      <c r="J4" s="3672"/>
      <c r="K4" s="851" t="s">
        <v>1687</v>
      </c>
      <c r="L4" s="852"/>
      <c r="M4" s="853"/>
      <c r="N4" s="853"/>
      <c r="O4" s="853"/>
      <c r="P4" s="3637" t="s">
        <v>1688</v>
      </c>
      <c r="Q4" s="3638"/>
      <c r="R4" s="3643" t="s">
        <v>1684</v>
      </c>
      <c r="S4" s="3644"/>
      <c r="T4" s="3643" t="s">
        <v>1685</v>
      </c>
      <c r="U4" s="3644"/>
      <c r="V4" s="3636" t="s">
        <v>1686</v>
      </c>
      <c r="W4" s="3636"/>
      <c r="X4" s="895"/>
      <c r="Y4" s="3643" t="s">
        <v>1688</v>
      </c>
      <c r="Z4" s="3644"/>
      <c r="AA4" s="3633" t="s">
        <v>1684</v>
      </c>
      <c r="AB4" s="3634" t="s">
        <v>1685</v>
      </c>
      <c r="AC4" s="3633" t="s">
        <v>1686</v>
      </c>
    </row>
    <row r="5" spans="1:29" ht="15">
      <c r="A5" s="703"/>
      <c r="B5" s="704"/>
      <c r="C5" s="3675" t="s">
        <v>1689</v>
      </c>
      <c r="D5" s="3676"/>
      <c r="E5" s="3677" t="str">
        <f>土地案例!A25</f>
        <v>亦庄新城YZ00-0106街区15M1地块工业项目</v>
      </c>
      <c r="F5" s="3678"/>
      <c r="G5" s="3675" t="str">
        <f>土地案例!A26</f>
        <v>北京经济技术开发区42M2地块工业项目</v>
      </c>
      <c r="H5" s="3676"/>
      <c r="I5" s="3675" t="str">
        <f>土地案例!A27</f>
        <v>亦庄新城0107街区72M1地块工业项目</v>
      </c>
      <c r="J5" s="3676"/>
      <c r="K5" s="851"/>
      <c r="L5" s="852"/>
      <c r="M5" s="853"/>
      <c r="N5" s="853"/>
      <c r="O5" s="853"/>
      <c r="P5" s="3639"/>
      <c r="Q5" s="3640"/>
      <c r="R5" s="3645"/>
      <c r="S5" s="3646"/>
      <c r="T5" s="3645"/>
      <c r="U5" s="3646"/>
      <c r="V5" s="3636"/>
      <c r="W5" s="3636"/>
      <c r="X5" s="895"/>
      <c r="Y5" s="3645"/>
      <c r="Z5" s="3646"/>
      <c r="AA5" s="3634"/>
      <c r="AB5" s="3634"/>
      <c r="AC5" s="3634"/>
    </row>
    <row r="6" spans="1:29" ht="15">
      <c r="A6" s="705"/>
      <c r="B6" s="706"/>
      <c r="C6" s="3744" t="s">
        <v>1851</v>
      </c>
      <c r="D6" s="3745"/>
      <c r="E6" s="3746" t="s">
        <v>1851</v>
      </c>
      <c r="F6" s="3747"/>
      <c r="G6" s="3744" t="s">
        <v>1851</v>
      </c>
      <c r="H6" s="3745"/>
      <c r="I6" s="3744" t="s">
        <v>1851</v>
      </c>
      <c r="J6" s="3745"/>
      <c r="K6" s="851" t="s">
        <v>1694</v>
      </c>
      <c r="L6" s="852"/>
      <c r="M6" s="853"/>
      <c r="N6" s="853"/>
      <c r="O6" s="853"/>
      <c r="P6" s="3641"/>
      <c r="Q6" s="3642"/>
      <c r="R6" s="3645"/>
      <c r="S6" s="3646"/>
      <c r="T6" s="3647"/>
      <c r="U6" s="3648"/>
      <c r="V6" s="3636"/>
      <c r="W6" s="3636"/>
      <c r="X6" s="895"/>
      <c r="Y6" s="3647"/>
      <c r="Z6" s="3648"/>
      <c r="AA6" s="3635"/>
      <c r="AB6" s="3635"/>
      <c r="AC6" s="3635"/>
    </row>
    <row r="7" spans="1:29" s="682" customFormat="1" ht="15">
      <c r="A7" s="707" t="s">
        <v>1695</v>
      </c>
      <c r="B7" s="708"/>
      <c r="C7" s="709">
        <f>'数据-取费表'!B2</f>
        <v>45540</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54" t="s">
        <v>1696</v>
      </c>
      <c r="Q7" s="3670"/>
      <c r="R7" s="896" t="s">
        <v>1697</v>
      </c>
      <c r="S7" s="897">
        <f t="shared" ref="S7:S15" si="0">F7</f>
        <v>99.4</v>
      </c>
      <c r="T7" s="896" t="s">
        <v>1697</v>
      </c>
      <c r="U7" s="897">
        <f t="shared" ref="U7:U15" si="1">H7</f>
        <v>98.8</v>
      </c>
      <c r="V7" s="896" t="s">
        <v>1697</v>
      </c>
      <c r="W7" s="897">
        <f t="shared" ref="W7:W15" si="2">J7</f>
        <v>98.4</v>
      </c>
      <c r="X7" s="898"/>
      <c r="Y7" s="3654" t="s">
        <v>1696</v>
      </c>
      <c r="Z7" s="3655"/>
      <c r="AA7" s="910">
        <f>D7/F7</f>
        <v>1.0060362173038229</v>
      </c>
      <c r="AB7" s="910">
        <f>D7/H7</f>
        <v>1.0121457489878543</v>
      </c>
      <c r="AC7" s="910">
        <f>D7/J7</f>
        <v>1.0162601626016259</v>
      </c>
    </row>
    <row r="8" spans="1:29" s="682" customFormat="1" ht="15">
      <c r="A8" s="707" t="s">
        <v>1698</v>
      </c>
      <c r="B8" s="708"/>
      <c r="C8" s="714" t="s">
        <v>1737</v>
      </c>
      <c r="D8" s="710">
        <v>100</v>
      </c>
      <c r="E8" s="714" t="s">
        <v>1737</v>
      </c>
      <c r="F8" s="712">
        <f>SUMIF(68:68,E8,69:69)-SUMIF(68:68,C8,69:69)+100</f>
        <v>100</v>
      </c>
      <c r="G8" s="714" t="s">
        <v>1737</v>
      </c>
      <c r="H8" s="710">
        <f>SUMIF(68:68,G8,69:69)-SUMIF(68:68,C8,69:69)+100</f>
        <v>100</v>
      </c>
      <c r="I8" s="714" t="s">
        <v>1737</v>
      </c>
      <c r="J8" s="710">
        <f>SUMIF(68:68,I8,69:69)-SUMIF(68:68,C8,69:69)+100</f>
        <v>100</v>
      </c>
      <c r="K8" s="854"/>
      <c r="L8" s="855"/>
      <c r="M8" s="856"/>
      <c r="N8" s="856"/>
      <c r="O8" s="856"/>
      <c r="P8" s="3654" t="s">
        <v>1699</v>
      </c>
      <c r="Q8" s="3655"/>
      <c r="R8" s="896" t="s">
        <v>1697</v>
      </c>
      <c r="S8" s="897">
        <f t="shared" si="0"/>
        <v>100</v>
      </c>
      <c r="T8" s="896" t="s">
        <v>1697</v>
      </c>
      <c r="U8" s="897">
        <f t="shared" si="1"/>
        <v>100</v>
      </c>
      <c r="V8" s="896" t="s">
        <v>1697</v>
      </c>
      <c r="W8" s="897">
        <f t="shared" si="2"/>
        <v>100</v>
      </c>
      <c r="X8" s="898"/>
      <c r="Y8" s="3654" t="s">
        <v>1699</v>
      </c>
      <c r="Z8" s="3655"/>
      <c r="AA8" s="910">
        <f t="shared" ref="AA8:AA40" si="3">D8/F8</f>
        <v>1</v>
      </c>
      <c r="AB8" s="910">
        <f t="shared" ref="AB8:AB40" si="4">D8/H8</f>
        <v>1</v>
      </c>
      <c r="AC8" s="910">
        <f t="shared" ref="AC8:AC40" si="5">D8/J8</f>
        <v>1</v>
      </c>
    </row>
    <row r="9" spans="1:29" s="682" customFormat="1">
      <c r="A9" s="715" t="s">
        <v>1700</v>
      </c>
      <c r="B9" s="716" t="s">
        <v>1701</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9" t="s">
        <v>1702</v>
      </c>
      <c r="Q9" s="900" t="str">
        <f t="shared" ref="Q9:Q15" si="6">B9</f>
        <v>用途</v>
      </c>
      <c r="R9" s="896" t="s">
        <v>1697</v>
      </c>
      <c r="S9" s="897">
        <f t="shared" si="0"/>
        <v>100</v>
      </c>
      <c r="T9" s="896" t="s">
        <v>1697</v>
      </c>
      <c r="U9" s="897">
        <f t="shared" si="1"/>
        <v>100</v>
      </c>
      <c r="V9" s="896" t="s">
        <v>1697</v>
      </c>
      <c r="W9" s="897">
        <f t="shared" si="2"/>
        <v>100</v>
      </c>
      <c r="X9" s="898"/>
      <c r="Y9" s="3545" t="s">
        <v>1703</v>
      </c>
      <c r="Z9" s="911" t="str">
        <f t="shared" ref="Z9:Z15" si="7">Q9</f>
        <v>用途</v>
      </c>
      <c r="AA9" s="910">
        <f t="shared" si="3"/>
        <v>1</v>
      </c>
      <c r="AB9" s="910">
        <f t="shared" si="4"/>
        <v>1</v>
      </c>
      <c r="AC9" s="910">
        <f t="shared" si="5"/>
        <v>1</v>
      </c>
    </row>
    <row r="10" spans="1:29" s="683" customFormat="1" ht="27">
      <c r="A10" s="719"/>
      <c r="B10" s="720" t="s">
        <v>1704</v>
      </c>
      <c r="C10" s="721" t="str">
        <f>项目基本情况!H15</f>
        <v/>
      </c>
      <c r="D10" s="722">
        <v>100</v>
      </c>
      <c r="E10" s="721">
        <v>19</v>
      </c>
      <c r="F10" s="722">
        <f>ROUND(100/'数据-取费表'!G16,0)</f>
        <v>127</v>
      </c>
      <c r="G10" s="721">
        <v>19</v>
      </c>
      <c r="H10" s="722">
        <f>ROUND(100/'数据-取费表'!G16,0)</f>
        <v>127</v>
      </c>
      <c r="I10" s="721">
        <v>18</v>
      </c>
      <c r="J10" s="722">
        <f>ROUND(100/'数据-取费表'!G16,0)</f>
        <v>127</v>
      </c>
      <c r="K10" s="858"/>
      <c r="L10" s="859"/>
      <c r="M10" s="860"/>
      <c r="N10" s="860"/>
      <c r="O10" s="861"/>
      <c r="P10" s="3649"/>
      <c r="Q10" s="900" t="str">
        <f t="shared" si="6"/>
        <v>土地使用年限（年）</v>
      </c>
      <c r="R10" s="896" t="s">
        <v>1697</v>
      </c>
      <c r="S10" s="897">
        <f t="shared" si="0"/>
        <v>127</v>
      </c>
      <c r="T10" s="896" t="s">
        <v>1697</v>
      </c>
      <c r="U10" s="897">
        <f t="shared" si="1"/>
        <v>127</v>
      </c>
      <c r="V10" s="896" t="s">
        <v>1697</v>
      </c>
      <c r="W10" s="897">
        <f t="shared" si="2"/>
        <v>127</v>
      </c>
      <c r="X10" s="898"/>
      <c r="Y10" s="3545"/>
      <c r="Z10" s="911" t="str">
        <f t="shared" si="7"/>
        <v>土地使用年限（年）</v>
      </c>
      <c r="AA10" s="910">
        <f t="shared" si="3"/>
        <v>0.78740157480314965</v>
      </c>
      <c r="AB10" s="910">
        <f t="shared" si="4"/>
        <v>0.78740157480314965</v>
      </c>
      <c r="AC10" s="910">
        <f t="shared" si="5"/>
        <v>0.78740157480314965</v>
      </c>
    </row>
    <row r="11" spans="1:29" ht="15">
      <c r="A11" s="723"/>
      <c r="B11" s="720" t="s">
        <v>1705</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9"/>
      <c r="Q11" s="900" t="str">
        <f t="shared" si="6"/>
        <v>容积率</v>
      </c>
      <c r="R11" s="896" t="s">
        <v>1697</v>
      </c>
      <c r="S11" s="897" t="e">
        <f t="shared" si="0"/>
        <v>#DIV/0!</v>
      </c>
      <c r="T11" s="896" t="s">
        <v>1697</v>
      </c>
      <c r="U11" s="897" t="e">
        <f t="shared" si="1"/>
        <v>#DIV/0!</v>
      </c>
      <c r="V11" s="896" t="s">
        <v>1697</v>
      </c>
      <c r="W11" s="897" t="e">
        <f t="shared" si="2"/>
        <v>#DIV/0!</v>
      </c>
      <c r="X11" s="898"/>
      <c r="Y11" s="3545"/>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9"/>
      <c r="Q12" s="900">
        <f t="shared" si="6"/>
        <v>111</v>
      </c>
      <c r="R12" s="896" t="s">
        <v>1697</v>
      </c>
      <c r="S12" s="897">
        <f t="shared" si="0"/>
        <v>100</v>
      </c>
      <c r="T12" s="896" t="s">
        <v>1697</v>
      </c>
      <c r="U12" s="897">
        <f t="shared" si="1"/>
        <v>100</v>
      </c>
      <c r="V12" s="896" t="s">
        <v>1697</v>
      </c>
      <c r="W12" s="897">
        <f t="shared" si="2"/>
        <v>100</v>
      </c>
      <c r="X12" s="898"/>
      <c r="Y12" s="3545"/>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9"/>
      <c r="Q13" s="900">
        <f t="shared" si="6"/>
        <v>111</v>
      </c>
      <c r="R13" s="896" t="s">
        <v>1697</v>
      </c>
      <c r="S13" s="897">
        <f t="shared" si="0"/>
        <v>100</v>
      </c>
      <c r="T13" s="896" t="s">
        <v>1697</v>
      </c>
      <c r="U13" s="897">
        <f t="shared" si="1"/>
        <v>100</v>
      </c>
      <c r="V13" s="896" t="s">
        <v>1697</v>
      </c>
      <c r="W13" s="897">
        <f t="shared" si="2"/>
        <v>100</v>
      </c>
      <c r="X13" s="898"/>
      <c r="Y13" s="3545"/>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9"/>
      <c r="Q14" s="900">
        <f t="shared" si="6"/>
        <v>111</v>
      </c>
      <c r="R14" s="896" t="s">
        <v>1697</v>
      </c>
      <c r="S14" s="897">
        <f t="shared" si="0"/>
        <v>100</v>
      </c>
      <c r="T14" s="896" t="s">
        <v>1697</v>
      </c>
      <c r="U14" s="897">
        <f t="shared" si="1"/>
        <v>100</v>
      </c>
      <c r="V14" s="896" t="s">
        <v>1697</v>
      </c>
      <c r="W14" s="897">
        <f t="shared" si="2"/>
        <v>100</v>
      </c>
      <c r="X14" s="898"/>
      <c r="Y14" s="3545"/>
      <c r="Z14" s="911">
        <f t="shared" si="7"/>
        <v>111</v>
      </c>
      <c r="AA14" s="910">
        <f t="shared" si="3"/>
        <v>1</v>
      </c>
      <c r="AB14" s="910">
        <f t="shared" si="4"/>
        <v>1</v>
      </c>
      <c r="AC14" s="910">
        <f t="shared" si="5"/>
        <v>1</v>
      </c>
    </row>
    <row r="15" spans="1:29" ht="57">
      <c r="A15" s="737" t="s">
        <v>1706</v>
      </c>
      <c r="B15" s="738" t="s">
        <v>1787</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62" t="s">
        <v>1708</v>
      </c>
      <c r="Q15" s="819" t="str">
        <f t="shared" si="6"/>
        <v>产业集聚程度</v>
      </c>
      <c r="R15" s="901" t="s">
        <v>1697</v>
      </c>
      <c r="S15" s="902">
        <f t="shared" si="0"/>
        <v>100</v>
      </c>
      <c r="T15" s="901" t="s">
        <v>1697</v>
      </c>
      <c r="U15" s="902">
        <f t="shared" si="1"/>
        <v>100</v>
      </c>
      <c r="V15" s="901" t="s">
        <v>1697</v>
      </c>
      <c r="W15" s="902">
        <f t="shared" si="2"/>
        <v>100</v>
      </c>
      <c r="X15" s="895"/>
      <c r="Y15" s="3662" t="s">
        <v>1708</v>
      </c>
      <c r="Z15" s="884" t="str">
        <f t="shared" si="7"/>
        <v>产业集聚程度</v>
      </c>
      <c r="AA15" s="912">
        <f t="shared" si="3"/>
        <v>1</v>
      </c>
      <c r="AB15" s="912">
        <f t="shared" si="4"/>
        <v>1</v>
      </c>
      <c r="AC15" s="912">
        <f t="shared" si="5"/>
        <v>1</v>
      </c>
    </row>
    <row r="16" spans="1:29" ht="15">
      <c r="A16" s="723"/>
      <c r="B16" s="742"/>
      <c r="C16" s="743" t="s">
        <v>1496</v>
      </c>
      <c r="D16" s="744"/>
      <c r="E16" s="743" t="s">
        <v>1496</v>
      </c>
      <c r="F16" s="744"/>
      <c r="G16" s="743" t="s">
        <v>1496</v>
      </c>
      <c r="H16" s="745"/>
      <c r="I16" s="743" t="s">
        <v>1496</v>
      </c>
      <c r="J16" s="744"/>
      <c r="K16" s="858"/>
      <c r="L16" s="865"/>
      <c r="M16" s="853"/>
      <c r="N16" s="853"/>
      <c r="O16" s="864"/>
      <c r="P16" s="3663"/>
      <c r="Q16" s="819"/>
      <c r="R16" s="901"/>
      <c r="S16" s="902"/>
      <c r="T16" s="901"/>
      <c r="U16" s="902"/>
      <c r="V16" s="901"/>
      <c r="W16" s="902"/>
      <c r="X16" s="895"/>
      <c r="Y16" s="3663"/>
      <c r="Z16" s="884"/>
      <c r="AA16" s="912">
        <v>1</v>
      </c>
      <c r="AB16" s="912">
        <v>1</v>
      </c>
      <c r="AC16" s="912">
        <v>1</v>
      </c>
    </row>
    <row r="17" spans="1:29" ht="85.5">
      <c r="A17" s="723"/>
      <c r="B17" s="746" t="s">
        <v>1709</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63"/>
      <c r="Q17" s="819" t="str">
        <f>B17</f>
        <v>交通便捷度</v>
      </c>
      <c r="R17" s="901" t="s">
        <v>1697</v>
      </c>
      <c r="S17" s="902">
        <f>F17</f>
        <v>100</v>
      </c>
      <c r="T17" s="901" t="s">
        <v>1697</v>
      </c>
      <c r="U17" s="902">
        <f>H17</f>
        <v>100</v>
      </c>
      <c r="V17" s="901" t="s">
        <v>1697</v>
      </c>
      <c r="W17" s="902">
        <f>J17</f>
        <v>100</v>
      </c>
      <c r="X17" s="895"/>
      <c r="Y17" s="3663"/>
      <c r="Z17" s="884" t="str">
        <f>Q17</f>
        <v>交通便捷度</v>
      </c>
      <c r="AA17" s="912">
        <f t="shared" si="3"/>
        <v>1</v>
      </c>
      <c r="AB17" s="912">
        <f t="shared" si="4"/>
        <v>1</v>
      </c>
      <c r="AC17" s="912">
        <f t="shared" si="5"/>
        <v>1</v>
      </c>
    </row>
    <row r="18" spans="1:29" ht="15">
      <c r="A18" s="723"/>
      <c r="B18" s="750"/>
      <c r="C18" s="743" t="s">
        <v>1496</v>
      </c>
      <c r="D18" s="744"/>
      <c r="E18" s="743" t="s">
        <v>1496</v>
      </c>
      <c r="F18" s="744"/>
      <c r="G18" s="743" t="s">
        <v>1496</v>
      </c>
      <c r="H18" s="744"/>
      <c r="I18" s="743" t="s">
        <v>1496</v>
      </c>
      <c r="J18" s="744"/>
      <c r="K18" s="858"/>
      <c r="L18" s="865"/>
      <c r="M18" s="853"/>
      <c r="N18" s="853"/>
      <c r="O18" s="864"/>
      <c r="P18" s="3663"/>
      <c r="Q18" s="819"/>
      <c r="R18" s="901"/>
      <c r="S18" s="902"/>
      <c r="T18" s="901"/>
      <c r="U18" s="902"/>
      <c r="V18" s="901"/>
      <c r="W18" s="902"/>
      <c r="X18" s="895"/>
      <c r="Y18" s="3663"/>
      <c r="Z18" s="884"/>
      <c r="AA18" s="912">
        <v>1</v>
      </c>
      <c r="AB18" s="912">
        <v>1</v>
      </c>
      <c r="AC18" s="912">
        <v>1</v>
      </c>
    </row>
    <row r="19" spans="1:29" ht="15">
      <c r="A19" s="723"/>
      <c r="B19" s="746" t="s">
        <v>1811</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63"/>
      <c r="Q19" s="819" t="str">
        <f t="shared" ref="Q19:Q34" si="8">B19</f>
        <v>区域土地利用方向</v>
      </c>
      <c r="R19" s="901" t="s">
        <v>1697</v>
      </c>
      <c r="S19" s="902">
        <f>F19</f>
        <v>100</v>
      </c>
      <c r="T19" s="901" t="s">
        <v>1697</v>
      </c>
      <c r="U19" s="902">
        <f>H19</f>
        <v>100</v>
      </c>
      <c r="V19" s="901" t="s">
        <v>1697</v>
      </c>
      <c r="W19" s="902">
        <f>J19</f>
        <v>100</v>
      </c>
      <c r="X19" s="895"/>
      <c r="Y19" s="3663"/>
      <c r="Z19" s="884" t="str">
        <f>Q19</f>
        <v>区域土地利用方向</v>
      </c>
      <c r="AA19" s="912">
        <f t="shared" si="3"/>
        <v>1</v>
      </c>
      <c r="AB19" s="912">
        <f t="shared" si="4"/>
        <v>1</v>
      </c>
      <c r="AC19" s="912">
        <f t="shared" si="5"/>
        <v>1</v>
      </c>
    </row>
    <row r="20" spans="1:29" ht="15">
      <c r="A20" s="703"/>
      <c r="B20" s="750"/>
      <c r="C20" s="743" t="s">
        <v>1496</v>
      </c>
      <c r="D20" s="744"/>
      <c r="E20" s="743" t="s">
        <v>1496</v>
      </c>
      <c r="F20" s="744"/>
      <c r="G20" s="743" t="s">
        <v>1496</v>
      </c>
      <c r="H20" s="744"/>
      <c r="I20" s="743" t="s">
        <v>1496</v>
      </c>
      <c r="J20" s="744"/>
      <c r="K20" s="868"/>
      <c r="L20" s="865"/>
      <c r="M20" s="853"/>
      <c r="N20" s="853"/>
      <c r="O20" s="864"/>
      <c r="P20" s="3663"/>
      <c r="Q20" s="819"/>
      <c r="R20" s="901"/>
      <c r="S20" s="902"/>
      <c r="T20" s="901"/>
      <c r="U20" s="902"/>
      <c r="V20" s="901"/>
      <c r="W20" s="902"/>
      <c r="X20" s="895"/>
      <c r="Y20" s="3663"/>
      <c r="Z20" s="884"/>
      <c r="AA20" s="912"/>
      <c r="AB20" s="912"/>
      <c r="AC20" s="912"/>
    </row>
    <row r="21" spans="1:29" ht="71.25">
      <c r="A21" s="703"/>
      <c r="B21" s="746" t="s">
        <v>1852</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63"/>
      <c r="Q21" s="819" t="str">
        <f t="shared" si="8"/>
        <v>环境状况</v>
      </c>
      <c r="R21" s="901" t="s">
        <v>1697</v>
      </c>
      <c r="S21" s="902">
        <f>F21</f>
        <v>100</v>
      </c>
      <c r="T21" s="901" t="s">
        <v>1697</v>
      </c>
      <c r="U21" s="902">
        <f>H21</f>
        <v>100</v>
      </c>
      <c r="V21" s="901" t="s">
        <v>1697</v>
      </c>
      <c r="W21" s="902">
        <f>J21</f>
        <v>100</v>
      </c>
      <c r="X21" s="895"/>
      <c r="Y21" s="3663"/>
      <c r="Z21" s="884" t="str">
        <f>Q21</f>
        <v>环境状况</v>
      </c>
      <c r="AA21" s="912">
        <f t="shared" si="3"/>
        <v>1</v>
      </c>
      <c r="AB21" s="912">
        <f t="shared" si="4"/>
        <v>1</v>
      </c>
      <c r="AC21" s="912">
        <f t="shared" si="5"/>
        <v>1</v>
      </c>
    </row>
    <row r="22" spans="1:29" ht="15">
      <c r="A22" s="703"/>
      <c r="B22" s="750"/>
      <c r="C22" s="743" t="s">
        <v>1496</v>
      </c>
      <c r="D22" s="744"/>
      <c r="E22" s="743" t="s">
        <v>1496</v>
      </c>
      <c r="F22" s="744"/>
      <c r="G22" s="743" t="s">
        <v>1496</v>
      </c>
      <c r="H22" s="744"/>
      <c r="I22" s="743" t="s">
        <v>1496</v>
      </c>
      <c r="J22" s="744"/>
      <c r="K22" s="858"/>
      <c r="L22" s="865"/>
      <c r="M22" s="853"/>
      <c r="N22" s="853"/>
      <c r="O22" s="864"/>
      <c r="P22" s="3663"/>
      <c r="Q22" s="819"/>
      <c r="R22" s="901"/>
      <c r="S22" s="902"/>
      <c r="T22" s="901"/>
      <c r="U22" s="902"/>
      <c r="V22" s="901"/>
      <c r="W22" s="902"/>
      <c r="X22" s="895"/>
      <c r="Y22" s="3663"/>
      <c r="Z22" s="884"/>
      <c r="AA22" s="912">
        <v>1</v>
      </c>
      <c r="AB22" s="912">
        <v>1</v>
      </c>
      <c r="AC22" s="912">
        <v>1</v>
      </c>
    </row>
    <row r="23" spans="1:29" s="682" customFormat="1" ht="42.75">
      <c r="A23" s="751"/>
      <c r="B23" s="752" t="s">
        <v>1710</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63"/>
      <c r="Q23" s="900" t="str">
        <f t="shared" si="8"/>
        <v>公共配套设施</v>
      </c>
      <c r="R23" s="896" t="s">
        <v>1697</v>
      </c>
      <c r="S23" s="897">
        <f>F23</f>
        <v>100</v>
      </c>
      <c r="T23" s="896" t="s">
        <v>1697</v>
      </c>
      <c r="U23" s="897">
        <f>H23</f>
        <v>100</v>
      </c>
      <c r="V23" s="896" t="s">
        <v>1697</v>
      </c>
      <c r="W23" s="897">
        <f>J23</f>
        <v>100</v>
      </c>
      <c r="X23" s="898"/>
      <c r="Y23" s="3663"/>
      <c r="Z23" s="911" t="str">
        <f>Q23</f>
        <v>公共配套设施</v>
      </c>
      <c r="AA23" s="912">
        <f>D23/F23</f>
        <v>1</v>
      </c>
      <c r="AB23" s="912">
        <f>D23/H23</f>
        <v>1</v>
      </c>
      <c r="AC23" s="912">
        <f>D23/J23</f>
        <v>1</v>
      </c>
    </row>
    <row r="24" spans="1:29" s="682" customFormat="1" ht="15">
      <c r="A24" s="751"/>
      <c r="B24" s="750"/>
      <c r="C24" s="743" t="s">
        <v>1496</v>
      </c>
      <c r="D24" s="744"/>
      <c r="E24" s="743" t="s">
        <v>1496</v>
      </c>
      <c r="F24" s="744"/>
      <c r="G24" s="743" t="s">
        <v>1496</v>
      </c>
      <c r="H24" s="744"/>
      <c r="I24" s="743" t="s">
        <v>1496</v>
      </c>
      <c r="J24" s="744"/>
      <c r="K24" s="858"/>
      <c r="L24" s="855"/>
      <c r="M24" s="856"/>
      <c r="N24" s="856"/>
      <c r="O24" s="857"/>
      <c r="P24" s="3663"/>
      <c r="Q24" s="900"/>
      <c r="R24" s="896"/>
      <c r="S24" s="897"/>
      <c r="T24" s="896"/>
      <c r="U24" s="897"/>
      <c r="V24" s="896"/>
      <c r="W24" s="897"/>
      <c r="X24" s="898"/>
      <c r="Y24" s="3663"/>
      <c r="Z24" s="911"/>
      <c r="AA24" s="910">
        <v>1</v>
      </c>
      <c r="AB24" s="910">
        <v>1</v>
      </c>
      <c r="AC24" s="910">
        <v>1</v>
      </c>
    </row>
    <row r="25" spans="1:29" s="682" customFormat="1" ht="28.5">
      <c r="A25" s="751"/>
      <c r="B25" s="752" t="s">
        <v>1711</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63"/>
      <c r="Q25" s="900" t="str">
        <f t="shared" ref="Q25" si="9">B25</f>
        <v>基础设施水平</v>
      </c>
      <c r="R25" s="896" t="s">
        <v>1697</v>
      </c>
      <c r="S25" s="897">
        <f>F25</f>
        <v>100</v>
      </c>
      <c r="T25" s="896" t="s">
        <v>1697</v>
      </c>
      <c r="U25" s="897">
        <f>H25</f>
        <v>100</v>
      </c>
      <c r="V25" s="896" t="s">
        <v>1697</v>
      </c>
      <c r="W25" s="897">
        <f>J25</f>
        <v>100</v>
      </c>
      <c r="X25" s="898"/>
      <c r="Y25" s="3663"/>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63"/>
      <c r="Q26" s="900"/>
      <c r="R26" s="896"/>
      <c r="S26" s="897"/>
      <c r="T26" s="896"/>
      <c r="U26" s="897"/>
      <c r="V26" s="896"/>
      <c r="W26" s="897"/>
      <c r="X26" s="898"/>
      <c r="Y26" s="3663"/>
      <c r="Z26" s="911"/>
      <c r="AA26" s="910">
        <v>1</v>
      </c>
      <c r="AB26" s="910">
        <v>1</v>
      </c>
      <c r="AC26" s="910">
        <v>1</v>
      </c>
    </row>
    <row r="27" spans="1:29" ht="15">
      <c r="A27" s="723"/>
      <c r="B27" s="750" t="s">
        <v>1769</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63"/>
      <c r="Q27" s="819" t="str">
        <f t="shared" si="8"/>
        <v>临街状况</v>
      </c>
      <c r="R27" s="901" t="s">
        <v>1697</v>
      </c>
      <c r="S27" s="902">
        <f t="shared" ref="S27:S40" si="10">F27</f>
        <v>100</v>
      </c>
      <c r="T27" s="901" t="s">
        <v>1697</v>
      </c>
      <c r="U27" s="902">
        <f t="shared" ref="U27:U40" si="11">H27</f>
        <v>100</v>
      </c>
      <c r="V27" s="901" t="s">
        <v>1697</v>
      </c>
      <c r="W27" s="902">
        <f t="shared" ref="W27:W40" si="12">J27</f>
        <v>100</v>
      </c>
      <c r="X27" s="895"/>
      <c r="Y27" s="3663"/>
      <c r="Z27" s="884" t="str">
        <f t="shared" ref="Z27:Z40" si="13">Q27</f>
        <v>临街状况</v>
      </c>
      <c r="AA27" s="912">
        <f t="shared" si="3"/>
        <v>1</v>
      </c>
      <c r="AB27" s="912">
        <f t="shared" si="4"/>
        <v>1</v>
      </c>
      <c r="AC27" s="912">
        <f t="shared" si="5"/>
        <v>1</v>
      </c>
    </row>
    <row r="28" spans="1:29" ht="27">
      <c r="A28" s="723"/>
      <c r="B28" s="752" t="s">
        <v>1782</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63"/>
      <c r="Q28" s="819" t="str">
        <f t="shared" si="8"/>
        <v>毗邻道路的类型与等级</v>
      </c>
      <c r="R28" s="901" t="s">
        <v>1697</v>
      </c>
      <c r="S28" s="902">
        <f t="shared" si="10"/>
        <v>100</v>
      </c>
      <c r="T28" s="901" t="s">
        <v>1697</v>
      </c>
      <c r="U28" s="902">
        <f t="shared" si="11"/>
        <v>100</v>
      </c>
      <c r="V28" s="901" t="s">
        <v>1697</v>
      </c>
      <c r="W28" s="902">
        <f t="shared" si="12"/>
        <v>100</v>
      </c>
      <c r="X28" s="895"/>
      <c r="Y28" s="3663"/>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63"/>
      <c r="Q29" s="819"/>
      <c r="R29" s="901"/>
      <c r="S29" s="902"/>
      <c r="T29" s="901"/>
      <c r="U29" s="902"/>
      <c r="V29" s="901"/>
      <c r="W29" s="902"/>
      <c r="X29" s="895"/>
      <c r="Y29" s="3663"/>
      <c r="Z29" s="884"/>
      <c r="AA29" s="912">
        <v>1</v>
      </c>
      <c r="AB29" s="912">
        <v>1</v>
      </c>
      <c r="AC29" s="912">
        <v>1</v>
      </c>
    </row>
    <row r="30" spans="1:29" ht="15">
      <c r="A30" s="723"/>
      <c r="B30" s="758" t="s">
        <v>1813</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63"/>
      <c r="Q30" s="819" t="str">
        <f t="shared" si="8"/>
        <v>土地级别</v>
      </c>
      <c r="R30" s="901" t="s">
        <v>1697</v>
      </c>
      <c r="S30" s="902">
        <f t="shared" si="10"/>
        <v>100</v>
      </c>
      <c r="T30" s="901" t="s">
        <v>1697</v>
      </c>
      <c r="U30" s="902">
        <f t="shared" si="11"/>
        <v>100</v>
      </c>
      <c r="V30" s="901" t="s">
        <v>1697</v>
      </c>
      <c r="W30" s="902">
        <f t="shared" si="12"/>
        <v>100</v>
      </c>
      <c r="X30" s="895"/>
      <c r="Y30" s="3663"/>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63"/>
      <c r="Q31" s="819">
        <f t="shared" si="8"/>
        <v>111</v>
      </c>
      <c r="R31" s="901" t="s">
        <v>1697</v>
      </c>
      <c r="S31" s="902">
        <f t="shared" si="10"/>
        <v>100</v>
      </c>
      <c r="T31" s="901" t="s">
        <v>1697</v>
      </c>
      <c r="U31" s="902">
        <f t="shared" si="11"/>
        <v>100</v>
      </c>
      <c r="V31" s="901" t="s">
        <v>1697</v>
      </c>
      <c r="W31" s="902">
        <f t="shared" si="12"/>
        <v>100</v>
      </c>
      <c r="X31" s="895"/>
      <c r="Y31" s="3663"/>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9" t="s">
        <v>1717</v>
      </c>
      <c r="Q32" s="819">
        <f t="shared" si="8"/>
        <v>111</v>
      </c>
      <c r="R32" s="901" t="s">
        <v>1697</v>
      </c>
      <c r="S32" s="902">
        <f t="shared" si="10"/>
        <v>100</v>
      </c>
      <c r="T32" s="901" t="s">
        <v>1697</v>
      </c>
      <c r="U32" s="902">
        <f t="shared" si="11"/>
        <v>100</v>
      </c>
      <c r="V32" s="901" t="s">
        <v>1697</v>
      </c>
      <c r="W32" s="902">
        <f t="shared" si="12"/>
        <v>100</v>
      </c>
      <c r="X32" s="895"/>
      <c r="Y32" s="3664" t="s">
        <v>1717</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64"/>
      <c r="Q33" s="819">
        <f t="shared" si="8"/>
        <v>111</v>
      </c>
      <c r="R33" s="903" t="s">
        <v>1697</v>
      </c>
      <c r="S33" s="904">
        <f t="shared" si="10"/>
        <v>100</v>
      </c>
      <c r="T33" s="903" t="s">
        <v>1697</v>
      </c>
      <c r="U33" s="904">
        <f t="shared" si="11"/>
        <v>100</v>
      </c>
      <c r="V33" s="903" t="s">
        <v>1697</v>
      </c>
      <c r="W33" s="904">
        <f t="shared" si="12"/>
        <v>100</v>
      </c>
      <c r="X33" s="905"/>
      <c r="Y33" s="3664"/>
      <c r="Z33" s="913">
        <f t="shared" si="13"/>
        <v>111</v>
      </c>
      <c r="AA33" s="912">
        <f t="shared" si="3"/>
        <v>1</v>
      </c>
      <c r="AB33" s="912">
        <f t="shared" si="4"/>
        <v>1</v>
      </c>
      <c r="AC33" s="912">
        <f t="shared" si="5"/>
        <v>1</v>
      </c>
    </row>
    <row r="34" spans="1:31" ht="15">
      <c r="A34" s="737" t="s">
        <v>1715</v>
      </c>
      <c r="B34" s="769" t="s">
        <v>1814</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64"/>
      <c r="Q34" s="819" t="str">
        <f t="shared" si="8"/>
        <v>宗地面积</v>
      </c>
      <c r="R34" s="901" t="s">
        <v>1697</v>
      </c>
      <c r="S34" s="902">
        <f t="shared" si="10"/>
        <v>98</v>
      </c>
      <c r="T34" s="901" t="s">
        <v>1697</v>
      </c>
      <c r="U34" s="902">
        <f t="shared" si="11"/>
        <v>100</v>
      </c>
      <c r="V34" s="901" t="s">
        <v>1697</v>
      </c>
      <c r="W34" s="902">
        <f t="shared" si="12"/>
        <v>100</v>
      </c>
      <c r="X34" s="895"/>
      <c r="Y34" s="3664"/>
      <c r="Z34" s="884" t="str">
        <f t="shared" si="13"/>
        <v>宗地面积</v>
      </c>
      <c r="AA34" s="912">
        <f t="shared" si="3"/>
        <v>1.0204081632653061</v>
      </c>
      <c r="AB34" s="912">
        <f t="shared" si="4"/>
        <v>1</v>
      </c>
      <c r="AC34" s="912">
        <f t="shared" si="5"/>
        <v>1</v>
      </c>
    </row>
    <row r="35" spans="1:31" ht="15">
      <c r="A35" s="772"/>
      <c r="B35" s="720" t="s">
        <v>1815</v>
      </c>
      <c r="C35" s="773" t="s">
        <v>1853</v>
      </c>
      <c r="D35" s="732">
        <v>100</v>
      </c>
      <c r="E35" s="773" t="s">
        <v>1853</v>
      </c>
      <c r="F35" s="732">
        <f>SUMIF(110:110,E35,111:111)-SUMIF(110:110,C35,111:111)+100</f>
        <v>100</v>
      </c>
      <c r="G35" s="773" t="s">
        <v>1853</v>
      </c>
      <c r="H35" s="732">
        <f>SUMIF(110:110,G35,111:111)-SUMIF(110:110,C35,111:111)+100</f>
        <v>100</v>
      </c>
      <c r="I35" s="773" t="s">
        <v>1853</v>
      </c>
      <c r="J35" s="732">
        <f>SUMIF(110:110,I35,111:111)-SUMIF(110:110,C35,111:111)+100</f>
        <v>100</v>
      </c>
      <c r="K35" s="870">
        <v>1</v>
      </c>
      <c r="L35" s="865"/>
      <c r="M35" s="853"/>
      <c r="N35" s="853"/>
      <c r="O35" s="864"/>
      <c r="P35" s="3664"/>
      <c r="Q35" s="819" t="str">
        <f t="shared" ref="Q35:Q40" si="14">B35</f>
        <v>宗地形状</v>
      </c>
      <c r="R35" s="901" t="s">
        <v>1697</v>
      </c>
      <c r="S35" s="902">
        <f t="shared" si="10"/>
        <v>100</v>
      </c>
      <c r="T35" s="901" t="s">
        <v>1697</v>
      </c>
      <c r="U35" s="902">
        <f t="shared" si="11"/>
        <v>100</v>
      </c>
      <c r="V35" s="901" t="s">
        <v>1697</v>
      </c>
      <c r="W35" s="902">
        <f t="shared" si="12"/>
        <v>100</v>
      </c>
      <c r="X35" s="895"/>
      <c r="Y35" s="3664"/>
      <c r="Z35" s="884" t="str">
        <f t="shared" si="13"/>
        <v>宗地形状</v>
      </c>
      <c r="AA35" s="912">
        <f t="shared" si="3"/>
        <v>1</v>
      </c>
      <c r="AB35" s="912">
        <f t="shared" si="4"/>
        <v>1</v>
      </c>
      <c r="AC35" s="912">
        <f t="shared" si="5"/>
        <v>1</v>
      </c>
    </row>
    <row r="36" spans="1:31" s="682" customFormat="1" ht="15">
      <c r="A36" s="774"/>
      <c r="B36" s="720" t="s">
        <v>1817</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64"/>
      <c r="Q36" s="819" t="str">
        <f t="shared" si="14"/>
        <v>宗地开发程度</v>
      </c>
      <c r="R36" s="896" t="s">
        <v>1697</v>
      </c>
      <c r="S36" s="897">
        <f t="shared" si="10"/>
        <v>102</v>
      </c>
      <c r="T36" s="896" t="s">
        <v>1697</v>
      </c>
      <c r="U36" s="897">
        <f t="shared" si="11"/>
        <v>102</v>
      </c>
      <c r="V36" s="896" t="s">
        <v>1697</v>
      </c>
      <c r="W36" s="897">
        <f t="shared" si="12"/>
        <v>102</v>
      </c>
      <c r="X36" s="898"/>
      <c r="Y36" s="3664"/>
      <c r="Z36" s="911" t="str">
        <f t="shared" si="13"/>
        <v>宗地开发程度</v>
      </c>
      <c r="AA36" s="910">
        <f t="shared" si="3"/>
        <v>0.98039215686274495</v>
      </c>
      <c r="AB36" s="910">
        <f t="shared" si="4"/>
        <v>0.98039215686274495</v>
      </c>
      <c r="AC36" s="910">
        <f t="shared" si="5"/>
        <v>0.98039215686274495</v>
      </c>
    </row>
    <row r="37" spans="1:31" ht="15">
      <c r="A37" s="772"/>
      <c r="B37" s="720" t="s">
        <v>1818</v>
      </c>
      <c r="C37" s="773" t="s">
        <v>1496</v>
      </c>
      <c r="D37" s="732">
        <v>100</v>
      </c>
      <c r="E37" s="773" t="s">
        <v>1496</v>
      </c>
      <c r="F37" s="732">
        <f>SUMIF(114:114,E37,115:115)-SUMIF(114:114,C37,115:115)+100</f>
        <v>100</v>
      </c>
      <c r="G37" s="773" t="s">
        <v>1496</v>
      </c>
      <c r="H37" s="732">
        <f>SUMIF(114:114,G37,115:115)-SUMIF(114:114,C37,115:115)+100</f>
        <v>100</v>
      </c>
      <c r="I37" s="773" t="s">
        <v>1496</v>
      </c>
      <c r="J37" s="732">
        <f>SUMIF(114:114,I37,115:115)-SUMIF(114:114,C37,115:115)+100</f>
        <v>100</v>
      </c>
      <c r="K37" s="870">
        <v>1</v>
      </c>
      <c r="L37" s="865"/>
      <c r="M37" s="853"/>
      <c r="N37" s="853"/>
      <c r="O37" s="864"/>
      <c r="P37" s="3664" t="s">
        <v>1717</v>
      </c>
      <c r="Q37" s="819" t="str">
        <f t="shared" si="14"/>
        <v>工程地质条件</v>
      </c>
      <c r="R37" s="901" t="s">
        <v>1697</v>
      </c>
      <c r="S37" s="902">
        <f t="shared" si="10"/>
        <v>100</v>
      </c>
      <c r="T37" s="901" t="s">
        <v>1697</v>
      </c>
      <c r="U37" s="902">
        <f t="shared" si="11"/>
        <v>100</v>
      </c>
      <c r="V37" s="901" t="s">
        <v>1697</v>
      </c>
      <c r="W37" s="902">
        <f t="shared" si="12"/>
        <v>100</v>
      </c>
      <c r="X37" s="895"/>
      <c r="Y37" s="3664" t="s">
        <v>1717</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64"/>
      <c r="Q38" s="819">
        <f t="shared" si="14"/>
        <v>111</v>
      </c>
      <c r="R38" s="901" t="s">
        <v>1697</v>
      </c>
      <c r="S38" s="902">
        <f t="shared" si="10"/>
        <v>100</v>
      </c>
      <c r="T38" s="901" t="s">
        <v>1697</v>
      </c>
      <c r="U38" s="902">
        <f t="shared" si="11"/>
        <v>100</v>
      </c>
      <c r="V38" s="901" t="s">
        <v>1697</v>
      </c>
      <c r="W38" s="902">
        <f t="shared" si="12"/>
        <v>100</v>
      </c>
      <c r="X38" s="895"/>
      <c r="Y38" s="3664"/>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64"/>
      <c r="Q39" s="819">
        <f t="shared" si="14"/>
        <v>111</v>
      </c>
      <c r="R39" s="901" t="s">
        <v>1697</v>
      </c>
      <c r="S39" s="902">
        <f t="shared" si="10"/>
        <v>100</v>
      </c>
      <c r="T39" s="901" t="s">
        <v>1697</v>
      </c>
      <c r="U39" s="902">
        <f t="shared" si="11"/>
        <v>100</v>
      </c>
      <c r="V39" s="901" t="s">
        <v>1697</v>
      </c>
      <c r="W39" s="902">
        <f t="shared" si="12"/>
        <v>100</v>
      </c>
      <c r="X39" s="895"/>
      <c r="Y39" s="3664"/>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64"/>
      <c r="Q40" s="819">
        <f t="shared" si="14"/>
        <v>111</v>
      </c>
      <c r="R40" s="903" t="s">
        <v>1697</v>
      </c>
      <c r="S40" s="904">
        <f t="shared" si="10"/>
        <v>100</v>
      </c>
      <c r="T40" s="903" t="s">
        <v>1697</v>
      </c>
      <c r="U40" s="904">
        <f t="shared" si="11"/>
        <v>100</v>
      </c>
      <c r="V40" s="903" t="s">
        <v>1697</v>
      </c>
      <c r="W40" s="904">
        <f t="shared" si="12"/>
        <v>100</v>
      </c>
      <c r="X40" s="905"/>
      <c r="Y40" s="3664"/>
      <c r="Z40" s="913">
        <f t="shared" si="13"/>
        <v>111</v>
      </c>
      <c r="AA40" s="912">
        <f t="shared" si="3"/>
        <v>1</v>
      </c>
      <c r="AB40" s="912">
        <f t="shared" si="4"/>
        <v>1</v>
      </c>
      <c r="AC40" s="912">
        <f t="shared" si="5"/>
        <v>1</v>
      </c>
    </row>
    <row r="41" spans="1:31" ht="15">
      <c r="A41" s="779" t="s">
        <v>1800</v>
      </c>
      <c r="B41" s="780" t="s">
        <v>1854</v>
      </c>
      <c r="C41" s="781" t="s">
        <v>124</v>
      </c>
      <c r="D41" s="782"/>
      <c r="E41" s="783">
        <f>土地案例!Q25</f>
        <v>1934</v>
      </c>
      <c r="F41" s="784"/>
      <c r="G41" s="785">
        <f>土地案例!Q26</f>
        <v>1477</v>
      </c>
      <c r="H41" s="786"/>
      <c r="I41" s="783">
        <f>土地案例!Q27</f>
        <v>1477</v>
      </c>
      <c r="J41" s="786"/>
      <c r="K41" s="875"/>
      <c r="L41" s="876"/>
      <c r="M41" s="853"/>
      <c r="N41" s="853"/>
      <c r="O41" s="796"/>
      <c r="P41" s="3649" t="str">
        <f>A41</f>
        <v>成交单价</v>
      </c>
      <c r="Q41" s="3649"/>
      <c r="R41" s="3636">
        <f>E41</f>
        <v>1934</v>
      </c>
      <c r="S41" s="3636"/>
      <c r="T41" s="3636">
        <f>G41</f>
        <v>1477</v>
      </c>
      <c r="U41" s="3636"/>
      <c r="V41" s="3636">
        <f>I41</f>
        <v>1477</v>
      </c>
      <c r="W41" s="3636"/>
      <c r="X41" s="841"/>
      <c r="Y41" s="914"/>
      <c r="Z41" s="841"/>
      <c r="AA41" s="841"/>
      <c r="AB41" s="841"/>
      <c r="AC41" s="841"/>
    </row>
    <row r="42" spans="1:31" ht="15">
      <c r="A42" s="787" t="s">
        <v>1729</v>
      </c>
      <c r="B42" s="788"/>
      <c r="C42" s="789" t="e">
        <f>R43</f>
        <v>#DIV/0!</v>
      </c>
      <c r="D42" s="790" t="s">
        <v>1855</v>
      </c>
      <c r="E42" s="789" t="e">
        <f>R42</f>
        <v>#DIV/0!</v>
      </c>
      <c r="F42" s="791">
        <v>0.6</v>
      </c>
      <c r="G42" s="792" t="e">
        <f>T42</f>
        <v>#DIV/0!</v>
      </c>
      <c r="H42" s="791">
        <v>0.2</v>
      </c>
      <c r="I42" s="789" t="e">
        <f>V42</f>
        <v>#DIV/0!</v>
      </c>
      <c r="J42" s="791">
        <v>0.2</v>
      </c>
      <c r="K42" s="877">
        <f>F42+H42+J42</f>
        <v>1</v>
      </c>
      <c r="L42" s="876"/>
      <c r="M42" s="853"/>
      <c r="N42" s="853"/>
      <c r="O42" s="796"/>
      <c r="P42" s="3649" t="str">
        <f>A42</f>
        <v>比较价值（元/平方米）</v>
      </c>
      <c r="Q42" s="3649"/>
      <c r="R42" s="3742" t="e">
        <f>ROUND(PRODUCT(R41,AA7:AA40),0)</f>
        <v>#DIV/0!</v>
      </c>
      <c r="S42" s="3742"/>
      <c r="T42" s="3742" t="e">
        <f>ROUND(PRODUCT(T41,AB7:AB40),0)</f>
        <v>#DIV/0!</v>
      </c>
      <c r="U42" s="3742"/>
      <c r="V42" s="3742" t="e">
        <f>ROUND(PRODUCT(V41,AC7:AC40),0)</f>
        <v>#DIV/0!</v>
      </c>
      <c r="W42" s="3742"/>
      <c r="X42" s="841"/>
      <c r="Y42" s="841"/>
      <c r="Z42" s="841"/>
      <c r="AA42" s="841"/>
      <c r="AB42" s="841"/>
      <c r="AC42" s="841"/>
    </row>
    <row r="43" spans="1:31" ht="15">
      <c r="A43" s="793" t="s">
        <v>1731</v>
      </c>
      <c r="B43" s="794"/>
      <c r="C43" s="795" t="e">
        <f>R43</f>
        <v>#DIV/0!</v>
      </c>
      <c r="D43" s="795"/>
      <c r="E43" s="795"/>
      <c r="F43" s="795"/>
      <c r="G43" s="795"/>
      <c r="H43" s="795"/>
      <c r="I43" s="795"/>
      <c r="J43" s="795"/>
      <c r="K43" s="878"/>
      <c r="L43" s="876"/>
      <c r="M43" s="853"/>
      <c r="N43" s="853"/>
      <c r="O43" s="796"/>
      <c r="P43" s="3651" t="str">
        <f>A43</f>
        <v>估价对象XX用房的比较价值（楼面单价，元/平方米）</v>
      </c>
      <c r="Q43" s="3652"/>
      <c r="R43" s="3743" t="e">
        <f>ROUND(IF(D42="简单平均",AVERAGE(R42:W42),R42*F42+T42*H42+V42*J42),0)</f>
        <v>#DIV/0!</v>
      </c>
      <c r="S43" s="3743"/>
      <c r="T43" s="3743"/>
      <c r="U43" s="3743"/>
      <c r="V43" s="3743"/>
      <c r="W43" s="3743"/>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1734</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1821</v>
      </c>
      <c r="B50" s="808" t="s">
        <v>1822</v>
      </c>
      <c r="C50" s="809" t="s">
        <v>1823</v>
      </c>
      <c r="D50" s="810" t="s">
        <v>1824</v>
      </c>
      <c r="E50" s="811" t="s">
        <v>1825</v>
      </c>
      <c r="F50" s="812" t="s">
        <v>1826</v>
      </c>
      <c r="G50" s="3671" t="s">
        <v>1827</v>
      </c>
      <c r="H50" s="3741"/>
      <c r="I50" s="884" t="s">
        <v>1856</v>
      </c>
      <c r="J50" s="884">
        <f>项目基本情况!F35</f>
        <v>0</v>
      </c>
      <c r="K50" s="885" t="s">
        <v>1829</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1830</v>
      </c>
      <c r="B51" s="815" t="e">
        <f>C43</f>
        <v>#DIV/0!</v>
      </c>
      <c r="C51" s="816">
        <v>1</v>
      </c>
      <c r="D51" s="817">
        <v>1</v>
      </c>
      <c r="E51" s="816">
        <f>'数据-汇总表'!E8+'数据-汇总表'!E9</f>
        <v>1851.14</v>
      </c>
      <c r="F51" s="818" t="e">
        <f t="shared" ref="F51:F60" si="15">ROUND(B51*E51/10000,0)</f>
        <v>#DIV/0!</v>
      </c>
      <c r="G51" s="3656"/>
      <c r="H51" s="3649"/>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1831</v>
      </c>
      <c r="B52" s="397" t="e">
        <f>ROUND($C$43*C52*D52,0)</f>
        <v>#DIV/0!</v>
      </c>
      <c r="C52" s="821">
        <f t="shared" ref="C52:C60" si="16">IF($C$50="北京市系数",I52,J52)</f>
        <v>0.6</v>
      </c>
      <c r="D52" s="822">
        <v>0.25</v>
      </c>
      <c r="E52" s="823"/>
      <c r="F52" s="818" t="e">
        <f t="shared" si="15"/>
        <v>#DIV/0!</v>
      </c>
      <c r="G52" s="824" t="s">
        <v>1832</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1833</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1834</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1835</v>
      </c>
      <c r="B56" s="397" t="e">
        <f t="shared" si="17"/>
        <v>#DIV/0!</v>
      </c>
      <c r="C56" s="821">
        <f t="shared" si="16"/>
        <v>0</v>
      </c>
      <c r="D56" s="822">
        <v>0.25</v>
      </c>
      <c r="E56" s="396">
        <f>'数据-汇总表'!E11</f>
        <v>0</v>
      </c>
      <c r="F56" s="818" t="e">
        <f t="shared" si="15"/>
        <v>#DIV/0!</v>
      </c>
      <c r="G56" s="828" t="s">
        <v>1836</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1837</v>
      </c>
      <c r="B57" s="397" t="e">
        <f t="shared" si="17"/>
        <v>#DIV/0!</v>
      </c>
      <c r="C57" s="821">
        <f t="shared" si="16"/>
        <v>0</v>
      </c>
      <c r="D57" s="822">
        <v>0.25</v>
      </c>
      <c r="E57" s="396">
        <f>'数据-汇总表'!E12</f>
        <v>0</v>
      </c>
      <c r="F57" s="818" t="e">
        <f t="shared" si="15"/>
        <v>#DIV/0!</v>
      </c>
      <c r="G57" s="829" t="s">
        <v>1838</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1839</v>
      </c>
      <c r="B58" s="397" t="e">
        <f t="shared" si="17"/>
        <v>#DIV/0!</v>
      </c>
      <c r="C58" s="821">
        <f t="shared" si="16"/>
        <v>0</v>
      </c>
      <c r="D58" s="822">
        <v>0.25</v>
      </c>
      <c r="E58" s="396">
        <f>'数据-汇总表'!E13</f>
        <v>0</v>
      </c>
      <c r="F58" s="818" t="e">
        <f t="shared" si="15"/>
        <v>#DIV/0!</v>
      </c>
      <c r="G58" s="829" t="s">
        <v>1840</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1841</v>
      </c>
      <c r="B59" s="397" t="e">
        <f t="shared" si="17"/>
        <v>#DIV/0!</v>
      </c>
      <c r="C59" s="821">
        <f t="shared" si="16"/>
        <v>0.15</v>
      </c>
      <c r="D59" s="822">
        <v>0.25</v>
      </c>
      <c r="E59" s="396">
        <f>'数据-汇总表'!E14</f>
        <v>0</v>
      </c>
      <c r="F59" s="818" t="e">
        <f t="shared" si="15"/>
        <v>#DIV/0!</v>
      </c>
      <c r="G59" s="828" t="s">
        <v>1832</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1842</v>
      </c>
      <c r="B60" s="397" t="e">
        <f t="shared" si="17"/>
        <v>#DIV/0!</v>
      </c>
      <c r="C60" s="821">
        <f t="shared" si="16"/>
        <v>0</v>
      </c>
      <c r="D60" s="822">
        <v>0.25</v>
      </c>
      <c r="E60" s="396">
        <f>'数据-汇总表'!E15</f>
        <v>0</v>
      </c>
      <c r="F60" s="818" t="e">
        <f t="shared" si="15"/>
        <v>#DIV/0!</v>
      </c>
      <c r="G60" s="830" t="s">
        <v>1836</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1843</v>
      </c>
      <c r="B61" s="833" t="s">
        <v>1844</v>
      </c>
      <c r="C61" s="833" t="s">
        <v>1844</v>
      </c>
      <c r="D61" s="833" t="s">
        <v>1844</v>
      </c>
      <c r="E61" s="833">
        <f>IF(B41="楼面地价",SUM(E51:E60),'数据-汇总表'!D3)</f>
        <v>1851.14</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1735</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1845</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1857</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1736</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1698</v>
      </c>
      <c r="B68" s="927"/>
      <c r="C68" s="928" t="s">
        <v>1737</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1738</v>
      </c>
      <c r="B70" s="933" t="s">
        <v>1701</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1704</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1705</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1706</v>
      </c>
      <c r="B83" s="933" t="s">
        <v>1787</v>
      </c>
      <c r="C83" s="955" t="s">
        <v>1490</v>
      </c>
      <c r="D83" s="955" t="s">
        <v>1491</v>
      </c>
      <c r="E83" s="955" t="s">
        <v>1492</v>
      </c>
      <c r="F83" s="955" t="s">
        <v>1493</v>
      </c>
      <c r="G83" s="955" t="s">
        <v>1494</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1709</v>
      </c>
      <c r="C85" s="957" t="s">
        <v>1490</v>
      </c>
      <c r="D85" s="957" t="s">
        <v>1491</v>
      </c>
      <c r="E85" s="957" t="s">
        <v>1492</v>
      </c>
      <c r="F85" s="957" t="s">
        <v>1493</v>
      </c>
      <c r="G85" s="957" t="s">
        <v>1494</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1811</v>
      </c>
      <c r="C87" s="955" t="s">
        <v>1490</v>
      </c>
      <c r="D87" s="955" t="s">
        <v>1491</v>
      </c>
      <c r="E87" s="955" t="s">
        <v>1492</v>
      </c>
      <c r="F87" s="955" t="s">
        <v>1493</v>
      </c>
      <c r="G87" s="955" t="s">
        <v>1494</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1812</v>
      </c>
      <c r="C89" s="955" t="s">
        <v>1490</v>
      </c>
      <c r="D89" s="955" t="s">
        <v>1491</v>
      </c>
      <c r="E89" s="955" t="s">
        <v>1492</v>
      </c>
      <c r="F89" s="955" t="s">
        <v>1493</v>
      </c>
      <c r="G89" s="955" t="s">
        <v>1494</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1710</v>
      </c>
      <c r="C91" s="955" t="s">
        <v>1490</v>
      </c>
      <c r="D91" s="955" t="s">
        <v>1491</v>
      </c>
      <c r="E91" s="955" t="s">
        <v>1492</v>
      </c>
      <c r="F91" s="955" t="s">
        <v>1493</v>
      </c>
      <c r="G91" s="955" t="s">
        <v>1494</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1711</v>
      </c>
      <c r="C93" s="962" t="s">
        <v>1739</v>
      </c>
      <c r="D93" s="962" t="s">
        <v>1740</v>
      </c>
      <c r="E93" s="962" t="s">
        <v>1741</v>
      </c>
      <c r="F93" s="962" t="s">
        <v>1742</v>
      </c>
      <c r="G93" s="962" t="s">
        <v>1743</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1847</v>
      </c>
      <c r="D95" s="939" t="s">
        <v>1848</v>
      </c>
      <c r="E95" s="939" t="s">
        <v>1849</v>
      </c>
      <c r="F95" s="939" t="s">
        <v>1850</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1782</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1813</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1715</v>
      </c>
      <c r="B107" s="933" t="s">
        <v>1814</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1815</v>
      </c>
      <c r="C110" s="970" t="s">
        <v>1853</v>
      </c>
      <c r="D110" s="970" t="s">
        <v>1858</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1817</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1818</v>
      </c>
      <c r="C114" s="946" t="s">
        <v>1508</v>
      </c>
      <c r="D114" s="946" t="s">
        <v>1496</v>
      </c>
      <c r="E114" s="963" t="s">
        <v>1506</v>
      </c>
      <c r="F114" s="963" t="s">
        <v>1502</v>
      </c>
      <c r="G114" s="963" t="s">
        <v>1859</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1860</v>
      </c>
      <c r="C1" s="3748" t="s">
        <v>1861</v>
      </c>
      <c r="D1" s="3749"/>
      <c r="E1" s="3749"/>
      <c r="F1" s="3749"/>
      <c r="G1" s="3749"/>
      <c r="H1" s="3749"/>
      <c r="I1" s="3749"/>
      <c r="J1" s="3749"/>
      <c r="K1" s="3749"/>
      <c r="L1" s="3749"/>
      <c r="M1" s="3749"/>
      <c r="N1" s="3749"/>
      <c r="O1" s="3749"/>
      <c r="P1" s="3749"/>
      <c r="Q1" s="3749"/>
      <c r="R1" s="3749"/>
      <c r="S1" s="3750"/>
      <c r="T1" s="563" t="s">
        <v>1405</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1862</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1863</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1864</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1865</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1866</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1867</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1868</v>
      </c>
      <c r="B17" s="597" t="s">
        <v>1869</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1870</v>
      </c>
      <c r="E19" s="607"/>
      <c r="F19" s="607"/>
      <c r="G19" s="607"/>
      <c r="H19" s="608"/>
      <c r="I19" s="605"/>
      <c r="J19" s="605"/>
      <c r="K19" s="605"/>
      <c r="L19" s="605"/>
      <c r="M19" s="605"/>
      <c r="N19" s="605"/>
      <c r="O19" s="605"/>
      <c r="P19" s="605"/>
      <c r="Q19" s="605"/>
      <c r="R19" s="673"/>
      <c r="S19" s="604"/>
    </row>
    <row r="20" spans="1:45" ht="15.75">
      <c r="A20" s="609" t="s">
        <v>1871</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1872</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1873</v>
      </c>
      <c r="B22" s="615">
        <f>SUM(B24:B10000)</f>
        <v>0</v>
      </c>
      <c r="C22" s="3751" t="s">
        <v>124</v>
      </c>
      <c r="D22" s="3752"/>
      <c r="E22" s="3752"/>
      <c r="F22" s="3752"/>
      <c r="G22" s="3752"/>
      <c r="H22" s="3752"/>
      <c r="I22" s="3752"/>
      <c r="J22" s="3752"/>
      <c r="K22" s="3752"/>
      <c r="L22" s="3752"/>
      <c r="M22" s="3752"/>
      <c r="N22" s="3752"/>
      <c r="O22" s="3752"/>
      <c r="P22" s="3752"/>
      <c r="Q22" s="3753"/>
      <c r="R22" s="675" t="e">
        <f>ROUND(S22*10000/B22,0)</f>
        <v>#DIV/0!</v>
      </c>
      <c r="S22" s="615">
        <f>SUM(S24:S10000)</f>
        <v>0</v>
      </c>
    </row>
    <row r="23" spans="1:45" s="556" customFormat="1" ht="24">
      <c r="A23" s="618" t="s">
        <v>1874</v>
      </c>
      <c r="B23" s="618" t="s">
        <v>456</v>
      </c>
      <c r="C23" s="618" t="s">
        <v>1405</v>
      </c>
      <c r="D23" s="618" t="str">
        <f>B5</f>
        <v>修正项2</v>
      </c>
      <c r="E23" s="618" t="s">
        <v>1405</v>
      </c>
      <c r="F23" s="618" t="str">
        <f>B7</f>
        <v>修正项3</v>
      </c>
      <c r="G23" s="618" t="s">
        <v>1405</v>
      </c>
      <c r="H23" s="618" t="str">
        <f>B9</f>
        <v>修正项4</v>
      </c>
      <c r="I23" s="618" t="s">
        <v>1405</v>
      </c>
      <c r="J23" s="618" t="str">
        <f>B11</f>
        <v>修正项5</v>
      </c>
      <c r="K23" s="618" t="s">
        <v>1405</v>
      </c>
      <c r="L23" s="618" t="str">
        <f>B13</f>
        <v>修正项6</v>
      </c>
      <c r="M23" s="618" t="s">
        <v>1405</v>
      </c>
      <c r="N23" s="618" t="str">
        <f>B15</f>
        <v>修正项7</v>
      </c>
      <c r="O23" s="618" t="s">
        <v>1405</v>
      </c>
      <c r="P23" s="618" t="str">
        <f>B17</f>
        <v>楼层</v>
      </c>
      <c r="Q23" s="618" t="s">
        <v>1405</v>
      </c>
      <c r="R23" s="676" t="s">
        <v>1875</v>
      </c>
      <c r="S23" s="618" t="s">
        <v>1876</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1877</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0</v>
      </c>
      <c r="C2" s="544" t="s">
        <v>1879</v>
      </c>
      <c r="D2" s="544" t="s">
        <v>1880</v>
      </c>
      <c r="E2" s="546">
        <f ca="1">SUMIF(E6:E13,"&lt;&gt;#ref!",E6:E13)</f>
        <v>1851.14</v>
      </c>
      <c r="F2" s="543"/>
      <c r="G2" s="543"/>
      <c r="H2" s="543"/>
      <c r="I2" s="543"/>
      <c r="J2" s="543"/>
      <c r="K2" s="543"/>
      <c r="L2" s="543"/>
      <c r="M2" s="543"/>
      <c r="N2" s="543"/>
      <c r="O2" s="543"/>
      <c r="P2" s="543"/>
    </row>
    <row r="3" spans="1:16" ht="15.75">
      <c r="A3" s="544" t="s">
        <v>1881</v>
      </c>
      <c r="B3" s="545">
        <f ca="1">ROUND(B2*10000/E2,0)</f>
        <v>0</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t="e">
        <f ca="1">SUMIF(INDIRECT("'"&amp;A6&amp;"'"&amp;"!A:A"),"总价",INDIRECT("'"&amp;A6&amp;"'"&amp;"!B:B"))</f>
        <v>#REF!</v>
      </c>
      <c r="C6" s="544" t="s">
        <v>1879</v>
      </c>
      <c r="D6" s="543"/>
      <c r="E6" s="546">
        <f ca="1">SUMIF(INDIRECT("'"&amp;A6&amp;"'"&amp;"!C:C"),"建筑面积",INDIRECT("'"&amp;A6&amp;"'"&amp;"!D:D"))</f>
        <v>1851.14</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1765</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58" t="s">
        <v>1765</v>
      </c>
      <c r="B20" s="3764" t="s">
        <v>1896</v>
      </c>
      <c r="C20" s="506" t="s">
        <v>1897</v>
      </c>
      <c r="D20" s="507"/>
      <c r="E20" s="508">
        <v>1</v>
      </c>
      <c r="F20" s="509" t="s">
        <v>1898</v>
      </c>
      <c r="G20" s="509"/>
    </row>
    <row r="21" spans="1:13" ht="19.5" customHeight="1">
      <c r="A21" s="3759"/>
      <c r="B21" s="3757"/>
      <c r="C21" s="510" t="s">
        <v>1899</v>
      </c>
      <c r="D21" s="511"/>
      <c r="E21" s="512">
        <v>1</v>
      </c>
      <c r="F21" s="509" t="s">
        <v>1900</v>
      </c>
      <c r="G21" s="509"/>
    </row>
    <row r="22" spans="1:13" ht="19.5" customHeight="1">
      <c r="A22" s="3759"/>
      <c r="B22" s="3757"/>
      <c r="C22" s="510" t="s">
        <v>1901</v>
      </c>
      <c r="D22" s="511"/>
      <c r="E22" s="512">
        <v>0.9</v>
      </c>
      <c r="F22" s="509" t="s">
        <v>1902</v>
      </c>
      <c r="G22" s="509"/>
    </row>
    <row r="23" spans="1:13" ht="19.5" customHeight="1">
      <c r="A23" s="3759"/>
      <c r="B23" s="3757"/>
      <c r="C23" s="510" t="s">
        <v>1903</v>
      </c>
      <c r="D23" s="511"/>
      <c r="E23" s="512">
        <v>0.9</v>
      </c>
      <c r="F23" s="509" t="s">
        <v>1904</v>
      </c>
      <c r="G23" s="509"/>
    </row>
    <row r="24" spans="1:13" ht="19.5" customHeight="1">
      <c r="A24" s="3759"/>
      <c r="B24" s="3757"/>
      <c r="C24" s="510" t="s">
        <v>1905</v>
      </c>
      <c r="D24" s="511"/>
      <c r="E24" s="512">
        <v>0.8</v>
      </c>
      <c r="F24" s="509" t="s">
        <v>1906</v>
      </c>
      <c r="G24" s="509"/>
    </row>
    <row r="25" spans="1:13" ht="19.5" customHeight="1">
      <c r="A25" s="3760"/>
      <c r="B25" s="3765"/>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61" t="s">
        <v>280</v>
      </c>
      <c r="B27" s="3764" t="s">
        <v>280</v>
      </c>
      <c r="C27" s="506" t="s">
        <v>1911</v>
      </c>
      <c r="D27" s="507"/>
      <c r="E27" s="508">
        <v>1</v>
      </c>
      <c r="F27" s="509" t="s">
        <v>1912</v>
      </c>
      <c r="G27" s="509"/>
    </row>
    <row r="28" spans="1:13" ht="19.5" customHeight="1">
      <c r="A28" s="3762"/>
      <c r="B28" s="3757"/>
      <c r="C28" s="510" t="s">
        <v>1913</v>
      </c>
      <c r="D28" s="511"/>
      <c r="E28" s="512">
        <v>1</v>
      </c>
      <c r="F28" s="509" t="s">
        <v>1914</v>
      </c>
      <c r="G28" s="509"/>
    </row>
    <row r="29" spans="1:13" ht="19.5" customHeight="1">
      <c r="A29" s="3762"/>
      <c r="B29" s="3757"/>
      <c r="C29" s="510" t="s">
        <v>1915</v>
      </c>
      <c r="D29" s="511"/>
      <c r="E29" s="512">
        <v>0.8</v>
      </c>
      <c r="F29" s="509" t="s">
        <v>1916</v>
      </c>
      <c r="G29" s="509"/>
    </row>
    <row r="30" spans="1:13" ht="19.5" customHeight="1">
      <c r="A30" s="3762"/>
      <c r="B30" s="3757"/>
      <c r="C30" s="510" t="s">
        <v>1917</v>
      </c>
      <c r="D30" s="511"/>
      <c r="E30" s="512">
        <v>0.8</v>
      </c>
      <c r="F30" s="509" t="s">
        <v>1918</v>
      </c>
      <c r="G30" s="509"/>
    </row>
    <row r="31" spans="1:13" ht="19.5" customHeight="1">
      <c r="A31" s="3762"/>
      <c r="B31" s="3757"/>
      <c r="C31" s="510" t="s">
        <v>1919</v>
      </c>
      <c r="D31" s="511"/>
      <c r="E31" s="512">
        <v>0.8</v>
      </c>
      <c r="F31" s="509" t="s">
        <v>1920</v>
      </c>
      <c r="G31" s="509"/>
    </row>
    <row r="32" spans="1:13" ht="19.5" customHeight="1">
      <c r="A32" s="3762"/>
      <c r="B32" s="3757"/>
      <c r="C32" s="510" t="s">
        <v>1921</v>
      </c>
      <c r="D32" s="511"/>
      <c r="E32" s="512">
        <v>0.7</v>
      </c>
      <c r="F32" s="509" t="s">
        <v>1922</v>
      </c>
      <c r="G32" s="509"/>
    </row>
    <row r="33" spans="1:7" ht="19.5" customHeight="1">
      <c r="A33" s="3762"/>
      <c r="B33" s="3757"/>
      <c r="C33" s="510" t="s">
        <v>1923</v>
      </c>
      <c r="D33" s="511"/>
      <c r="E33" s="512">
        <v>0.8</v>
      </c>
      <c r="F33" s="509" t="s">
        <v>1924</v>
      </c>
      <c r="G33" s="509"/>
    </row>
    <row r="34" spans="1:7" ht="19.5" customHeight="1">
      <c r="A34" s="3762"/>
      <c r="B34" s="3757"/>
      <c r="C34" s="510" t="s">
        <v>1925</v>
      </c>
      <c r="D34" s="511"/>
      <c r="E34" s="512">
        <v>0.6</v>
      </c>
      <c r="F34" s="509" t="s">
        <v>1926</v>
      </c>
      <c r="G34" s="509"/>
    </row>
    <row r="35" spans="1:7" ht="19.5" customHeight="1">
      <c r="A35" s="3762"/>
      <c r="B35" s="3757"/>
      <c r="C35" s="510" t="s">
        <v>1927</v>
      </c>
      <c r="D35" s="511"/>
      <c r="E35" s="512">
        <v>0.2</v>
      </c>
      <c r="F35" s="509" t="s">
        <v>1928</v>
      </c>
      <c r="G35" s="509"/>
    </row>
    <row r="36" spans="1:7" ht="19.5" customHeight="1">
      <c r="A36" s="3762"/>
      <c r="B36" s="3757"/>
      <c r="C36" s="510" t="s">
        <v>1929</v>
      </c>
      <c r="D36" s="511"/>
      <c r="E36" s="512">
        <v>0.2</v>
      </c>
      <c r="F36" s="509" t="s">
        <v>1930</v>
      </c>
      <c r="G36" s="509"/>
    </row>
    <row r="37" spans="1:7" ht="19.5" customHeight="1">
      <c r="A37" s="3762"/>
      <c r="B37" s="3755" t="s">
        <v>1931</v>
      </c>
      <c r="C37" s="510" t="s">
        <v>1932</v>
      </c>
      <c r="D37" s="511"/>
      <c r="E37" s="512">
        <v>0.6</v>
      </c>
      <c r="F37" s="509" t="s">
        <v>1933</v>
      </c>
      <c r="G37" s="509"/>
    </row>
    <row r="38" spans="1:7" ht="19.5" customHeight="1">
      <c r="A38" s="3762"/>
      <c r="B38" s="3757"/>
      <c r="C38" s="510" t="s">
        <v>1934</v>
      </c>
      <c r="D38" s="511"/>
      <c r="E38" s="512">
        <v>0.6</v>
      </c>
      <c r="F38" s="509" t="s">
        <v>1935</v>
      </c>
      <c r="G38" s="509"/>
    </row>
    <row r="39" spans="1:7" ht="19.5" customHeight="1">
      <c r="A39" s="3763"/>
      <c r="B39" s="3765"/>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58" t="s">
        <v>408</v>
      </c>
      <c r="B41" s="3764" t="s">
        <v>1940</v>
      </c>
      <c r="C41" s="506" t="s">
        <v>1345</v>
      </c>
      <c r="D41" s="507"/>
      <c r="E41" s="508">
        <v>1</v>
      </c>
      <c r="F41" s="509" t="s">
        <v>1941</v>
      </c>
      <c r="G41" s="509"/>
    </row>
    <row r="42" spans="1:7" ht="19.5" customHeight="1">
      <c r="A42" s="3759"/>
      <c r="B42" s="3757"/>
      <c r="C42" s="510" t="s">
        <v>1942</v>
      </c>
      <c r="D42" s="511"/>
      <c r="E42" s="512">
        <v>1</v>
      </c>
      <c r="F42" s="509" t="s">
        <v>1943</v>
      </c>
      <c r="G42" s="509"/>
    </row>
    <row r="43" spans="1:7" ht="19.5" customHeight="1">
      <c r="A43" s="3759"/>
      <c r="B43" s="3756"/>
      <c r="C43" s="510" t="s">
        <v>1944</v>
      </c>
      <c r="D43" s="511"/>
      <c r="E43" s="512">
        <v>1.5</v>
      </c>
      <c r="F43" s="509" t="s">
        <v>1945</v>
      </c>
      <c r="G43" s="509"/>
    </row>
    <row r="44" spans="1:7" ht="19.5" customHeight="1">
      <c r="A44" s="3759"/>
      <c r="B44" s="522" t="s">
        <v>280</v>
      </c>
      <c r="C44" s="510" t="s">
        <v>1888</v>
      </c>
      <c r="D44" s="511"/>
      <c r="E44" s="512">
        <v>2</v>
      </c>
      <c r="F44" s="509" t="s">
        <v>1946</v>
      </c>
      <c r="G44" s="509"/>
    </row>
    <row r="45" spans="1:7" ht="19.5" customHeight="1">
      <c r="A45" s="3759"/>
      <c r="B45" s="3755" t="s">
        <v>1947</v>
      </c>
      <c r="C45" s="510" t="s">
        <v>1948</v>
      </c>
      <c r="D45" s="511"/>
      <c r="E45" s="512">
        <v>1</v>
      </c>
      <c r="F45" s="509" t="s">
        <v>1949</v>
      </c>
      <c r="G45" s="509"/>
    </row>
    <row r="46" spans="1:7" ht="19.5" customHeight="1">
      <c r="A46" s="3759"/>
      <c r="B46" s="3757"/>
      <c r="C46" s="510" t="s">
        <v>1950</v>
      </c>
      <c r="D46" s="511"/>
      <c r="E46" s="512">
        <v>1</v>
      </c>
      <c r="F46" s="509" t="s">
        <v>1951</v>
      </c>
      <c r="G46" s="509"/>
    </row>
    <row r="47" spans="1:7" ht="19.5" customHeight="1">
      <c r="A47" s="3759"/>
      <c r="B47" s="3757"/>
      <c r="C47" s="510" t="s">
        <v>1952</v>
      </c>
      <c r="D47" s="511"/>
      <c r="E47" s="512">
        <v>1</v>
      </c>
      <c r="F47" s="509" t="s">
        <v>1953</v>
      </c>
      <c r="G47" s="509"/>
    </row>
    <row r="48" spans="1:7" ht="19.5" customHeight="1">
      <c r="A48" s="3759"/>
      <c r="B48" s="3757"/>
      <c r="C48" s="510" t="s">
        <v>1954</v>
      </c>
      <c r="D48" s="511"/>
      <c r="E48" s="512">
        <v>1</v>
      </c>
      <c r="F48" s="509" t="s">
        <v>1955</v>
      </c>
      <c r="G48" s="509"/>
    </row>
    <row r="49" spans="1:7" ht="19.5" customHeight="1">
      <c r="A49" s="3759"/>
      <c r="B49" s="3757"/>
      <c r="C49" s="510" t="s">
        <v>1956</v>
      </c>
      <c r="D49" s="511"/>
      <c r="E49" s="512">
        <v>1</v>
      </c>
      <c r="F49" s="509" t="s">
        <v>1957</v>
      </c>
      <c r="G49" s="509"/>
    </row>
    <row r="50" spans="1:7" ht="19.5" customHeight="1">
      <c r="A50" s="3759"/>
      <c r="B50" s="3757"/>
      <c r="C50" s="510" t="s">
        <v>1958</v>
      </c>
      <c r="D50" s="511"/>
      <c r="E50" s="512">
        <v>1</v>
      </c>
      <c r="F50" s="509" t="s">
        <v>1959</v>
      </c>
      <c r="G50" s="509"/>
    </row>
    <row r="51" spans="1:7" ht="19.5" customHeight="1">
      <c r="A51" s="3760"/>
      <c r="B51" s="3765"/>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1765</v>
      </c>
      <c r="C55" s="500" t="s">
        <v>1765</v>
      </c>
      <c r="D55" s="500" t="s">
        <v>1765</v>
      </c>
      <c r="E55" s="498" t="s">
        <v>1887</v>
      </c>
      <c r="F55" s="498" t="s">
        <v>408</v>
      </c>
      <c r="G55" s="498" t="s">
        <v>1791</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1361</v>
      </c>
      <c r="D72" s="522"/>
      <c r="E72" s="522" t="s">
        <v>124</v>
      </c>
      <c r="F72" s="522" t="s">
        <v>124</v>
      </c>
    </row>
    <row r="73" spans="1:7" ht="13.5">
      <c r="A73" s="522">
        <v>1</v>
      </c>
      <c r="B73" s="3755" t="s">
        <v>1972</v>
      </c>
      <c r="C73" s="498" t="s">
        <v>1973</v>
      </c>
      <c r="D73" s="498" t="s">
        <v>1974</v>
      </c>
      <c r="E73" s="522">
        <v>0.2</v>
      </c>
      <c r="F73" s="522">
        <v>25</v>
      </c>
    </row>
    <row r="74" spans="1:7" ht="24">
      <c r="A74" s="522">
        <v>2</v>
      </c>
      <c r="B74" s="3757"/>
      <c r="C74" s="498" t="s">
        <v>1975</v>
      </c>
      <c r="D74" s="498" t="s">
        <v>1976</v>
      </c>
      <c r="E74" s="522">
        <v>0.2</v>
      </c>
      <c r="F74" s="522">
        <v>25</v>
      </c>
    </row>
    <row r="75" spans="1:7" ht="24">
      <c r="A75" s="522">
        <v>3</v>
      </c>
      <c r="B75" s="3757"/>
      <c r="C75" s="498" t="s">
        <v>1977</v>
      </c>
      <c r="D75" s="498" t="s">
        <v>1978</v>
      </c>
      <c r="E75" s="522">
        <v>0.2</v>
      </c>
      <c r="F75" s="522">
        <v>25</v>
      </c>
    </row>
    <row r="76" spans="1:7" ht="13.5">
      <c r="A76" s="522">
        <v>4</v>
      </c>
      <c r="B76" s="3757"/>
      <c r="C76" s="498" t="s">
        <v>1979</v>
      </c>
      <c r="D76" s="498" t="s">
        <v>1980</v>
      </c>
      <c r="E76" s="522">
        <v>0.15</v>
      </c>
      <c r="F76" s="522">
        <v>20</v>
      </c>
    </row>
    <row r="77" spans="1:7" ht="24">
      <c r="A77" s="522">
        <v>5</v>
      </c>
      <c r="B77" s="3757"/>
      <c r="C77" s="498" t="s">
        <v>1981</v>
      </c>
      <c r="D77" s="498" t="s">
        <v>1982</v>
      </c>
      <c r="E77" s="522">
        <v>0.15</v>
      </c>
      <c r="F77" s="522">
        <v>20</v>
      </c>
    </row>
    <row r="78" spans="1:7" ht="24">
      <c r="A78" s="522">
        <v>6</v>
      </c>
      <c r="B78" s="3757"/>
      <c r="C78" s="498" t="s">
        <v>1983</v>
      </c>
      <c r="D78" s="498" t="s">
        <v>1984</v>
      </c>
      <c r="E78" s="522">
        <v>0.15</v>
      </c>
      <c r="F78" s="522">
        <v>20</v>
      </c>
    </row>
    <row r="79" spans="1:7" ht="24">
      <c r="A79" s="522">
        <v>7</v>
      </c>
      <c r="B79" s="3757"/>
      <c r="C79" s="498" t="s">
        <v>1985</v>
      </c>
      <c r="D79" s="498" t="s">
        <v>1986</v>
      </c>
      <c r="E79" s="522">
        <v>0.15</v>
      </c>
      <c r="F79" s="522">
        <v>20</v>
      </c>
    </row>
    <row r="80" spans="1:7" ht="24">
      <c r="A80" s="522">
        <v>8</v>
      </c>
      <c r="B80" s="3757"/>
      <c r="C80" s="498" t="s">
        <v>1987</v>
      </c>
      <c r="D80" s="498" t="s">
        <v>1988</v>
      </c>
      <c r="E80" s="522">
        <v>0.1</v>
      </c>
      <c r="F80" s="522">
        <v>15</v>
      </c>
    </row>
    <row r="81" spans="1:6" ht="24">
      <c r="A81" s="522">
        <v>9</v>
      </c>
      <c r="B81" s="3757"/>
      <c r="C81" s="498" t="s">
        <v>1989</v>
      </c>
      <c r="D81" s="498" t="s">
        <v>1990</v>
      </c>
      <c r="E81" s="522">
        <v>0.1</v>
      </c>
      <c r="F81" s="522">
        <v>15</v>
      </c>
    </row>
    <row r="82" spans="1:6" ht="24">
      <c r="A82" s="522">
        <v>10</v>
      </c>
      <c r="B82" s="3757"/>
      <c r="C82" s="498" t="s">
        <v>1991</v>
      </c>
      <c r="D82" s="498" t="s">
        <v>1992</v>
      </c>
      <c r="E82" s="522">
        <v>0.1</v>
      </c>
      <c r="F82" s="522">
        <v>15</v>
      </c>
    </row>
    <row r="83" spans="1:6" ht="24">
      <c r="A83" s="522">
        <v>11</v>
      </c>
      <c r="B83" s="3757"/>
      <c r="C83" s="498" t="s">
        <v>1993</v>
      </c>
      <c r="D83" s="498" t="s">
        <v>1994</v>
      </c>
      <c r="E83" s="522">
        <v>0.1</v>
      </c>
      <c r="F83" s="522">
        <v>15</v>
      </c>
    </row>
    <row r="84" spans="1:6" ht="24">
      <c r="A84" s="522">
        <v>12</v>
      </c>
      <c r="B84" s="3757"/>
      <c r="C84" s="498" t="s">
        <v>1995</v>
      </c>
      <c r="D84" s="498" t="s">
        <v>1996</v>
      </c>
      <c r="E84" s="522">
        <v>0.1</v>
      </c>
      <c r="F84" s="522">
        <v>15</v>
      </c>
    </row>
    <row r="85" spans="1:6" ht="13.5">
      <c r="A85" s="522">
        <v>13</v>
      </c>
      <c r="B85" s="3757"/>
      <c r="C85" s="498" t="s">
        <v>1997</v>
      </c>
      <c r="D85" s="498" t="s">
        <v>1998</v>
      </c>
      <c r="E85" s="522">
        <v>0.1</v>
      </c>
      <c r="F85" s="522">
        <v>15</v>
      </c>
    </row>
    <row r="86" spans="1:6" ht="13.5">
      <c r="A86" s="522">
        <v>14</v>
      </c>
      <c r="B86" s="3757"/>
      <c r="C86" s="498" t="s">
        <v>1999</v>
      </c>
      <c r="D86" s="498" t="s">
        <v>2000</v>
      </c>
      <c r="E86" s="522">
        <v>0.1</v>
      </c>
      <c r="F86" s="522">
        <v>15</v>
      </c>
    </row>
    <row r="87" spans="1:6" ht="13.5">
      <c r="A87" s="522">
        <v>15</v>
      </c>
      <c r="B87" s="3757"/>
      <c r="C87" s="498" t="s">
        <v>2001</v>
      </c>
      <c r="D87" s="498" t="s">
        <v>2002</v>
      </c>
      <c r="E87" s="522">
        <v>0.1</v>
      </c>
      <c r="F87" s="522">
        <v>15</v>
      </c>
    </row>
    <row r="88" spans="1:6" ht="24">
      <c r="A88" s="522">
        <v>16</v>
      </c>
      <c r="B88" s="3757"/>
      <c r="C88" s="498" t="s">
        <v>2003</v>
      </c>
      <c r="D88" s="498" t="s">
        <v>2004</v>
      </c>
      <c r="E88" s="522">
        <v>0.1</v>
      </c>
      <c r="F88" s="522">
        <v>15</v>
      </c>
    </row>
    <row r="89" spans="1:6" ht="24">
      <c r="A89" s="522">
        <v>17</v>
      </c>
      <c r="B89" s="3756"/>
      <c r="C89" s="498" t="s">
        <v>2005</v>
      </c>
      <c r="D89" s="498" t="s">
        <v>2006</v>
      </c>
      <c r="E89" s="522">
        <v>0.1</v>
      </c>
      <c r="F89" s="522">
        <v>15</v>
      </c>
    </row>
    <row r="90" spans="1:6" ht="13.5">
      <c r="A90" s="522">
        <v>18</v>
      </c>
      <c r="B90" s="3755" t="s">
        <v>2007</v>
      </c>
      <c r="C90" s="498" t="s">
        <v>2008</v>
      </c>
      <c r="D90" s="498" t="s">
        <v>2009</v>
      </c>
      <c r="E90" s="522">
        <v>0.2</v>
      </c>
      <c r="F90" s="522">
        <v>25</v>
      </c>
    </row>
    <row r="91" spans="1:6" ht="24">
      <c r="A91" s="522">
        <v>19</v>
      </c>
      <c r="B91" s="3757"/>
      <c r="C91" s="498" t="s">
        <v>2010</v>
      </c>
      <c r="D91" s="498" t="s">
        <v>2011</v>
      </c>
      <c r="E91" s="522">
        <v>0.2</v>
      </c>
      <c r="F91" s="522">
        <v>25</v>
      </c>
    </row>
    <row r="92" spans="1:6" ht="13.5">
      <c r="A92" s="522">
        <v>20</v>
      </c>
      <c r="B92" s="3757"/>
      <c r="C92" s="498" t="s">
        <v>2012</v>
      </c>
      <c r="D92" s="498" t="s">
        <v>2013</v>
      </c>
      <c r="E92" s="522">
        <v>0.15</v>
      </c>
      <c r="F92" s="522">
        <v>20</v>
      </c>
    </row>
    <row r="93" spans="1:6" ht="13.5">
      <c r="A93" s="522">
        <v>21</v>
      </c>
      <c r="B93" s="3757"/>
      <c r="C93" s="498" t="s">
        <v>2014</v>
      </c>
      <c r="D93" s="498" t="s">
        <v>2015</v>
      </c>
      <c r="E93" s="522">
        <v>0.15</v>
      </c>
      <c r="F93" s="522">
        <v>20</v>
      </c>
    </row>
    <row r="94" spans="1:6" ht="13.5">
      <c r="A94" s="522">
        <v>22</v>
      </c>
      <c r="B94" s="3757"/>
      <c r="C94" s="498" t="s">
        <v>2016</v>
      </c>
      <c r="D94" s="498" t="s">
        <v>2017</v>
      </c>
      <c r="E94" s="522">
        <v>0.15</v>
      </c>
      <c r="F94" s="522">
        <v>20</v>
      </c>
    </row>
    <row r="95" spans="1:6" ht="36">
      <c r="A95" s="522">
        <v>23</v>
      </c>
      <c r="B95" s="3757"/>
      <c r="C95" s="498" t="s">
        <v>2018</v>
      </c>
      <c r="D95" s="498" t="s">
        <v>2019</v>
      </c>
      <c r="E95" s="522">
        <v>0.15</v>
      </c>
      <c r="F95" s="522">
        <v>20</v>
      </c>
    </row>
    <row r="96" spans="1:6" ht="13.5">
      <c r="A96" s="522">
        <v>24</v>
      </c>
      <c r="B96" s="3757"/>
      <c r="C96" s="498" t="s">
        <v>2020</v>
      </c>
      <c r="D96" s="498" t="s">
        <v>2021</v>
      </c>
      <c r="E96" s="522">
        <v>0.1</v>
      </c>
      <c r="F96" s="522">
        <v>15</v>
      </c>
    </row>
    <row r="97" spans="1:6" ht="13.5">
      <c r="A97" s="522">
        <v>25</v>
      </c>
      <c r="B97" s="3757"/>
      <c r="C97" s="498" t="s">
        <v>2022</v>
      </c>
      <c r="D97" s="498" t="s">
        <v>2023</v>
      </c>
      <c r="E97" s="522">
        <v>0.1</v>
      </c>
      <c r="F97" s="522">
        <v>15</v>
      </c>
    </row>
    <row r="98" spans="1:6" ht="24">
      <c r="A98" s="522">
        <v>26</v>
      </c>
      <c r="B98" s="3757"/>
      <c r="C98" s="498" t="s">
        <v>2024</v>
      </c>
      <c r="D98" s="498" t="s">
        <v>2025</v>
      </c>
      <c r="E98" s="522">
        <v>0.1</v>
      </c>
      <c r="F98" s="522">
        <v>15</v>
      </c>
    </row>
    <row r="99" spans="1:6" ht="24">
      <c r="A99" s="522">
        <v>27</v>
      </c>
      <c r="B99" s="3757"/>
      <c r="C99" s="498" t="s">
        <v>2026</v>
      </c>
      <c r="D99" s="498" t="s">
        <v>2027</v>
      </c>
      <c r="E99" s="522">
        <v>0.1</v>
      </c>
      <c r="F99" s="522">
        <v>15</v>
      </c>
    </row>
    <row r="100" spans="1:6" ht="13.5">
      <c r="A100" s="522">
        <v>28</v>
      </c>
      <c r="B100" s="3757"/>
      <c r="C100" s="498" t="s">
        <v>2028</v>
      </c>
      <c r="D100" s="498" t="s">
        <v>2029</v>
      </c>
      <c r="E100" s="522">
        <v>0.1</v>
      </c>
      <c r="F100" s="522">
        <v>15</v>
      </c>
    </row>
    <row r="101" spans="1:6" ht="13.5">
      <c r="A101" s="522">
        <v>29</v>
      </c>
      <c r="B101" s="3757"/>
      <c r="C101" s="498" t="s">
        <v>2030</v>
      </c>
      <c r="D101" s="498" t="s">
        <v>2031</v>
      </c>
      <c r="E101" s="522">
        <v>0.1</v>
      </c>
      <c r="F101" s="522">
        <v>15</v>
      </c>
    </row>
    <row r="102" spans="1:6" ht="13.5">
      <c r="A102" s="522">
        <v>30</v>
      </c>
      <c r="B102" s="3757"/>
      <c r="C102" s="498" t="s">
        <v>2032</v>
      </c>
      <c r="D102" s="498" t="s">
        <v>2033</v>
      </c>
      <c r="E102" s="522">
        <v>0.1</v>
      </c>
      <c r="F102" s="522">
        <v>15</v>
      </c>
    </row>
    <row r="103" spans="1:6" ht="24">
      <c r="A103" s="522">
        <v>31</v>
      </c>
      <c r="B103" s="3757"/>
      <c r="C103" s="498" t="s">
        <v>2034</v>
      </c>
      <c r="D103" s="498" t="s">
        <v>2035</v>
      </c>
      <c r="E103" s="522">
        <v>0.1</v>
      </c>
      <c r="F103" s="522">
        <v>15</v>
      </c>
    </row>
    <row r="104" spans="1:6" ht="24">
      <c r="A104" s="522">
        <v>32</v>
      </c>
      <c r="B104" s="3757"/>
      <c r="C104" s="498" t="s">
        <v>2036</v>
      </c>
      <c r="D104" s="498" t="s">
        <v>2037</v>
      </c>
      <c r="E104" s="522">
        <v>0.1</v>
      </c>
      <c r="F104" s="522">
        <v>15</v>
      </c>
    </row>
    <row r="105" spans="1:6" ht="24">
      <c r="A105" s="522">
        <v>33</v>
      </c>
      <c r="B105" s="3757"/>
      <c r="C105" s="498" t="s">
        <v>2038</v>
      </c>
      <c r="D105" s="498" t="s">
        <v>2039</v>
      </c>
      <c r="E105" s="522">
        <v>0.1</v>
      </c>
      <c r="F105" s="522">
        <v>15</v>
      </c>
    </row>
    <row r="106" spans="1:6" ht="24">
      <c r="A106" s="522">
        <v>34</v>
      </c>
      <c r="B106" s="3756"/>
      <c r="C106" s="498" t="s">
        <v>2040</v>
      </c>
      <c r="D106" s="498" t="s">
        <v>2041</v>
      </c>
      <c r="E106" s="522">
        <v>0.1</v>
      </c>
      <c r="F106" s="522">
        <v>15</v>
      </c>
    </row>
    <row r="107" spans="1:6" ht="24">
      <c r="A107" s="522">
        <v>35</v>
      </c>
      <c r="B107" s="3755" t="s">
        <v>2042</v>
      </c>
      <c r="C107" s="522" t="s">
        <v>2043</v>
      </c>
      <c r="D107" s="498" t="s">
        <v>2044</v>
      </c>
      <c r="E107" s="522">
        <v>0.15</v>
      </c>
      <c r="F107" s="522">
        <v>20</v>
      </c>
    </row>
    <row r="108" spans="1:6" ht="13.5">
      <c r="A108" s="522">
        <v>36</v>
      </c>
      <c r="B108" s="3757"/>
      <c r="C108" s="522" t="s">
        <v>2045</v>
      </c>
      <c r="D108" s="498" t="s">
        <v>2046</v>
      </c>
      <c r="E108" s="522">
        <v>0.15</v>
      </c>
      <c r="F108" s="522">
        <v>20</v>
      </c>
    </row>
    <row r="109" spans="1:6" ht="13.5">
      <c r="A109" s="522">
        <v>37</v>
      </c>
      <c r="B109" s="3757"/>
      <c r="C109" s="522" t="s">
        <v>2047</v>
      </c>
      <c r="D109" s="498" t="s">
        <v>2048</v>
      </c>
      <c r="E109" s="522">
        <v>0.15</v>
      </c>
      <c r="F109" s="522">
        <v>20</v>
      </c>
    </row>
    <row r="110" spans="1:6" ht="13.5">
      <c r="A110" s="522">
        <v>38</v>
      </c>
      <c r="B110" s="3757"/>
      <c r="C110" s="522" t="s">
        <v>2049</v>
      </c>
      <c r="D110" s="498" t="s">
        <v>2050</v>
      </c>
      <c r="E110" s="522">
        <v>0.1</v>
      </c>
      <c r="F110" s="522">
        <v>15</v>
      </c>
    </row>
    <row r="111" spans="1:6" ht="24">
      <c r="A111" s="522">
        <v>39</v>
      </c>
      <c r="B111" s="3757"/>
      <c r="C111" s="522" t="s">
        <v>2051</v>
      </c>
      <c r="D111" s="498" t="s">
        <v>2052</v>
      </c>
      <c r="E111" s="522">
        <v>0.1</v>
      </c>
      <c r="F111" s="522">
        <v>15</v>
      </c>
    </row>
    <row r="112" spans="1:6" ht="24">
      <c r="A112" s="522">
        <v>40</v>
      </c>
      <c r="B112" s="3756"/>
      <c r="C112" s="522" t="s">
        <v>2053</v>
      </c>
      <c r="D112" s="498" t="s">
        <v>2054</v>
      </c>
      <c r="E112" s="522">
        <v>0.1</v>
      </c>
      <c r="F112" s="522">
        <v>15</v>
      </c>
    </row>
    <row r="113" spans="1:6" ht="13.5">
      <c r="A113" s="522">
        <v>41</v>
      </c>
      <c r="B113" s="3754" t="s">
        <v>2055</v>
      </c>
      <c r="C113" s="522" t="s">
        <v>2056</v>
      </c>
      <c r="D113" s="498" t="s">
        <v>2057</v>
      </c>
      <c r="E113" s="522">
        <v>0.1</v>
      </c>
      <c r="F113" s="522">
        <v>15</v>
      </c>
    </row>
    <row r="114" spans="1:6" ht="13.5">
      <c r="A114" s="522">
        <v>42</v>
      </c>
      <c r="B114" s="3754"/>
      <c r="C114" s="522" t="s">
        <v>2058</v>
      </c>
      <c r="D114" s="498" t="s">
        <v>2059</v>
      </c>
      <c r="E114" s="522">
        <v>0.1</v>
      </c>
      <c r="F114" s="522">
        <v>15</v>
      </c>
    </row>
    <row r="115" spans="1:6" ht="24">
      <c r="A115" s="522">
        <v>43</v>
      </c>
      <c r="B115" s="3754"/>
      <c r="C115" s="522" t="s">
        <v>2060</v>
      </c>
      <c r="D115" s="498" t="s">
        <v>2061</v>
      </c>
      <c r="E115" s="522">
        <v>0.1</v>
      </c>
      <c r="F115" s="522">
        <v>15</v>
      </c>
    </row>
    <row r="116" spans="1:6" ht="13.5">
      <c r="A116" s="522">
        <v>44</v>
      </c>
      <c r="B116" s="3755" t="s">
        <v>2062</v>
      </c>
      <c r="C116" s="522" t="s">
        <v>2063</v>
      </c>
      <c r="D116" s="498" t="s">
        <v>2064</v>
      </c>
      <c r="E116" s="522">
        <v>0.1</v>
      </c>
      <c r="F116" s="522">
        <v>15</v>
      </c>
    </row>
    <row r="117" spans="1:6" ht="24">
      <c r="A117" s="522">
        <v>45</v>
      </c>
      <c r="B117" s="3756"/>
      <c r="C117" s="498" t="s">
        <v>2065</v>
      </c>
      <c r="D117" s="498" t="s">
        <v>2066</v>
      </c>
      <c r="E117" s="522">
        <v>0.1</v>
      </c>
      <c r="F117" s="522">
        <v>15</v>
      </c>
    </row>
    <row r="118" spans="1:6" ht="24">
      <c r="A118" s="522">
        <v>46</v>
      </c>
      <c r="B118" s="3755" t="s">
        <v>2067</v>
      </c>
      <c r="C118" s="522" t="s">
        <v>2068</v>
      </c>
      <c r="D118" s="498" t="s">
        <v>2069</v>
      </c>
      <c r="E118" s="522">
        <v>0.1</v>
      </c>
      <c r="F118" s="522">
        <v>15</v>
      </c>
    </row>
    <row r="119" spans="1:6" ht="24">
      <c r="A119" s="522">
        <v>47</v>
      </c>
      <c r="B119" s="3756"/>
      <c r="C119" s="522" t="s">
        <v>2070</v>
      </c>
      <c r="D119" s="498" t="s">
        <v>2071</v>
      </c>
      <c r="E119" s="522">
        <v>0.1</v>
      </c>
      <c r="F119" s="522">
        <v>15</v>
      </c>
    </row>
    <row r="120" spans="1:6" ht="13.5">
      <c r="A120" s="522">
        <v>48</v>
      </c>
      <c r="B120" s="3755" t="s">
        <v>2072</v>
      </c>
      <c r="C120" s="522" t="s">
        <v>2073</v>
      </c>
      <c r="D120" s="498" t="s">
        <v>2074</v>
      </c>
      <c r="E120" s="522">
        <v>0.1</v>
      </c>
      <c r="F120" s="522">
        <v>15</v>
      </c>
    </row>
    <row r="121" spans="1:6" ht="13.5">
      <c r="A121" s="522">
        <v>49</v>
      </c>
      <c r="B121" s="3756"/>
      <c r="C121" s="522" t="s">
        <v>2075</v>
      </c>
      <c r="D121" s="498" t="s">
        <v>2076</v>
      </c>
      <c r="E121" s="522">
        <v>0.1</v>
      </c>
      <c r="F121" s="522">
        <v>15</v>
      </c>
    </row>
    <row r="122" spans="1:6" ht="24">
      <c r="A122" s="522">
        <v>50</v>
      </c>
      <c r="B122" s="3754" t="s">
        <v>2077</v>
      </c>
      <c r="C122" s="522" t="s">
        <v>2078</v>
      </c>
      <c r="D122" s="498" t="s">
        <v>2079</v>
      </c>
      <c r="E122" s="522">
        <v>0.1</v>
      </c>
      <c r="F122" s="522">
        <v>15</v>
      </c>
    </row>
    <row r="123" spans="1:6" ht="24">
      <c r="A123" s="522">
        <v>51</v>
      </c>
      <c r="B123" s="3754"/>
      <c r="C123" s="522" t="s">
        <v>2080</v>
      </c>
      <c r="D123" s="498" t="s">
        <v>2081</v>
      </c>
      <c r="E123" s="522">
        <v>0.1</v>
      </c>
      <c r="F123" s="522">
        <v>15</v>
      </c>
    </row>
    <row r="124" spans="1:6" ht="24">
      <c r="A124" s="522">
        <v>52</v>
      </c>
      <c r="B124" s="3754" t="s">
        <v>2082</v>
      </c>
      <c r="C124" s="522" t="s">
        <v>2083</v>
      </c>
      <c r="D124" s="498" t="s">
        <v>2084</v>
      </c>
      <c r="E124" s="522">
        <v>0.1</v>
      </c>
      <c r="F124" s="522">
        <v>15</v>
      </c>
    </row>
    <row r="125" spans="1:6" ht="24">
      <c r="A125" s="522">
        <v>53</v>
      </c>
      <c r="B125" s="3754"/>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54" t="s">
        <v>2090</v>
      </c>
      <c r="C127" s="522" t="s">
        <v>2091</v>
      </c>
      <c r="D127" s="498" t="s">
        <v>2092</v>
      </c>
      <c r="E127" s="522">
        <v>0.1</v>
      </c>
      <c r="F127" s="522">
        <v>15</v>
      </c>
    </row>
    <row r="128" spans="1:6" ht="13.5">
      <c r="A128" s="522">
        <v>56</v>
      </c>
      <c r="B128" s="3754"/>
      <c r="C128" s="522" t="s">
        <v>2093</v>
      </c>
      <c r="D128" s="498" t="s">
        <v>2094</v>
      </c>
      <c r="E128" s="522">
        <v>0.1</v>
      </c>
      <c r="F128" s="522">
        <v>15</v>
      </c>
    </row>
    <row r="129" spans="1:6" ht="24">
      <c r="A129" s="522">
        <v>57</v>
      </c>
      <c r="B129" s="3754"/>
      <c r="C129" s="522" t="s">
        <v>2095</v>
      </c>
      <c r="D129" s="498" t="s">
        <v>2096</v>
      </c>
      <c r="E129" s="522">
        <v>0.1</v>
      </c>
      <c r="F129" s="522">
        <v>15</v>
      </c>
    </row>
    <row r="130" spans="1:6" ht="24">
      <c r="A130" s="522">
        <v>58</v>
      </c>
      <c r="B130" s="3754" t="s">
        <v>2097</v>
      </c>
      <c r="C130" s="522" t="s">
        <v>2098</v>
      </c>
      <c r="D130" s="498" t="s">
        <v>2099</v>
      </c>
      <c r="E130" s="522">
        <v>0.1</v>
      </c>
      <c r="F130" s="522">
        <v>15</v>
      </c>
    </row>
    <row r="131" spans="1:6" ht="13.5">
      <c r="A131" s="522">
        <v>59</v>
      </c>
      <c r="B131" s="3754"/>
      <c r="C131" s="522" t="s">
        <v>2100</v>
      </c>
      <c r="D131" s="498" t="s">
        <v>2101</v>
      </c>
      <c r="E131" s="522">
        <v>0.1</v>
      </c>
      <c r="F131" s="522">
        <v>15</v>
      </c>
    </row>
    <row r="132" spans="1:6" ht="13.5">
      <c r="A132" s="522">
        <v>60</v>
      </c>
      <c r="B132" s="3755" t="s">
        <v>2102</v>
      </c>
      <c r="C132" s="522" t="s">
        <v>2103</v>
      </c>
      <c r="D132" s="498" t="s">
        <v>2104</v>
      </c>
      <c r="E132" s="522">
        <v>0.1</v>
      </c>
      <c r="F132" s="522">
        <v>15</v>
      </c>
    </row>
    <row r="133" spans="1:6" ht="13.5">
      <c r="A133" s="522">
        <v>61</v>
      </c>
      <c r="B133" s="3756"/>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54" t="s">
        <v>2110</v>
      </c>
      <c r="C135" s="522" t="s">
        <v>2111</v>
      </c>
      <c r="D135" s="498" t="s">
        <v>2112</v>
      </c>
      <c r="E135" s="522">
        <v>0.1</v>
      </c>
      <c r="F135" s="522">
        <v>15</v>
      </c>
    </row>
    <row r="136" spans="1:6" ht="13.5">
      <c r="A136" s="522">
        <v>64</v>
      </c>
      <c r="B136" s="3754"/>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t="e">
        <f>SUMPRODUCT((A95:A184=ROUNDDOWN(基准地价修正!G3,1))*(B94:M94=基准地价修正!G2)*(B95:M184))</f>
        <v>#DIV/0!</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t="e">
        <f>SUMPRODUCT((A371:A460=ROUNDDOWN(基准地价修正!G3,1))*(B370:M370=基准地价修正!G2)*(B371:M460))</f>
        <v>#DIV/0!</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28946</v>
      </c>
      <c r="C2" s="382" t="s">
        <v>1549</v>
      </c>
      <c r="D2" s="379"/>
      <c r="E2" s="379"/>
      <c r="F2" s="379"/>
      <c r="G2" s="379"/>
    </row>
    <row r="3" spans="1:7" s="368" customFormat="1" ht="18" customHeight="1">
      <c r="A3" s="383" t="s">
        <v>2132</v>
      </c>
      <c r="B3" s="384">
        <f ca="1">ROUND(B2*10000/'数据-汇总表'!E3,0)</f>
        <v>156369</v>
      </c>
      <c r="C3" s="382" t="s">
        <v>1801</v>
      </c>
      <c r="D3" s="379"/>
      <c r="E3" s="379"/>
      <c r="F3" s="379"/>
      <c r="G3" s="379"/>
    </row>
    <row r="4" spans="1:7" s="369" customFormat="1" ht="15.75">
      <c r="A4" s="385" t="s">
        <v>2133</v>
      </c>
      <c r="B4" s="386"/>
      <c r="C4" s="386"/>
      <c r="D4" s="386"/>
      <c r="E4" s="386"/>
      <c r="F4" s="386"/>
      <c r="G4" s="387"/>
    </row>
    <row r="5" spans="1:7" s="370" customFormat="1" ht="13.5" customHeight="1">
      <c r="A5" s="388" t="s">
        <v>991</v>
      </c>
      <c r="B5" s="389" t="s">
        <v>2134</v>
      </c>
      <c r="C5" s="390">
        <f>C6+C7+C8</f>
        <v>20610</v>
      </c>
      <c r="D5" s="390" t="s">
        <v>2135</v>
      </c>
      <c r="E5" s="391" t="s">
        <v>2136</v>
      </c>
      <c r="F5" s="391" t="s">
        <v>2137</v>
      </c>
      <c r="G5" s="392"/>
    </row>
    <row r="6" spans="1:7" s="370" customFormat="1" ht="13.5" customHeight="1">
      <c r="A6" s="393" t="s">
        <v>995</v>
      </c>
      <c r="B6" s="394" t="s">
        <v>2138</v>
      </c>
      <c r="C6" s="395">
        <v>20000</v>
      </c>
      <c r="D6" s="396"/>
      <c r="E6" s="397"/>
      <c r="F6" s="397"/>
      <c r="G6" s="398"/>
    </row>
    <row r="7" spans="1:7" s="370" customFormat="1" ht="13.5" customHeight="1">
      <c r="A7" s="393" t="s">
        <v>997</v>
      </c>
      <c r="B7" s="394" t="s">
        <v>2139</v>
      </c>
      <c r="C7" s="399">
        <f>ROUND(C6*F7,0)</f>
        <v>610</v>
      </c>
      <c r="D7" s="399"/>
      <c r="E7" s="397"/>
      <c r="F7" s="400">
        <f>'数据-取费表'!B48+'数据-取费表'!B49</f>
        <v>3.0499999999999999E-2</v>
      </c>
      <c r="G7" s="398"/>
    </row>
    <row r="8" spans="1:7" s="371" customFormat="1">
      <c r="A8" s="393" t="s">
        <v>999</v>
      </c>
      <c r="B8" s="394" t="s">
        <v>2140</v>
      </c>
      <c r="C8" s="399" t="str">
        <f>IF(G8="已包含在土地购买价格中","0",'数据-取费表'!B29)</f>
        <v>0</v>
      </c>
      <c r="D8" s="401"/>
      <c r="E8" s="399"/>
      <c r="F8" s="400"/>
      <c r="G8" s="402" t="s">
        <v>2141</v>
      </c>
    </row>
    <row r="9" spans="1:7" s="370" customFormat="1" ht="13.5" customHeight="1">
      <c r="A9" s="403" t="s">
        <v>1002</v>
      </c>
      <c r="B9" s="404" t="s">
        <v>2142</v>
      </c>
      <c r="C9" s="405">
        <f>ROUND(D9*E9/10000,0)</f>
        <v>0</v>
      </c>
      <c r="D9" s="406">
        <f>'数据-汇总表'!E5</f>
        <v>0</v>
      </c>
      <c r="E9" s="405">
        <f>'数据-取费表'!B27</f>
        <v>0</v>
      </c>
      <c r="F9" s="400"/>
      <c r="G9" s="407"/>
    </row>
    <row r="10" spans="1:7" s="370" customFormat="1" ht="13.5" customHeight="1">
      <c r="A10" s="403" t="s">
        <v>1006</v>
      </c>
      <c r="B10" s="404" t="s">
        <v>2143</v>
      </c>
      <c r="C10" s="405">
        <f>ROUND(D10*E10/10000,0)</f>
        <v>37</v>
      </c>
      <c r="D10" s="406">
        <f>'数据-汇总表'!E6</f>
        <v>1851.14</v>
      </c>
      <c r="E10" s="405">
        <f>'数据-取费表'!B28</f>
        <v>200</v>
      </c>
      <c r="F10" s="400"/>
      <c r="G10" s="407"/>
    </row>
    <row r="11" spans="1:7" s="370" customFormat="1" ht="13.5" hidden="1" customHeight="1">
      <c r="A11" s="408" t="s">
        <v>1008</v>
      </c>
      <c r="B11" s="394" t="s">
        <v>2144</v>
      </c>
      <c r="C11" s="390"/>
      <c r="D11" s="409"/>
      <c r="E11" s="397"/>
      <c r="F11" s="397"/>
      <c r="G11" s="398"/>
    </row>
    <row r="12" spans="1:7" s="370" customFormat="1" ht="13.5" hidden="1" customHeight="1">
      <c r="A12" s="408" t="s">
        <v>1010</v>
      </c>
      <c r="B12" s="394" t="s">
        <v>2145</v>
      </c>
      <c r="C12" s="390">
        <v>0</v>
      </c>
      <c r="D12" s="409"/>
      <c r="E12" s="410"/>
      <c r="F12" s="400">
        <v>3.0499999999999999E-2</v>
      </c>
      <c r="G12" s="398"/>
    </row>
    <row r="13" spans="1:7" s="370" customFormat="1" ht="13.5" hidden="1" customHeight="1">
      <c r="A13" s="408" t="s">
        <v>1011</v>
      </c>
      <c r="B13" s="394" t="s">
        <v>2146</v>
      </c>
      <c r="C13" s="390"/>
      <c r="D13" s="409"/>
      <c r="E13" s="397"/>
      <c r="F13" s="397"/>
      <c r="G13" s="398"/>
    </row>
    <row r="14" spans="1:7" s="370" customFormat="1" ht="13.5" hidden="1" customHeight="1">
      <c r="A14" s="408" t="s">
        <v>1013</v>
      </c>
      <c r="B14" s="394" t="s">
        <v>2140</v>
      </c>
      <c r="C14" s="390"/>
      <c r="D14" s="409"/>
      <c r="E14" s="397"/>
      <c r="F14" s="397"/>
      <c r="G14" s="398" t="s">
        <v>2147</v>
      </c>
    </row>
    <row r="15" spans="1:7" s="370" customFormat="1" ht="13.5" hidden="1" customHeight="1">
      <c r="A15" s="408" t="s">
        <v>1015</v>
      </c>
      <c r="B15" s="394" t="s">
        <v>2148</v>
      </c>
      <c r="C15" s="399"/>
      <c r="D15" s="409"/>
      <c r="E15" s="397"/>
      <c r="F15" s="397"/>
      <c r="G15" s="398" t="s">
        <v>2149</v>
      </c>
    </row>
    <row r="16" spans="1:7" s="370" customFormat="1" ht="13.5" hidden="1" customHeight="1">
      <c r="A16" s="408" t="s">
        <v>1018</v>
      </c>
      <c r="B16" s="394" t="s">
        <v>2140</v>
      </c>
      <c r="C16" s="399"/>
      <c r="D16" s="409"/>
      <c r="E16" s="397"/>
      <c r="F16" s="397"/>
      <c r="G16" s="398"/>
    </row>
    <row r="17" spans="1:7" s="370" customFormat="1" ht="13.5" hidden="1" customHeight="1">
      <c r="A17" s="408" t="s">
        <v>1019</v>
      </c>
      <c r="B17" s="394" t="s">
        <v>2150</v>
      </c>
      <c r="C17" s="411"/>
      <c r="D17" s="412"/>
      <c r="E17" s="411"/>
      <c r="F17" s="411"/>
      <c r="G17" s="398" t="s">
        <v>2149</v>
      </c>
    </row>
    <row r="18" spans="1:7" s="370" customFormat="1" ht="13.5" hidden="1" customHeight="1">
      <c r="A18" s="408" t="s">
        <v>1021</v>
      </c>
      <c r="B18" s="394" t="s">
        <v>2151</v>
      </c>
      <c r="C18" s="399">
        <v>0</v>
      </c>
      <c r="D18" s="409"/>
      <c r="E18" s="397"/>
      <c r="F18" s="400">
        <v>3.0499999999999999E-2</v>
      </c>
      <c r="G18" s="398" t="s">
        <v>2152</v>
      </c>
    </row>
    <row r="19" spans="1:7" s="371" customFormat="1" ht="13.5" customHeight="1">
      <c r="A19" s="413" t="s">
        <v>1354</v>
      </c>
      <c r="B19" s="389" t="s">
        <v>2153</v>
      </c>
      <c r="C19" s="390">
        <f>IF(G19="已包含在土地取得成本中","0",ROUND(D19*E19/10000,0))</f>
        <v>37</v>
      </c>
      <c r="D19" s="414">
        <f>'数据-汇总表'!E3</f>
        <v>1851.14</v>
      </c>
      <c r="E19" s="390">
        <f>'数据-取费表'!B31</f>
        <v>200</v>
      </c>
      <c r="F19" s="415"/>
      <c r="G19" s="402" t="s">
        <v>2154</v>
      </c>
    </row>
    <row r="20" spans="1:7" s="370" customFormat="1" ht="13.5" customHeight="1">
      <c r="A20" s="413" t="s">
        <v>1391</v>
      </c>
      <c r="B20" s="389" t="s">
        <v>2155</v>
      </c>
      <c r="C20" s="416">
        <f>ROUND((C5+C19)*F20,0)</f>
        <v>413</v>
      </c>
      <c r="D20" s="416"/>
      <c r="E20" s="416"/>
      <c r="F20" s="417">
        <f>'数据-取费表'!B37</f>
        <v>0.02</v>
      </c>
      <c r="G20" s="418" t="s">
        <v>2156</v>
      </c>
    </row>
    <row r="21" spans="1:7" s="370" customFormat="1" ht="13.5" customHeight="1">
      <c r="A21" s="413" t="s">
        <v>1396</v>
      </c>
      <c r="B21" s="389" t="s">
        <v>2157</v>
      </c>
      <c r="C21" s="419">
        <f>F21</f>
        <v>0.02</v>
      </c>
      <c r="D21" s="420" t="s">
        <v>2158</v>
      </c>
      <c r="E21" s="416"/>
      <c r="F21" s="417">
        <f>'数据-取费表'!B38</f>
        <v>0.02</v>
      </c>
      <c r="G21" s="421" t="s">
        <v>2159</v>
      </c>
    </row>
    <row r="22" spans="1:7" s="370" customFormat="1" ht="13.5" customHeight="1">
      <c r="A22" s="413" t="s">
        <v>1406</v>
      </c>
      <c r="B22" s="389" t="s">
        <v>2160</v>
      </c>
      <c r="C22" s="422">
        <f ca="1">ROUND(SUM(C23:C25),0)</f>
        <v>698</v>
      </c>
      <c r="D22" s="419">
        <f ca="1">C26</f>
        <v>2.9999999999999997E-4</v>
      </c>
      <c r="E22" s="420" t="s">
        <v>2158</v>
      </c>
      <c r="F22" s="423">
        <f ca="1">'数据-取费表'!B40</f>
        <v>3.3500000000000002E-2</v>
      </c>
      <c r="G22" s="418" t="str">
        <f>IF('数据-取费表'!B22&lt;=1,"单利计息","复利计息")</f>
        <v>单利计息</v>
      </c>
    </row>
    <row r="23" spans="1:7" s="370" customFormat="1" ht="13.5" customHeight="1">
      <c r="A23" s="424" t="s">
        <v>995</v>
      </c>
      <c r="B23" s="394" t="s">
        <v>2161</v>
      </c>
      <c r="C23" s="425">
        <f ca="1">ROUND(IF('数据-取费表'!B22&lt;=1,C5*F22*'数据-取费表'!B23,C5*(POWER((1+F22),'数据-取费表'!B23)-1)),0)</f>
        <v>690</v>
      </c>
      <c r="D23" s="426"/>
      <c r="E23" s="426"/>
      <c r="F23" s="427"/>
      <c r="G23" s="428" t="s">
        <v>2162</v>
      </c>
    </row>
    <row r="24" spans="1:7" s="370" customFormat="1" ht="13.5" customHeight="1">
      <c r="A24" s="424" t="s">
        <v>997</v>
      </c>
      <c r="B24" s="394" t="s">
        <v>2163</v>
      </c>
      <c r="C24" s="425">
        <f ca="1">ROUND(IF('数据-取费表'!B22&lt;=1,C19*F22*('数据-取费表'!B19/2+'数据-取费表'!B21),C19*(POWER((1+F22),('数据-取费表'!B19/2+'数据-取费表'!B21))-1)),0)</f>
        <v>1</v>
      </c>
      <c r="D24" s="426"/>
      <c r="E24" s="426"/>
      <c r="F24" s="427"/>
      <c r="G24" s="428" t="s">
        <v>2164</v>
      </c>
    </row>
    <row r="25" spans="1:7" s="370" customFormat="1" ht="24">
      <c r="A25" s="424" t="s">
        <v>999</v>
      </c>
      <c r="B25" s="394" t="s">
        <v>2165</v>
      </c>
      <c r="C25" s="425">
        <f ca="1">ROUND(IF('数据-取费表'!B22&lt;=1,C20*F22*'数据-取费表'!B23/2,C20*(POWER((1+F22),'数据-取费表'!B23/2)-1)),0)</f>
        <v>7</v>
      </c>
      <c r="D25" s="426"/>
      <c r="E25" s="429"/>
      <c r="F25" s="427"/>
      <c r="G25" s="430" t="s">
        <v>2166</v>
      </c>
    </row>
    <row r="26" spans="1:7" s="370" customFormat="1">
      <c r="A26" s="424" t="s">
        <v>1042</v>
      </c>
      <c r="B26" s="394" t="s">
        <v>2167</v>
      </c>
      <c r="C26" s="426">
        <f ca="1">ROUND(IF('数据-取费表'!B22&lt;=1,F21*F22*'数据-取费表'!B23/2,F21*(POWER((1+F22),'数据-取费表'!B23/2)-1)),4)</f>
        <v>2.9999999999999997E-4</v>
      </c>
      <c r="D26" s="426"/>
      <c r="E26" s="429"/>
      <c r="F26" s="427"/>
      <c r="G26" s="431"/>
    </row>
    <row r="27" spans="1:7" s="370" customFormat="1" ht="24.75">
      <c r="A27" s="413" t="s">
        <v>1415</v>
      </c>
      <c r="B27" s="432" t="s">
        <v>2168</v>
      </c>
      <c r="C27" s="433">
        <f>C28</f>
        <v>4212</v>
      </c>
      <c r="D27" s="419">
        <f>C29</f>
        <v>4.0000000000000001E-3</v>
      </c>
      <c r="E27" s="420" t="s">
        <v>2158</v>
      </c>
      <c r="F27" s="434">
        <f>'数据-取费表'!Q16</f>
        <v>0.2</v>
      </c>
      <c r="G27" s="435" t="s">
        <v>2169</v>
      </c>
    </row>
    <row r="28" spans="1:7" s="370" customFormat="1" ht="13.5" customHeight="1">
      <c r="A28" s="424" t="s">
        <v>995</v>
      </c>
      <c r="B28" s="436" t="s">
        <v>2170</v>
      </c>
      <c r="C28" s="437">
        <f>ROUND((C5+C19+C20)*F27*'数据-取费表'!B21/'数据-取费表'!B20,0)</f>
        <v>4212</v>
      </c>
      <c r="D28" s="419"/>
      <c r="E28" s="420"/>
      <c r="F28" s="434"/>
      <c r="G28" s="435"/>
    </row>
    <row r="29" spans="1:7" s="370" customFormat="1" ht="13.5" customHeight="1">
      <c r="A29" s="424" t="s">
        <v>997</v>
      </c>
      <c r="B29" s="436" t="s">
        <v>2171</v>
      </c>
      <c r="C29" s="426">
        <f>ROUND(C21*F27*'数据-取费表'!B21/'数据-取费表'!B20,4)</f>
        <v>4.0000000000000001E-3</v>
      </c>
      <c r="D29" s="419"/>
      <c r="E29" s="420"/>
      <c r="F29" s="434"/>
      <c r="G29" s="435"/>
    </row>
    <row r="30" spans="1:7" s="370" customFormat="1" ht="13.5" customHeight="1">
      <c r="A30" s="413" t="s">
        <v>2172</v>
      </c>
      <c r="B30" s="389" t="s">
        <v>2173</v>
      </c>
      <c r="C30" s="419">
        <f>F30</f>
        <v>5.6000000000000001E-2</v>
      </c>
      <c r="D30" s="420" t="s">
        <v>2174</v>
      </c>
      <c r="E30" s="429"/>
      <c r="F30" s="423">
        <f>'数据-取费表'!B41</f>
        <v>5.6000000000000001E-2</v>
      </c>
      <c r="G30" s="421" t="s">
        <v>2175</v>
      </c>
    </row>
    <row r="31" spans="1:7" ht="16.5" customHeight="1">
      <c r="A31" s="438">
        <v>1</v>
      </c>
      <c r="B31" s="389" t="s">
        <v>2176</v>
      </c>
      <c r="C31" s="390">
        <f ca="1">ROUND((C5+C19+C20+C22+C27)/(1-C21-D22-D27-C30/(1+'数据-取费表'!B42)),0)</f>
        <v>28156</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991</v>
      </c>
      <c r="B33" s="389" t="s">
        <v>2179</v>
      </c>
      <c r="C33" s="444">
        <f>SUM(C34:C38)</f>
        <v>717</v>
      </c>
      <c r="D33" s="416"/>
      <c r="E33" s="391"/>
      <c r="F33" s="429"/>
      <c r="G33" s="421"/>
    </row>
    <row r="34" spans="1:7" s="372" customFormat="1" ht="13.5" customHeight="1">
      <c r="A34" s="424" t="s">
        <v>995</v>
      </c>
      <c r="B34" s="394" t="s">
        <v>2180</v>
      </c>
      <c r="C34" s="399">
        <f>IF(F34=100%,'数据-取费表'!M16-SUMIF('数据-取费表'!C:C,"公共配套",'数据-取费表'!M:M),'数据-取费表'!O16-SUMIF('数据-取费表'!C:C,"公共配套",'数据-取费表'!O:O))</f>
        <v>648</v>
      </c>
      <c r="D34" s="396"/>
      <c r="E34" s="399"/>
      <c r="F34" s="445">
        <f>IF('数据-取费表'!B24=0,1,'数据-取费表'!N16)</f>
        <v>1</v>
      </c>
      <c r="G34" s="398" t="s">
        <v>2181</v>
      </c>
    </row>
    <row r="35" spans="1:7" ht="13.5" customHeight="1">
      <c r="A35" s="424" t="s">
        <v>997</v>
      </c>
      <c r="B35" s="394" t="s">
        <v>2182</v>
      </c>
      <c r="C35" s="399">
        <f>ROUND(C34*F35,0)</f>
        <v>19</v>
      </c>
      <c r="D35" s="399"/>
      <c r="E35" s="399"/>
      <c r="F35" s="446">
        <f>'数据-取费表'!B33</f>
        <v>0.03</v>
      </c>
      <c r="G35" s="398" t="s">
        <v>2183</v>
      </c>
    </row>
    <row r="36" spans="1:7" ht="24">
      <c r="A36" s="424" t="s">
        <v>999</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1042</v>
      </c>
      <c r="B37" s="394" t="s">
        <v>2186</v>
      </c>
      <c r="C37" s="437">
        <f>ROUND(E37*D37*F34/10000,0)</f>
        <v>37</v>
      </c>
      <c r="D37" s="396">
        <f>'数据-汇总表'!E3</f>
        <v>1851.14</v>
      </c>
      <c r="E37" s="437">
        <f>'数据-取费表'!B35</f>
        <v>200</v>
      </c>
      <c r="F37" s="446"/>
      <c r="G37" s="448" t="s">
        <v>2187</v>
      </c>
    </row>
    <row r="38" spans="1:7" ht="13.5" customHeight="1">
      <c r="A38" s="424" t="s">
        <v>1064</v>
      </c>
      <c r="B38" s="394" t="s">
        <v>2145</v>
      </c>
      <c r="C38" s="399">
        <f>ROUND(C34*F38,0)</f>
        <v>13</v>
      </c>
      <c r="D38" s="399"/>
      <c r="E38" s="399"/>
      <c r="F38" s="446">
        <f>'数据-取费表'!B36</f>
        <v>0.02</v>
      </c>
      <c r="G38" s="398" t="s">
        <v>2183</v>
      </c>
    </row>
    <row r="39" spans="1:7" s="370" customFormat="1" ht="13.5" customHeight="1">
      <c r="A39" s="413" t="s">
        <v>1354</v>
      </c>
      <c r="B39" s="389" t="s">
        <v>2155</v>
      </c>
      <c r="C39" s="416">
        <f>ROUND(C33*F20,0)</f>
        <v>14</v>
      </c>
      <c r="D39" s="416"/>
      <c r="E39" s="416"/>
      <c r="F39" s="417"/>
      <c r="G39" s="418" t="s">
        <v>2188</v>
      </c>
    </row>
    <row r="40" spans="1:7" s="370" customFormat="1" ht="13.5" customHeight="1">
      <c r="A40" s="413" t="s">
        <v>1391</v>
      </c>
      <c r="B40" s="389" t="s">
        <v>2157</v>
      </c>
      <c r="C40" s="449">
        <f>F21</f>
        <v>0.02</v>
      </c>
      <c r="D40" s="420" t="s">
        <v>2189</v>
      </c>
      <c r="E40" s="416"/>
      <c r="F40" s="417"/>
      <c r="G40" s="421" t="s">
        <v>2190</v>
      </c>
    </row>
    <row r="41" spans="1:7" s="370" customFormat="1" ht="13.5" customHeight="1">
      <c r="A41" s="413" t="s">
        <v>1396</v>
      </c>
      <c r="B41" s="389" t="s">
        <v>2160</v>
      </c>
      <c r="C41" s="416">
        <f ca="1">ROUND(SUM(C42:C43),0)</f>
        <v>12</v>
      </c>
      <c r="D41" s="419">
        <f ca="1">C44</f>
        <v>2.9999999999999997E-4</v>
      </c>
      <c r="E41" s="420" t="s">
        <v>2189</v>
      </c>
      <c r="F41" s="423"/>
      <c r="G41" s="418" t="str">
        <f>IF('数据-取费表'!B22&lt;=1,"单利计息","复利计息")</f>
        <v>单利计息</v>
      </c>
    </row>
    <row r="42" spans="1:7" ht="13.5" customHeight="1">
      <c r="A42" s="424" t="s">
        <v>995</v>
      </c>
      <c r="B42" s="394" t="s">
        <v>2161</v>
      </c>
      <c r="C42" s="426">
        <f ca="1">ROUND(IF('数据-取费表'!B22&lt;=1,C33*F22*'数据-取费表'!B21/2,C33*(POWER((1+F22),'数据-取费表'!B21/2)-1)),0)</f>
        <v>12</v>
      </c>
      <c r="D42" s="426"/>
      <c r="E42" s="426"/>
      <c r="F42" s="427"/>
      <c r="G42" s="3630" t="s">
        <v>2191</v>
      </c>
    </row>
    <row r="43" spans="1:7" ht="13.5" customHeight="1">
      <c r="A43" s="424" t="s">
        <v>997</v>
      </c>
      <c r="B43" s="394" t="s">
        <v>2163</v>
      </c>
      <c r="C43" s="426">
        <f ca="1">ROUND(IF('数据-取费表'!B22&lt;=1,C39*F22*'数据-取费表'!B21/2,C39*(POWER((1+F22),'数据-取费表'!B21/2)-1)),0)</f>
        <v>0</v>
      </c>
      <c r="D43" s="426"/>
      <c r="E43" s="426"/>
      <c r="F43" s="427"/>
      <c r="G43" s="3631"/>
    </row>
    <row r="44" spans="1:7" ht="13.5" customHeight="1">
      <c r="A44" s="424" t="s">
        <v>999</v>
      </c>
      <c r="B44" s="394" t="s">
        <v>2165</v>
      </c>
      <c r="C44" s="426">
        <f ca="1">ROUND(IF('数据-取费表'!B22&lt;=1,C40*F22*'数据-取费表'!B21/2,C40*(POWER((1+F22),'数据-取费表'!B21/2)-1)),4)</f>
        <v>2.9999999999999997E-4</v>
      </c>
      <c r="D44" s="426"/>
      <c r="E44" s="426"/>
      <c r="F44" s="427"/>
      <c r="G44" s="3632"/>
    </row>
    <row r="45" spans="1:7" s="370" customFormat="1" ht="13.5" customHeight="1">
      <c r="A45" s="413" t="s">
        <v>1406</v>
      </c>
      <c r="B45" s="432" t="s">
        <v>2168</v>
      </c>
      <c r="C45" s="433">
        <f>C46</f>
        <v>146</v>
      </c>
      <c r="D45" s="419">
        <f>C47</f>
        <v>4.0000000000000001E-3</v>
      </c>
      <c r="E45" s="420" t="s">
        <v>2189</v>
      </c>
      <c r="F45" s="434"/>
      <c r="G45" s="435" t="s">
        <v>2192</v>
      </c>
    </row>
    <row r="46" spans="1:7" s="370" customFormat="1" ht="13.5" customHeight="1">
      <c r="A46" s="424" t="s">
        <v>995</v>
      </c>
      <c r="B46" s="436" t="s">
        <v>2193</v>
      </c>
      <c r="C46" s="437">
        <f>ROUND((C33+C39)*F27,0)</f>
        <v>146</v>
      </c>
      <c r="D46" s="450"/>
      <c r="E46" s="420"/>
      <c r="F46" s="434"/>
      <c r="G46" s="435"/>
    </row>
    <row r="47" spans="1:7" s="370" customFormat="1" ht="13.5" customHeight="1">
      <c r="A47" s="424" t="s">
        <v>997</v>
      </c>
      <c r="B47" s="436" t="s">
        <v>2194</v>
      </c>
      <c r="C47" s="426">
        <f>ROUND(C40*F27,4)</f>
        <v>4.0000000000000001E-3</v>
      </c>
      <c r="D47" s="450"/>
      <c r="E47" s="420"/>
      <c r="F47" s="434"/>
      <c r="G47" s="435"/>
    </row>
    <row r="48" spans="1:7" s="370" customFormat="1" ht="13.5" customHeight="1">
      <c r="A48" s="413" t="s">
        <v>1415</v>
      </c>
      <c r="B48" s="389" t="s">
        <v>2173</v>
      </c>
      <c r="C48" s="449">
        <f>F30</f>
        <v>5.6000000000000001E-2</v>
      </c>
      <c r="D48" s="420" t="s">
        <v>2195</v>
      </c>
      <c r="E48" s="416"/>
      <c r="F48" s="423"/>
      <c r="G48" s="421" t="s">
        <v>2196</v>
      </c>
    </row>
    <row r="49" spans="1:7" ht="16.5" customHeight="1">
      <c r="A49" s="413" t="s">
        <v>2172</v>
      </c>
      <c r="B49" s="389" t="s">
        <v>2197</v>
      </c>
      <c r="C49" s="416">
        <f ca="1">ROUND((C33+C39+C41+C45)/(1-C40-D41-D45-C48/(1+'数据-取费表'!B42)),0)</f>
        <v>964</v>
      </c>
      <c r="D49" s="416"/>
      <c r="E49" s="416"/>
      <c r="F49" s="451"/>
      <c r="G49" s="421" t="s">
        <v>2198</v>
      </c>
    </row>
    <row r="50" spans="1:7" s="372" customFormat="1" ht="24">
      <c r="A50" s="413" t="s">
        <v>2199</v>
      </c>
      <c r="B50" s="389" t="s">
        <v>2200</v>
      </c>
      <c r="C50" s="416"/>
      <c r="D50" s="416"/>
      <c r="E50" s="416"/>
      <c r="F50" s="451">
        <f>IF('数据-取费表'!B24=0,'数据-取费表'!N16,1)</f>
        <v>0.82</v>
      </c>
      <c r="G50" s="435" t="s">
        <v>2201</v>
      </c>
    </row>
    <row r="51" spans="1:7" ht="16.5" customHeight="1">
      <c r="A51" s="413" t="s">
        <v>2202</v>
      </c>
      <c r="B51" s="389" t="s">
        <v>2203</v>
      </c>
      <c r="C51" s="416">
        <f ca="1">ROUND(C49*F50,0)</f>
        <v>790</v>
      </c>
      <c r="D51" s="416"/>
      <c r="E51" s="416"/>
      <c r="F51" s="451"/>
      <c r="G51" s="421" t="s">
        <v>2204</v>
      </c>
    </row>
    <row r="52" spans="1:7" s="369" customFormat="1" ht="15.75">
      <c r="A52" s="452" t="s">
        <v>2205</v>
      </c>
      <c r="B52" s="453"/>
      <c r="C52" s="454">
        <f ca="1">C31+C51</f>
        <v>28946</v>
      </c>
      <c r="D52" s="453"/>
      <c r="E52" s="453"/>
      <c r="F52" s="453"/>
      <c r="G52" s="455"/>
    </row>
    <row r="55" spans="1:7" ht="15">
      <c r="B55" s="456" t="s">
        <v>2206</v>
      </c>
      <c r="C55" s="457"/>
    </row>
    <row r="56" spans="1:7">
      <c r="B56" s="458" t="s">
        <v>2207</v>
      </c>
      <c r="C56" s="459">
        <f ca="1">ROUND(C51/C52,3)</f>
        <v>2.7E-2</v>
      </c>
    </row>
    <row r="57" spans="1:7">
      <c r="B57" s="458" t="s">
        <v>2208</v>
      </c>
      <c r="C57" s="460">
        <f ca="1">1-C56</f>
        <v>0.97299999999999998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88"/>
      <c r="B4" s="3457" t="s">
        <v>95</v>
      </c>
      <c r="C4" s="3457"/>
      <c r="D4" s="3457"/>
      <c r="E4" s="3388"/>
    </row>
    <row r="5" spans="1:5" ht="15.75">
      <c r="A5" s="3387"/>
      <c r="B5" s="3449" t="s">
        <v>96</v>
      </c>
      <c r="C5" s="3389" t="s">
        <v>97</v>
      </c>
      <c r="D5" s="3390">
        <f ca="1">结果表!H101</f>
        <v>4450</v>
      </c>
      <c r="E5" s="3387"/>
    </row>
    <row r="6" spans="1:5" ht="15.75">
      <c r="A6" s="3387"/>
      <c r="B6" s="3449"/>
      <c r="C6" s="3389" t="s">
        <v>98</v>
      </c>
      <c r="D6" s="3390" t="str">
        <f ca="1">NUMBERSTRING(INT(D5*10000),2)&amp;"元整"</f>
        <v>肆仟肆佰伍拾万元整</v>
      </c>
      <c r="E6" s="3387"/>
    </row>
    <row r="7" spans="1:5" ht="15.75">
      <c r="A7" s="3387"/>
      <c r="B7" s="3450"/>
      <c r="C7" s="3391" t="s">
        <v>99</v>
      </c>
      <c r="D7" s="3392">
        <f ca="1">结果表!H102</f>
        <v>24037</v>
      </c>
      <c r="E7" s="3387"/>
    </row>
    <row r="8" spans="1:5" ht="15.75">
      <c r="A8" s="3387"/>
      <c r="B8" s="3451" t="str">
        <f>结果表!E103</f>
        <v>2.估价师知悉的法定优先受偿款</v>
      </c>
      <c r="C8" s="3393" t="s">
        <v>100</v>
      </c>
      <c r="D8" s="3392">
        <f>结果表!H103</f>
        <v>0</v>
      </c>
      <c r="E8" s="3387"/>
    </row>
    <row r="9" spans="1:5" ht="15.75">
      <c r="A9" s="3387"/>
      <c r="B9" s="3453"/>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8" t="str">
        <f>结果表!E107</f>
        <v>3.房地产抵押价值</v>
      </c>
      <c r="C13" s="3397" t="s">
        <v>97</v>
      </c>
      <c r="D13" s="3398">
        <f ca="1">结果表!H107</f>
        <v>4450</v>
      </c>
      <c r="E13" s="3387"/>
    </row>
    <row r="14" spans="1:5" ht="15.75">
      <c r="A14" s="3387"/>
      <c r="B14" s="3449"/>
      <c r="C14" s="3389" t="s">
        <v>98</v>
      </c>
      <c r="D14" s="3390" t="str">
        <f ca="1">NUMBERSTRING(INT(D13*10000),2)&amp;"元整"</f>
        <v>肆仟肆佰伍拾万元整</v>
      </c>
      <c r="E14" s="3387"/>
    </row>
    <row r="15" spans="1:5" ht="15">
      <c r="A15" s="3387"/>
      <c r="B15" s="3450"/>
      <c r="C15" s="3391" t="s">
        <v>99</v>
      </c>
      <c r="D15" s="3399">
        <f ca="1">结果表!H108</f>
        <v>24037</v>
      </c>
      <c r="E15" s="3387"/>
    </row>
    <row r="16" spans="1:5" ht="15">
      <c r="A16" s="3387"/>
      <c r="B16" s="3451" t="str">
        <f>结果表!E109</f>
        <v>——</v>
      </c>
      <c r="C16" s="3397" t="s">
        <v>97</v>
      </c>
      <c r="D16" s="3400" t="str">
        <f>结果表!H109</f>
        <v>——</v>
      </c>
      <c r="E16" s="3387"/>
    </row>
    <row r="17" spans="1:5" ht="15.75">
      <c r="A17" s="3387"/>
      <c r="B17" s="3452"/>
      <c r="C17" s="3389" t="s">
        <v>98</v>
      </c>
      <c r="D17" s="3390" t="e">
        <f>NUMBERSTRING(INT(D16*10000),2)&amp;"元整"</f>
        <v>#VALUE!</v>
      </c>
      <c r="E17" s="3387"/>
    </row>
    <row r="18" spans="1:5" ht="15">
      <c r="A18" s="3387"/>
      <c r="B18" s="3453"/>
      <c r="C18" s="3391" t="s">
        <v>99</v>
      </c>
      <c r="D18" s="3399" t="str">
        <f>结果表!H110</f>
        <v>——</v>
      </c>
      <c r="E18" s="3387"/>
    </row>
    <row r="19" spans="1:5" ht="15.75">
      <c r="A19" s="3387"/>
      <c r="B19" s="3448" t="str">
        <f>结果表!E111</f>
        <v>——</v>
      </c>
      <c r="C19" s="3397" t="s">
        <v>97</v>
      </c>
      <c r="D19" s="3392" t="str">
        <f>结果表!H111</f>
        <v>——</v>
      </c>
      <c r="E19" s="3387"/>
    </row>
    <row r="20" spans="1:5" ht="15.75">
      <c r="A20" s="3387"/>
      <c r="B20" s="3449"/>
      <c r="C20" s="3389" t="s">
        <v>98</v>
      </c>
      <c r="D20" s="3390" t="e">
        <f>NUMBERSTRING(INT(D19*10000),2)&amp;"元整"</f>
        <v>#VALUE!</v>
      </c>
      <c r="E20" s="3387"/>
    </row>
    <row r="21" spans="1:5" ht="15">
      <c r="A21" s="3387"/>
      <c r="B21" s="3454"/>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D5:L20"/>
  <sheetViews>
    <sheetView workbookViewId="0">
      <selection activeCell="L42" sqref="L42"/>
    </sheetView>
  </sheetViews>
  <sheetFormatPr defaultRowHeight="13.5"/>
  <sheetData>
    <row r="5" spans="4:12">
      <c r="K5" s="3442"/>
      <c r="L5" s="3442"/>
    </row>
    <row r="6" spans="4:12">
      <c r="J6" s="3443"/>
      <c r="K6" s="3444"/>
    </row>
    <row r="7" spans="4:12">
      <c r="D7" s="3442"/>
      <c r="J7" s="3443"/>
      <c r="K7" s="3444"/>
    </row>
    <row r="8" spans="4:12">
      <c r="D8" s="3442"/>
      <c r="J8" s="3443"/>
      <c r="K8" s="3444"/>
    </row>
    <row r="9" spans="4:12">
      <c r="J9" s="3443"/>
      <c r="K9" s="3443"/>
    </row>
    <row r="10" spans="4:12">
      <c r="J10" s="3443"/>
      <c r="K10" s="3443"/>
    </row>
    <row r="11" spans="4:12">
      <c r="J11" s="3443"/>
      <c r="K11" s="3443"/>
    </row>
    <row r="12" spans="4:12">
      <c r="J12" s="3443"/>
      <c r="K12" s="3444"/>
    </row>
    <row r="13" spans="4:12">
      <c r="J13" s="3443"/>
      <c r="K13" s="3444"/>
    </row>
    <row r="14" spans="4:12">
      <c r="J14" s="3443"/>
      <c r="K14" s="3444"/>
    </row>
    <row r="15" spans="4:12">
      <c r="J15" s="3443"/>
      <c r="K15" s="3444"/>
    </row>
    <row r="16" spans="4:12">
      <c r="J16" s="3443"/>
      <c r="K16" s="3443"/>
    </row>
    <row r="17" spans="10:11">
      <c r="J17" s="3443"/>
      <c r="K17" s="3443"/>
    </row>
    <row r="18" spans="10:11">
      <c r="J18" s="3443"/>
      <c r="K18" s="3443"/>
    </row>
    <row r="19" spans="10:11">
      <c r="J19" s="3443"/>
      <c r="K19" s="3443"/>
    </row>
    <row r="20" spans="10:11">
      <c r="J20" s="3443"/>
      <c r="K20" s="3443"/>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6" t="s">
        <v>2308</v>
      </c>
      <c r="B1" s="3766"/>
      <c r="C1" s="3766"/>
      <c r="D1" s="3766"/>
      <c r="E1" s="3766"/>
      <c r="F1" s="3766"/>
      <c r="G1" s="376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68" t="s">
        <v>2323</v>
      </c>
      <c r="B3" s="339"/>
      <c r="C3" s="340" t="s">
        <v>1765</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69"/>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501</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0" t="s">
        <v>2693</v>
      </c>
      <c r="B1" s="3770"/>
    </row>
    <row r="2" spans="1:7">
      <c r="A2" s="300"/>
      <c r="B2" s="300"/>
    </row>
    <row r="3" spans="1:7">
      <c r="A3" s="300"/>
      <c r="B3" s="300"/>
      <c r="C3" s="301" t="s">
        <v>1765</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1" t="s">
        <v>2698</v>
      </c>
      <c r="B1" s="3771"/>
      <c r="C1" s="3771"/>
      <c r="D1" s="3771"/>
      <c r="E1" s="3771"/>
      <c r="F1" s="3772"/>
    </row>
    <row r="2" spans="1:6">
      <c r="A2" s="290" t="s">
        <v>2699</v>
      </c>
      <c r="B2" s="291"/>
      <c r="C2" s="291"/>
      <c r="D2" s="291"/>
      <c r="E2" s="291"/>
      <c r="F2" s="291"/>
    </row>
    <row r="3" spans="1:6">
      <c r="A3" s="290" t="s">
        <v>2700</v>
      </c>
      <c r="B3" s="291"/>
      <c r="C3" s="291"/>
      <c r="D3" s="291"/>
      <c r="E3" s="291"/>
      <c r="F3" s="292" t="s">
        <v>2701</v>
      </c>
    </row>
    <row r="4" spans="1:6">
      <c r="A4" s="293" t="s">
        <v>404</v>
      </c>
      <c r="B4" s="293" t="s">
        <v>1765</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45540</v>
      </c>
      <c r="B1" s="217" t="s">
        <v>2703</v>
      </c>
      <c r="C1" s="218"/>
      <c r="D1" s="218"/>
      <c r="E1" s="218"/>
      <c r="F1" s="218"/>
      <c r="G1" s="218"/>
      <c r="H1" s="218"/>
      <c r="I1" s="218"/>
      <c r="J1" s="244"/>
      <c r="K1" s="218" t="s">
        <v>2704</v>
      </c>
      <c r="L1" s="218"/>
      <c r="M1" s="218"/>
      <c r="N1" s="218"/>
      <c r="O1" s="218"/>
      <c r="P1" s="218"/>
      <c r="Q1" s="244"/>
      <c r="R1" s="3773" t="s">
        <v>2705</v>
      </c>
      <c r="S1" s="3774"/>
      <c r="T1" s="3774"/>
      <c r="U1" s="3774"/>
      <c r="V1" s="3774"/>
      <c r="W1" s="3774"/>
      <c r="X1" s="244"/>
      <c r="Y1" s="3773" t="s">
        <v>2706</v>
      </c>
      <c r="Z1" s="3774"/>
      <c r="AA1" s="3774"/>
      <c r="AB1" s="3774"/>
      <c r="AC1" s="3774"/>
      <c r="AD1" s="3774"/>
    </row>
    <row r="2" spans="1:30" s="208" customFormat="1">
      <c r="B2" s="219"/>
      <c r="C2" s="220"/>
      <c r="D2" s="221" t="s">
        <v>2707</v>
      </c>
      <c r="E2" s="222" t="s">
        <v>1765</v>
      </c>
      <c r="F2" s="222" t="s">
        <v>1887</v>
      </c>
      <c r="G2" s="222" t="s">
        <v>412</v>
      </c>
      <c r="H2" s="222" t="s">
        <v>408</v>
      </c>
      <c r="I2" s="222" t="s">
        <v>280</v>
      </c>
      <c r="J2" s="245"/>
      <c r="K2" s="221" t="s">
        <v>2707</v>
      </c>
      <c r="L2" s="222" t="s">
        <v>1765</v>
      </c>
      <c r="M2" s="222" t="s">
        <v>1887</v>
      </c>
      <c r="N2" s="222" t="s">
        <v>412</v>
      </c>
      <c r="O2" s="222" t="s">
        <v>408</v>
      </c>
      <c r="P2" s="222" t="s">
        <v>280</v>
      </c>
      <c r="Q2" s="245"/>
      <c r="R2" s="221" t="s">
        <v>2707</v>
      </c>
      <c r="S2" s="222" t="s">
        <v>1765</v>
      </c>
      <c r="T2" s="222" t="s">
        <v>1887</v>
      </c>
      <c r="U2" s="222" t="s">
        <v>412</v>
      </c>
      <c r="V2" s="222" t="s">
        <v>408</v>
      </c>
      <c r="W2" s="222" t="s">
        <v>280</v>
      </c>
      <c r="X2" s="245"/>
      <c r="Y2" s="221" t="s">
        <v>2707</v>
      </c>
      <c r="Z2" s="222" t="s">
        <v>1765</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1654</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73" t="s">
        <v>2705</v>
      </c>
      <c r="S24" s="3774"/>
      <c r="T24" s="3774"/>
      <c r="U24" s="3774"/>
      <c r="V24" s="3774"/>
      <c r="W24" s="3774"/>
      <c r="X24" s="244"/>
      <c r="Y24" s="3773" t="s">
        <v>2706</v>
      </c>
      <c r="Z24" s="3774"/>
      <c r="AA24" s="3774"/>
      <c r="AB24" s="3774"/>
      <c r="AC24" s="3774"/>
      <c r="AD24" s="3774"/>
    </row>
    <row r="25" spans="1:30" s="208" customFormat="1">
      <c r="B25" s="219"/>
      <c r="C25" s="220"/>
      <c r="D25" s="221" t="s">
        <v>2707</v>
      </c>
      <c r="E25" s="222" t="s">
        <v>1765</v>
      </c>
      <c r="F25" s="222" t="s">
        <v>1887</v>
      </c>
      <c r="G25" s="222" t="s">
        <v>412</v>
      </c>
      <c r="H25" s="222"/>
      <c r="I25" s="222" t="s">
        <v>280</v>
      </c>
      <c r="J25" s="245"/>
      <c r="K25" s="221" t="s">
        <v>2707</v>
      </c>
      <c r="L25" s="222" t="s">
        <v>1765</v>
      </c>
      <c r="M25" s="222" t="s">
        <v>1887</v>
      </c>
      <c r="N25" s="222" t="s">
        <v>412</v>
      </c>
      <c r="O25" s="222"/>
      <c r="P25" s="222" t="s">
        <v>280</v>
      </c>
      <c r="Q25" s="245"/>
      <c r="R25" s="221" t="s">
        <v>2707</v>
      </c>
      <c r="S25" s="222" t="s">
        <v>1765</v>
      </c>
      <c r="T25" s="222" t="s">
        <v>1887</v>
      </c>
      <c r="U25" s="222" t="s">
        <v>412</v>
      </c>
      <c r="V25" s="222"/>
      <c r="W25" s="222" t="s">
        <v>280</v>
      </c>
      <c r="X25" s="245"/>
      <c r="Y25" s="221" t="s">
        <v>2707</v>
      </c>
      <c r="Z25" s="222" t="s">
        <v>1765</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2727</v>
      </c>
      <c r="C1" s="3785"/>
      <c r="D1" s="3785"/>
      <c r="E1" s="3785"/>
      <c r="F1" s="3785"/>
      <c r="G1" s="3782" t="s">
        <v>2728</v>
      </c>
      <c r="H1" s="3782"/>
      <c r="I1" s="3782"/>
      <c r="J1" s="3782"/>
      <c r="K1" s="3782"/>
      <c r="L1" s="3782"/>
      <c r="N1" s="3782" t="s">
        <v>2704</v>
      </c>
      <c r="O1" s="3782"/>
      <c r="P1" s="3782"/>
      <c r="Q1" s="3782"/>
      <c r="S1" s="3782" t="s">
        <v>2729</v>
      </c>
      <c r="T1" s="3782"/>
      <c r="U1" s="3782"/>
      <c r="V1" s="3782"/>
      <c r="X1" s="3781" t="s">
        <v>2705</v>
      </c>
      <c r="Y1" s="3782"/>
      <c r="Z1" s="3782"/>
      <c r="AA1" s="3782"/>
      <c r="AB1" s="3782"/>
      <c r="AD1" s="3781" t="s">
        <v>2706</v>
      </c>
      <c r="AE1" s="3782"/>
      <c r="AF1" s="3782"/>
      <c r="AG1" s="3782"/>
      <c r="AH1" s="3782"/>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45540</v>
      </c>
      <c r="D1" s="7" t="s">
        <v>2819</v>
      </c>
      <c r="E1" s="9">
        <f>'数据-取费表'!B22</f>
        <v>1</v>
      </c>
      <c r="F1" s="7" t="s">
        <v>2820</v>
      </c>
      <c r="G1" s="10">
        <f ca="1">INDIRECT("d"&amp;$K$1)/100</f>
        <v>3.3500000000000002E-2</v>
      </c>
      <c r="H1" s="7" t="s">
        <v>2821</v>
      </c>
      <c r="I1" s="10">
        <f ca="1">F4/100</f>
        <v>1.4999999999999999E-2</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1"/>
      <c r="B3" s="3461"/>
      <c r="C3" s="3461"/>
      <c r="D3" s="3382" t="s">
        <v>110</v>
      </c>
      <c r="E3" s="3382" t="s">
        <v>111</v>
      </c>
      <c r="F3" s="3382" t="s">
        <v>110</v>
      </c>
      <c r="G3" s="3382" t="s">
        <v>111</v>
      </c>
      <c r="H3" s="3382" t="s">
        <v>110</v>
      </c>
      <c r="I3" s="3382" t="s">
        <v>111</v>
      </c>
    </row>
    <row r="4" spans="1:9" ht="15">
      <c r="A4" s="3383" t="str">
        <f>项目基本情况!S2</f>
        <v>北京市房地产</v>
      </c>
      <c r="B4" s="3382">
        <f>项目基本情况!C17</f>
        <v>1851.14</v>
      </c>
      <c r="C4" s="3382">
        <f>项目基本情况!C18</f>
        <v>0</v>
      </c>
      <c r="D4" s="3382">
        <f ca="1">结果表!D118</f>
        <v>3520</v>
      </c>
      <c r="E4" s="3382">
        <f ca="1">结果表!E118</f>
        <v>19013</v>
      </c>
      <c r="F4" s="3382">
        <f ca="1">结果表!F118</f>
        <v>930</v>
      </c>
      <c r="G4" s="3382">
        <f ca="1">结果表!G118</f>
        <v>5024</v>
      </c>
      <c r="H4" s="3382">
        <f ca="1">结果表!H118</f>
        <v>4450</v>
      </c>
      <c r="I4" s="3382">
        <f ca="1">结果表!I118</f>
        <v>24037</v>
      </c>
    </row>
    <row r="5" spans="1:9" ht="30" customHeight="1">
      <c r="A5" s="3461" t="s">
        <v>112</v>
      </c>
      <c r="B5" s="3461"/>
      <c r="C5" s="3461"/>
      <c r="D5" s="3461" t="str">
        <f ca="1">结果表!D119</f>
        <v>叁仟伍佰贰拾万元整</v>
      </c>
      <c r="E5" s="3461"/>
      <c r="F5" s="3461" t="str">
        <f ca="1">结果表!F119</f>
        <v>玖佰叁拾万元整</v>
      </c>
      <c r="G5" s="3461"/>
      <c r="H5" s="3461" t="str">
        <f ca="1">结果表!H119</f>
        <v>肆仟肆佰伍拾万元整</v>
      </c>
      <c r="I5" s="3461"/>
    </row>
    <row r="6" spans="1:9" ht="15.75">
      <c r="A6" s="3458" t="str">
        <f>结果表!A120</f>
        <v>估价师知悉的法定优先受偿款</v>
      </c>
      <c r="B6" s="3458"/>
      <c r="C6" s="3458"/>
      <c r="D6" s="3458">
        <f>结果表!D120</f>
        <v>0</v>
      </c>
      <c r="E6" s="3458"/>
      <c r="F6" s="3458"/>
      <c r="G6" s="3458"/>
      <c r="H6" s="3458"/>
      <c r="I6" s="3458"/>
    </row>
    <row r="7" spans="1:9" ht="15">
      <c r="A7" s="3461" t="s">
        <v>112</v>
      </c>
      <c r="B7" s="3461"/>
      <c r="C7" s="3461"/>
      <c r="D7" s="3462" t="str">
        <f>结果表!D121</f>
        <v>零元整</v>
      </c>
      <c r="E7" s="3463"/>
      <c r="F7" s="3463"/>
      <c r="G7" s="3463"/>
      <c r="H7" s="3463"/>
      <c r="I7" s="3464"/>
    </row>
    <row r="8" spans="1:9" ht="15.75">
      <c r="A8" s="3458" t="str">
        <f>结果表!A122</f>
        <v>房地产抵押价值</v>
      </c>
      <c r="B8" s="3458"/>
      <c r="C8" s="3458"/>
      <c r="D8" s="3458">
        <f ca="1">结果表!D122</f>
        <v>4450</v>
      </c>
      <c r="E8" s="3458"/>
      <c r="F8" s="3458"/>
      <c r="G8" s="3458"/>
      <c r="H8" s="3458"/>
      <c r="I8" s="3458"/>
    </row>
    <row r="9" spans="1:9" ht="15">
      <c r="A9" s="3461" t="s">
        <v>112</v>
      </c>
      <c r="B9" s="3461"/>
      <c r="C9" s="3461"/>
      <c r="D9" s="3461" t="str">
        <f ca="1">结果表!D123</f>
        <v>肆仟肆佰伍拾万元整</v>
      </c>
      <c r="E9" s="3461"/>
      <c r="F9" s="3461"/>
      <c r="G9" s="3461"/>
      <c r="H9" s="3461"/>
      <c r="I9" s="3461"/>
    </row>
    <row r="10" spans="1:9" ht="15.75">
      <c r="A10" s="3458" t="str">
        <f>结果表!A124</f>
        <v/>
      </c>
      <c r="B10" s="3458"/>
      <c r="C10" s="3458"/>
      <c r="D10" s="3458" t="str">
        <f>结果表!D124</f>
        <v>——</v>
      </c>
      <c r="E10" s="3458"/>
      <c r="F10" s="3458"/>
      <c r="G10" s="3458"/>
      <c r="H10" s="3458"/>
      <c r="I10" s="3458"/>
    </row>
    <row r="11" spans="1:9" ht="15">
      <c r="A11" s="3461" t="s">
        <v>112</v>
      </c>
      <c r="B11" s="3461"/>
      <c r="C11" s="3461"/>
      <c r="D11" s="3461" t="e">
        <f>结果表!D125</f>
        <v>#VALUE!</v>
      </c>
      <c r="E11" s="3461"/>
      <c r="F11" s="3461"/>
      <c r="G11" s="3461"/>
      <c r="H11" s="3461"/>
      <c r="I11" s="3461"/>
    </row>
    <row r="12" spans="1:9" ht="15.75">
      <c r="A12" s="3458" t="str">
        <f>结果表!A126</f>
        <v/>
      </c>
      <c r="B12" s="3458"/>
      <c r="C12" s="3458"/>
      <c r="D12" s="3458" t="str">
        <f>结果表!D126</f>
        <v>——</v>
      </c>
      <c r="E12" s="3458"/>
      <c r="F12" s="3458"/>
      <c r="G12" s="3458"/>
      <c r="H12" s="3458"/>
      <c r="I12" s="3458"/>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73" t="s">
        <v>114</v>
      </c>
      <c r="B1" s="3473"/>
      <c r="C1" s="3473"/>
      <c r="D1" s="3473"/>
    </row>
    <row r="2" spans="1:4" ht="18">
      <c r="A2" s="3474" t="s">
        <v>115</v>
      </c>
      <c r="B2" s="3474"/>
      <c r="C2" s="3474"/>
      <c r="D2" s="3474"/>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74" t="s">
        <v>121</v>
      </c>
      <c r="B6" s="3474"/>
      <c r="C6" s="3474"/>
      <c r="D6" s="3474"/>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5"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68" t="str">
        <f>IF(项目基本情况!B8="抵押","4.本次评估估价师所知悉的法定优先受偿款情况说明如下：","——")</f>
        <v>4.本次评估估价师所知悉的法定优先受偿款情况说明如下：</v>
      </c>
      <c r="B14" s="3471"/>
      <c r="C14" s="3471"/>
      <c r="D14" s="3471"/>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2" t="s">
        <v>127</v>
      </c>
      <c r="B16" s="3472"/>
      <c r="C16" s="3472"/>
      <c r="D16" s="3472"/>
    </row>
    <row r="17" spans="1:4" ht="144" customHeight="1">
      <c r="A17" s="3472" t="s">
        <v>128</v>
      </c>
      <c r="B17" s="3472"/>
      <c r="C17" s="3472"/>
      <c r="D17" s="3472"/>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8" t="s">
        <v>146</v>
      </c>
      <c r="B15" s="3483" t="s">
        <v>147</v>
      </c>
      <c r="C15" s="3477"/>
    </row>
    <row r="16" spans="1:7" ht="13.5">
      <c r="A16" s="3479"/>
      <c r="B16" s="3483" t="s">
        <v>148</v>
      </c>
      <c r="C16" s="3477"/>
    </row>
    <row r="17" spans="1:3" ht="13.5">
      <c r="A17" s="3479"/>
      <c r="B17" s="3482" t="s">
        <v>149</v>
      </c>
      <c r="C17" s="3359" t="s">
        <v>146</v>
      </c>
    </row>
    <row r="18" spans="1:3" ht="13.5">
      <c r="A18" s="3479"/>
      <c r="B18" s="3482"/>
      <c r="C18" s="3359" t="s">
        <v>150</v>
      </c>
    </row>
    <row r="19" spans="1:3" ht="13.5">
      <c r="A19" s="3479"/>
      <c r="B19" s="3482"/>
      <c r="C19" s="3359" t="s">
        <v>151</v>
      </c>
    </row>
    <row r="20" spans="1:3" ht="13.5">
      <c r="A20" s="3480"/>
      <c r="B20" s="3476" t="s">
        <v>152</v>
      </c>
      <c r="C20" s="3477"/>
    </row>
    <row r="21" spans="1:3" ht="13.5">
      <c r="A21" s="3360" t="s">
        <v>153</v>
      </c>
      <c r="B21" s="3361"/>
      <c r="C21" s="3362"/>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59" t="s">
        <v>159</v>
      </c>
    </row>
    <row r="26" spans="1:3" ht="13.5">
      <c r="A26" s="3481"/>
      <c r="B26" s="3482"/>
      <c r="C26" s="3359" t="s">
        <v>160</v>
      </c>
    </row>
    <row r="27" spans="1:3" ht="13.5">
      <c r="A27" s="3481"/>
      <c r="B27" s="3482"/>
      <c r="C27" s="3359" t="s">
        <v>161</v>
      </c>
    </row>
    <row r="28" spans="1:3" ht="13.5">
      <c r="A28" s="3481"/>
      <c r="B28" s="3482"/>
      <c r="C28" s="3359" t="s">
        <v>162</v>
      </c>
    </row>
    <row r="29" spans="1:3" ht="13.5">
      <c r="A29" s="3481"/>
      <c r="B29" s="3482"/>
      <c r="C29" s="3359" t="s">
        <v>163</v>
      </c>
    </row>
    <row r="30" spans="1:3" ht="13.5">
      <c r="A30" s="3481"/>
      <c r="B30" s="3482"/>
      <c r="C30" s="3359" t="s">
        <v>164</v>
      </c>
    </row>
    <row r="31" spans="1:3" ht="13.5">
      <c r="A31" s="3481"/>
      <c r="B31" s="3482"/>
      <c r="C31" s="3359" t="s">
        <v>165</v>
      </c>
    </row>
    <row r="32" spans="1:3" ht="13.5">
      <c r="A32" s="3481"/>
      <c r="B32" s="3482"/>
      <c r="C32" s="3359" t="s">
        <v>166</v>
      </c>
    </row>
    <row r="33" spans="1:3" ht="13.5">
      <c r="A33" s="3481"/>
      <c r="B33" s="3482"/>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45540</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26"/>
      <c r="E18" s="3486" t="s">
        <v>199</v>
      </c>
      <c r="F18" s="3485"/>
      <c r="G18" s="3485"/>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2024-09-05T06:48:37Z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