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平谷园丁小区\"/>
    </mc:Choice>
  </mc:AlternateContent>
  <bookViews>
    <workbookView xWindow="0" yWindow="0" windowWidth="9540" windowHeight="7356"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3" sheetId="91" r:id="rId26"/>
    <sheet name="Sheet4" sheetId="92" r:id="rId27"/>
    <sheet name="Sheet1" sheetId="90" state="hidden" r:id="rId28"/>
    <sheet name="库" sheetId="85" state="hidden" r:id="rId29"/>
    <sheet name="成交" sheetId="84" state="hidden" r:id="rId30"/>
    <sheet name="成交案例" sheetId="81" state="hidden" r:id="rId31"/>
    <sheet name="收益法-酒店模型" sheetId="77" state="hidden" r:id="rId32"/>
    <sheet name="收益法（汇总）" sheetId="70" state="hidden" r:id="rId33"/>
    <sheet name="价格指数" sheetId="83" state="hidden" r:id="rId34"/>
    <sheet name="收益法3.31" sheetId="67" r:id="rId35"/>
    <sheet name="租金案例" sheetId="80" r:id="rId36"/>
    <sheet name="成本法 (元)" sheetId="69" state="hidden" r:id="rId37"/>
    <sheet name="系统读取表" sheetId="74"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典型户型修正" sheetId="31" state="hidden" r:id="rId46"/>
    <sheet name="基准地价（汇总）" sheetId="76" state="hidden" r:id="rId47"/>
    <sheet name="基准地价修正" sheetId="43" state="hidden" r:id="rId48"/>
    <sheet name="修正" sheetId="45" state="hidden" r:id="rId49"/>
    <sheet name="容积率修正" sheetId="46" state="hidden" r:id="rId50"/>
    <sheet name="成本法（废）" sheetId="11" state="hidden" r:id="rId51"/>
    <sheet name="区片价" sheetId="44" state="hidden" r:id="rId52"/>
    <sheet name="因素修正幅度" sheetId="65" state="hidden" r:id="rId53"/>
    <sheet name="区片价（范围）" sheetId="75" state="hidden" r:id="rId54"/>
    <sheet name="地价-分区" sheetId="79" state="hidden" r:id="rId55"/>
    <sheet name="地价" sheetId="71" state="hidden" r:id="rId56"/>
    <sheet name="存贷款利率" sheetId="73" state="hidden" r:id="rId57"/>
  </sheets>
  <externalReferences>
    <externalReference r:id="rId58"/>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22" hidden="1">'比较法-住宅12.31'!$A$1:$L$49</definedName>
    <definedName name="_xlnm._FilterDatabase" localSheetId="29" hidden="1">成交!$AW$1:$AW$45</definedName>
    <definedName name="_xlnm._FilterDatabase" localSheetId="28" hidden="1">库!$A$1:$U$106</definedName>
    <definedName name="_xlnm._FilterDatabase" localSheetId="12" hidden="1">'数据-基础表'!$A$12:$AT$587</definedName>
    <definedName name="_xlnm._FilterDatabase" localSheetId="44" hidden="1">'土地比较法-工业'!$A$1:$L$43</definedName>
    <definedName name="_xlnm._FilterDatabase" localSheetId="43"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6">'成本法 (元)'!$A$1:$G$57</definedName>
    <definedName name="_xlnm.Print_Area" localSheetId="16">估价对象房地状况!$A$1:$G$24</definedName>
    <definedName name="_xlnm.Print_Area" localSheetId="8">估价师及机构信息!$A$1:$G$22</definedName>
    <definedName name="_xlnm.Print_Area" localSheetId="46">'基准地价（汇总）'!$A$1:$E$13</definedName>
    <definedName name="_xlnm.Print_Area" localSheetId="47">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2">'收益法（汇总）'!$A$1:$F$13</definedName>
    <definedName name="_xlnm.Print_Area" localSheetId="23">收益法12.31!$A$1:$F$43,收益法12.31!$H$3:$M$29,收益法12.31!$A$45:$F$71,收益法12.31!$I$46:$N$65</definedName>
    <definedName name="_xlnm.Print_Area" localSheetId="34">收益法3.31!$A$1:$F$43,收益法3.31!$H$3:$M$29,收益法3.31!$A$45:$F$71,收益法3.31!$I$46:$N$65</definedName>
    <definedName name="_xlnm.Print_Area" localSheetId="13">'数据-汇总表'!$A$1:$P$32</definedName>
    <definedName name="_xlnm.Print_Area" localSheetId="44">'土地比较法-工业'!$A$1:$K$61,'土地比较法-工业'!$A$64:$M$121</definedName>
    <definedName name="_xlnm.Print_Area" localSheetId="43">'土地比较法-住宅、综合'!$A$1:$K$65,'土地比较法-住宅、综合'!$A$68:$M$131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T82" i="92" l="1"/>
  <c r="R82" i="92"/>
  <c r="S61" i="92"/>
  <c r="Q61" i="92"/>
  <c r="S35" i="92"/>
  <c r="Q35" i="92"/>
  <c r="S12" i="92"/>
  <c r="Q12" i="92"/>
  <c r="E44" i="21" l="1"/>
  <c r="C126" i="21" s="1"/>
  <c r="E33" i="21"/>
  <c r="E5" i="21"/>
  <c r="E126" i="21"/>
  <c r="D126" i="21"/>
  <c r="I44" i="21"/>
  <c r="G44" i="21"/>
  <c r="I33" i="21"/>
  <c r="G33" i="21"/>
  <c r="E90" i="21"/>
  <c r="I7" i="21"/>
  <c r="G7" i="21"/>
  <c r="I5" i="21"/>
  <c r="G5" i="21"/>
  <c r="N19" i="1"/>
  <c r="G47" i="21"/>
  <c r="I47" i="21"/>
  <c r="C90" i="21" l="1"/>
  <c r="I28" i="21"/>
  <c r="G28" i="21"/>
  <c r="F5" i="91"/>
  <c r="F6" i="91"/>
  <c r="F4" i="91"/>
  <c r="E47" i="21" s="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J142" i="86"/>
  <c r="J140" i="86"/>
  <c r="K143" i="86" s="1"/>
  <c r="K139" i="86"/>
  <c r="B130" i="86"/>
  <c r="B128" i="86"/>
  <c r="F45" i="86" s="1"/>
  <c r="B126" i="86"/>
  <c r="D125" i="86"/>
  <c r="E125" i="86" s="1"/>
  <c r="D123" i="86"/>
  <c r="E123" i="86" s="1"/>
  <c r="H42" i="86" s="1"/>
  <c r="D119" i="86"/>
  <c r="E119" i="86" s="1"/>
  <c r="F119" i="86" s="1"/>
  <c r="G119" i="86" s="1"/>
  <c r="H119" i="86" s="1"/>
  <c r="I119" i="86" s="1"/>
  <c r="J119" i="86" s="1"/>
  <c r="K119" i="86" s="1"/>
  <c r="L119" i="86" s="1"/>
  <c r="M119" i="86" s="1"/>
  <c r="D117" i="86"/>
  <c r="E117" i="86" s="1"/>
  <c r="F117" i="86" s="1"/>
  <c r="G117" i="86" s="1"/>
  <c r="E115" i="86"/>
  <c r="F115" i="86" s="1"/>
  <c r="G115" i="86" s="1"/>
  <c r="H115" i="86" s="1"/>
  <c r="I115" i="86" s="1"/>
  <c r="J115" i="86" s="1"/>
  <c r="K115" i="86" s="1"/>
  <c r="L115" i="86" s="1"/>
  <c r="M115" i="86" s="1"/>
  <c r="D115" i="86"/>
  <c r="F113" i="86"/>
  <c r="G113" i="86" s="1"/>
  <c r="D113" i="86"/>
  <c r="E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B94" i="86"/>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E69" i="86"/>
  <c r="F69" i="86" s="1"/>
  <c r="G69" i="86" s="1"/>
  <c r="H69" i="86" s="1"/>
  <c r="I69" i="86" s="1"/>
  <c r="J69" i="86" s="1"/>
  <c r="K69" i="86" s="1"/>
  <c r="L69" i="86" s="1"/>
  <c r="M69" i="86" s="1"/>
  <c r="D69" i="86"/>
  <c r="M67" i="86"/>
  <c r="L67" i="86"/>
  <c r="K67" i="86"/>
  <c r="J67" i="86"/>
  <c r="I67" i="86"/>
  <c r="H67" i="86"/>
  <c r="G67" i="86"/>
  <c r="F67" i="86"/>
  <c r="E67" i="86"/>
  <c r="D67" i="86"/>
  <c r="C67" i="86"/>
  <c r="C63" i="86"/>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H45" i="86"/>
  <c r="AB45" i="86" s="1"/>
  <c r="Q44" i="86"/>
  <c r="Z44" i="86" s="1"/>
  <c r="J44" i="86"/>
  <c r="AC44" i="86" s="1"/>
  <c r="H44" i="86"/>
  <c r="AB44" i="86" s="1"/>
  <c r="F44" i="86"/>
  <c r="AA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Z39" i="86"/>
  <c r="Q39" i="86"/>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AC34" i="86"/>
  <c r="W34" i="86"/>
  <c r="Q34" i="86"/>
  <c r="Z34" i="86" s="1"/>
  <c r="J34" i="86"/>
  <c r="H34" i="86"/>
  <c r="AB34" i="86" s="1"/>
  <c r="F34" i="86"/>
  <c r="AA34" i="86" s="1"/>
  <c r="Q33" i="86"/>
  <c r="Z33" i="86" s="1"/>
  <c r="Q32" i="86"/>
  <c r="Z32" i="86" s="1"/>
  <c r="Z31" i="86"/>
  <c r="W31" i="86"/>
  <c r="Q31" i="86"/>
  <c r="J31" i="86"/>
  <c r="AC31" i="86" s="1"/>
  <c r="AC30" i="86"/>
  <c r="W30" i="86"/>
  <c r="Q30" i="86"/>
  <c r="Z30" i="86" s="1"/>
  <c r="J30" i="86"/>
  <c r="H30" i="86"/>
  <c r="AB30" i="86" s="1"/>
  <c r="F30" i="86"/>
  <c r="AA30" i="86" s="1"/>
  <c r="Q29" i="86"/>
  <c r="Z29" i="86" s="1"/>
  <c r="J29" i="86"/>
  <c r="AC29" i="86" s="1"/>
  <c r="H29" i="86"/>
  <c r="U29" i="86" s="1"/>
  <c r="F29" i="86"/>
  <c r="S29" i="86" s="1"/>
  <c r="Q28" i="86"/>
  <c r="Z28" i="86" s="1"/>
  <c r="J28" i="86"/>
  <c r="AC28" i="86" s="1"/>
  <c r="H28" i="86"/>
  <c r="AB28" i="86" s="1"/>
  <c r="F28" i="86"/>
  <c r="S28" i="86" s="1"/>
  <c r="Q27" i="86"/>
  <c r="Z27" i="86" s="1"/>
  <c r="C27" i="86"/>
  <c r="F27" i="86" s="1"/>
  <c r="Z26" i="86"/>
  <c r="Q26" i="86"/>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S8" i="86"/>
  <c r="J8" i="86"/>
  <c r="AC8" i="86" s="1"/>
  <c r="H8" i="86"/>
  <c r="U8" i="86" s="1"/>
  <c r="F8" i="86"/>
  <c r="AA8" i="86" s="1"/>
  <c r="C58" i="86"/>
  <c r="B2" i="86"/>
  <c r="D5" i="9"/>
  <c r="D2" i="86"/>
  <c r="S45" i="86" l="1"/>
  <c r="AA45" i="86"/>
  <c r="AB42" i="86"/>
  <c r="U42" i="86"/>
  <c r="AB8" i="86"/>
  <c r="AC25" i="86"/>
  <c r="H27" i="86"/>
  <c r="U27" i="86" s="1"/>
  <c r="AA29" i="86"/>
  <c r="W35" i="86"/>
  <c r="W43" i="86"/>
  <c r="J27" i="86"/>
  <c r="AC27" i="86" s="1"/>
  <c r="AB29" i="86"/>
  <c r="W39" i="86"/>
  <c r="D22" i="88"/>
  <c r="L46" i="88"/>
  <c r="D23" i="88"/>
  <c r="W8" i="86"/>
  <c r="AA25" i="86"/>
  <c r="K145" i="86"/>
  <c r="P61" i="88"/>
  <c r="AB27" i="86"/>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0" i="86"/>
  <c r="S34" i="86"/>
  <c r="U35" i="86"/>
  <c r="S38" i="86"/>
  <c r="U39" i="86"/>
  <c r="W40" i="86"/>
  <c r="W44" i="86"/>
  <c r="S46" i="86"/>
  <c r="W27" i="86" l="1"/>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N5" i="80" s="1"/>
  <c r="O20" i="1"/>
  <c r="N21" i="1" s="1"/>
  <c r="N6" i="1" s="1"/>
  <c r="Y6" i="1" s="1"/>
  <c r="F19" i="6"/>
  <c r="B7" i="78"/>
  <c r="B6" i="78"/>
  <c r="P5" i="80" l="1"/>
  <c r="O5" i="80"/>
  <c r="J59" i="86"/>
  <c r="D59" i="86"/>
  <c r="M11" i="80"/>
  <c r="C14" i="83"/>
  <c r="B21" i="83"/>
  <c r="I7" i="79"/>
  <c r="D14" i="83" l="1"/>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AA25" i="79" s="1"/>
  <c r="AD25" i="79" s="1"/>
  <c r="Z27" i="79"/>
  <c r="N27" i="79"/>
  <c r="M27" i="79"/>
  <c r="M25" i="79" s="1"/>
  <c r="P25" i="79" s="1"/>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L16" i="79"/>
  <c r="K16" i="79"/>
  <c r="R16" i="79" s="1"/>
  <c r="I16" i="79"/>
  <c r="AC15" i="79"/>
  <c r="AB15" i="79"/>
  <c r="AA15" i="79"/>
  <c r="AD15" i="79" s="1"/>
  <c r="Z15" i="79"/>
  <c r="Y15" i="79"/>
  <c r="O15" i="79"/>
  <c r="N15" i="79"/>
  <c r="U15" i="79" s="1"/>
  <c r="M15" i="79"/>
  <c r="L15" i="79"/>
  <c r="K15" i="79"/>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L13" i="79"/>
  <c r="S13" i="79" s="1"/>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3" i="79" l="1"/>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E23" i="71" s="1"/>
  <c r="E22"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s="1"/>
  <c r="B59" i="71" s="1"/>
  <c r="B60" i="71" s="1"/>
  <c r="S60" i="71" s="1"/>
  <c r="D57" i="71"/>
  <c r="Q56" i="71"/>
  <c r="P56" i="71"/>
  <c r="O56" i="71"/>
  <c r="N56" i="71"/>
  <c r="Q55" i="71"/>
  <c r="P55" i="71"/>
  <c r="O55" i="71"/>
  <c r="N55" i="71"/>
  <c r="Q54" i="71"/>
  <c r="F55" i="71" s="1"/>
  <c r="F56" i="71" s="1"/>
  <c r="V56" i="71" s="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E47" i="71" s="1"/>
  <c r="E48" i="71" s="1"/>
  <c r="U48" i="71" s="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s="1"/>
  <c r="B43" i="71" s="1"/>
  <c r="B44" i="71" s="1"/>
  <c r="S44" i="71" s="1"/>
  <c r="D41" i="71"/>
  <c r="Q40" i="71"/>
  <c r="P40" i="71"/>
  <c r="O40" i="71"/>
  <c r="N40" i="71"/>
  <c r="Q39" i="71"/>
  <c r="AB39" i="71" s="1"/>
  <c r="P39" i="71"/>
  <c r="AA39" i="71"/>
  <c r="O39" i="71"/>
  <c r="N39" i="71"/>
  <c r="X39" i="71" s="1"/>
  <c r="Q38" i="71"/>
  <c r="P38" i="71"/>
  <c r="O38" i="71"/>
  <c r="Y38" i="71" s="1"/>
  <c r="Z38" i="71" s="1"/>
  <c r="N38" i="71"/>
  <c r="Q37" i="71"/>
  <c r="P37" i="71"/>
  <c r="E38" i="71" s="1"/>
  <c r="E39" i="71" s="1"/>
  <c r="E40" i="71" s="1"/>
  <c r="U40" i="71" s="1"/>
  <c r="O37" i="71"/>
  <c r="C38" i="71" s="1"/>
  <c r="N37" i="71"/>
  <c r="D37" i="71"/>
  <c r="Q36" i="71"/>
  <c r="P36" i="71"/>
  <c r="O36" i="71"/>
  <c r="N36" i="71"/>
  <c r="Q35" i="71"/>
  <c r="P35" i="71"/>
  <c r="O35" i="71"/>
  <c r="Y35" i="71" s="1"/>
  <c r="Z35" i="71" s="1"/>
  <c r="N35" i="71"/>
  <c r="Q34" i="71"/>
  <c r="P34" i="71"/>
  <c r="AA34" i="71" s="1"/>
  <c r="O34" i="71"/>
  <c r="N34" i="71"/>
  <c r="Q33" i="71"/>
  <c r="F34" i="71" s="1"/>
  <c r="P33" i="71"/>
  <c r="E34" i="71" s="1"/>
  <c r="E35" i="71" s="1"/>
  <c r="E36" i="71" s="1"/>
  <c r="U36" i="71" s="1"/>
  <c r="O33" i="71"/>
  <c r="N33" i="71"/>
  <c r="D33" i="71"/>
  <c r="Q32" i="71"/>
  <c r="P32" i="71"/>
  <c r="O32" i="71"/>
  <c r="Y32" i="71" s="1"/>
  <c r="Z32" i="71" s="1"/>
  <c r="N32" i="71"/>
  <c r="Q31" i="71"/>
  <c r="P31" i="71"/>
  <c r="O31" i="71"/>
  <c r="N31" i="71"/>
  <c r="Q30" i="71"/>
  <c r="P30" i="71"/>
  <c r="O30" i="71"/>
  <c r="N30" i="71"/>
  <c r="Q29" i="71"/>
  <c r="F30" i="71" s="1"/>
  <c r="F31" i="71" s="1"/>
  <c r="F32" i="71" s="1"/>
  <c r="V32" i="71" s="1"/>
  <c r="P29" i="71"/>
  <c r="E30" i="71" s="1"/>
  <c r="O29" i="71"/>
  <c r="C30" i="71" s="1"/>
  <c r="N29" i="71"/>
  <c r="D29" i="71"/>
  <c r="O28" i="71"/>
  <c r="N28" i="71"/>
  <c r="B28" i="71" s="1"/>
  <c r="B27" i="71" s="1"/>
  <c r="B26" i="71" s="1"/>
  <c r="B30" i="71"/>
  <c r="B31" i="71" s="1"/>
  <c r="B32" i="71" s="1"/>
  <c r="S32" i="71" s="1"/>
  <c r="B34" i="71"/>
  <c r="B35" i="71" s="1"/>
  <c r="B36" i="71" s="1"/>
  <c r="S36" i="71" s="1"/>
  <c r="AA37" i="71"/>
  <c r="N68" i="71"/>
  <c r="C34" i="71"/>
  <c r="D34" i="71" s="1"/>
  <c r="AA35" i="71"/>
  <c r="AA38" i="71"/>
  <c r="X28" i="71"/>
  <c r="C43" i="71"/>
  <c r="C44" i="71" s="1"/>
  <c r="D46" i="71"/>
  <c r="D50" i="71"/>
  <c r="P28" i="71"/>
  <c r="AA27" i="71" s="1"/>
  <c r="E59" i="71"/>
  <c r="E60" i="71"/>
  <c r="U60" i="71" s="1"/>
  <c r="U68" i="71"/>
  <c r="Q28" i="71"/>
  <c r="D58" i="71"/>
  <c r="C63" i="71"/>
  <c r="D63" i="71" s="1"/>
  <c r="D62" i="71"/>
  <c r="N67" i="71"/>
  <c r="T68" i="71"/>
  <c r="O68" i="71"/>
  <c r="D68" i="71"/>
  <c r="C67" i="71"/>
  <c r="C66" i="71" s="1"/>
  <c r="Q68" i="71"/>
  <c r="C71" i="71"/>
  <c r="C70" i="71" s="1"/>
  <c r="D70" i="71" s="1"/>
  <c r="D72" i="71"/>
  <c r="C75" i="71"/>
  <c r="D75" i="71" s="1"/>
  <c r="E75" i="71"/>
  <c r="E74" i="71" s="1"/>
  <c r="C79" i="71"/>
  <c r="D79" i="71" s="1"/>
  <c r="E79" i="71"/>
  <c r="E78" i="71" s="1"/>
  <c r="D80" i="71"/>
  <c r="C87" i="71"/>
  <c r="F28" i="71"/>
  <c r="F27" i="71" s="1"/>
  <c r="F26" i="71" s="1"/>
  <c r="AB28" i="71"/>
  <c r="AA28" i="71"/>
  <c r="O67" i="71"/>
  <c r="D67" i="71"/>
  <c r="C64" i="71"/>
  <c r="D64" i="71" s="1"/>
  <c r="D87" i="71"/>
  <c r="C86" i="71"/>
  <c r="D86" i="71" s="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AA18" i="35"/>
  <c r="C18" i="35"/>
  <c r="Q21" i="37"/>
  <c r="Z21" i="37" s="1"/>
  <c r="D77" i="37"/>
  <c r="E77" i="37" s="1"/>
  <c r="C21" i="37"/>
  <c r="Q21" i="34"/>
  <c r="Z21" i="34" s="1"/>
  <c r="D84" i="34"/>
  <c r="E84" i="34"/>
  <c r="F21" i="34"/>
  <c r="AA21" i="34" s="1"/>
  <c r="C21" i="34"/>
  <c r="Q21" i="33"/>
  <c r="Z21" i="33" s="1"/>
  <c r="D83" i="33"/>
  <c r="E83" i="33" s="1"/>
  <c r="F83" i="33" s="1"/>
  <c r="G83" i="33" s="1"/>
  <c r="C21" i="33"/>
  <c r="C21" i="21"/>
  <c r="Q21" i="21"/>
  <c r="Z21" i="21" s="1"/>
  <c r="D83" i="21"/>
  <c r="F21" i="21"/>
  <c r="D81" i="21"/>
  <c r="H19" i="21" s="1"/>
  <c r="G20" i="20"/>
  <c r="C25" i="40" s="1"/>
  <c r="C22" i="20"/>
  <c r="B100" i="43" s="1"/>
  <c r="C29" i="39"/>
  <c r="S25" i="40"/>
  <c r="S18" i="36"/>
  <c r="F94" i="40"/>
  <c r="G94" i="40" s="1"/>
  <c r="H25" i="40"/>
  <c r="AB25" i="40" s="1"/>
  <c r="J25" i="40"/>
  <c r="W25" i="40" s="1"/>
  <c r="H29" i="39"/>
  <c r="AB29" i="39" s="1"/>
  <c r="J29" i="39"/>
  <c r="AC29" i="39" s="1"/>
  <c r="J18" i="36"/>
  <c r="AC18" i="36" s="1"/>
  <c r="H18" i="35"/>
  <c r="AB18" i="35" s="1"/>
  <c r="J18" i="35"/>
  <c r="W18" i="35" s="1"/>
  <c r="F77" i="37"/>
  <c r="G77" i="37" s="1"/>
  <c r="H21" i="37"/>
  <c r="F21" i="37"/>
  <c r="AA21" i="37" s="1"/>
  <c r="F84" i="34"/>
  <c r="H21" i="34"/>
  <c r="AB21" i="34" s="1"/>
  <c r="H21" i="33"/>
  <c r="U21" i="33" s="1"/>
  <c r="F21" i="33"/>
  <c r="AA21" i="33" s="1"/>
  <c r="E83" i="21"/>
  <c r="F83" i="21" s="1"/>
  <c r="G83" i="21" s="1"/>
  <c r="H1" i="69"/>
  <c r="U25" i="40"/>
  <c r="U29" i="39"/>
  <c r="W29" i="39"/>
  <c r="W18" i="36"/>
  <c r="AB21" i="37"/>
  <c r="U21" i="37"/>
  <c r="S21" i="37"/>
  <c r="AB21" i="33"/>
  <c r="U18" i="35"/>
  <c r="AC18" i="35"/>
  <c r="J21" i="37"/>
  <c r="AC21" i="37" s="1"/>
  <c r="G84" i="34"/>
  <c r="J21" i="34"/>
  <c r="W21" i="34" s="1"/>
  <c r="J21" i="33"/>
  <c r="H21" i="21"/>
  <c r="U21" i="21" s="1"/>
  <c r="F38" i="69"/>
  <c r="E37" i="69"/>
  <c r="F36" i="69"/>
  <c r="F35" i="69"/>
  <c r="F21" i="69"/>
  <c r="F40" i="69" s="1"/>
  <c r="F20" i="69"/>
  <c r="F39" i="69" s="1"/>
  <c r="E10" i="69"/>
  <c r="E9" i="69"/>
  <c r="C7" i="69"/>
  <c r="W21" i="37"/>
  <c r="AC21" i="33"/>
  <c r="W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L28" i="3"/>
  <c r="BK28" i="3"/>
  <c r="BJ28" i="3"/>
  <c r="BI28" i="3"/>
  <c r="BH28" i="3"/>
  <c r="BG28" i="3"/>
  <c r="BF28" i="3"/>
  <c r="BE28" i="3"/>
  <c r="BD28" i="3"/>
  <c r="BA28" i="3" s="1"/>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A293" i="3" s="1"/>
  <c r="AZ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A449" i="3" s="1"/>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L447" i="3" s="1"/>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s="1"/>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c r="I99" i="37" s="1"/>
  <c r="J99" i="37" s="1"/>
  <c r="K99" i="37" s="1"/>
  <c r="L99" i="37" s="1"/>
  <c r="M99" i="37" s="1"/>
  <c r="H42" i="34"/>
  <c r="J42" i="34"/>
  <c r="W42" i="34"/>
  <c r="F42" i="34"/>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J26" i="37"/>
  <c r="AC26" i="37" s="1"/>
  <c r="Q25" i="37"/>
  <c r="Z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B95" i="36"/>
  <c r="H34" i="36"/>
  <c r="D83" i="36"/>
  <c r="E83" i="36"/>
  <c r="F83" i="36" s="1"/>
  <c r="G83" i="36" s="1"/>
  <c r="H83" i="36" s="1"/>
  <c r="I83" i="36"/>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c r="D62" i="36"/>
  <c r="E62" i="36"/>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s="1"/>
  <c r="Q26" i="36"/>
  <c r="Z26" i="36" s="1"/>
  <c r="H26" i="36"/>
  <c r="Q25" i="36"/>
  <c r="Z25" i="36"/>
  <c r="Q24" i="36"/>
  <c r="Z24" i="36" s="1"/>
  <c r="H24" i="36"/>
  <c r="Q23" i="36"/>
  <c r="Z23" i="36" s="1"/>
  <c r="F23" i="36"/>
  <c r="AA23" i="36" s="1"/>
  <c r="Q22" i="36"/>
  <c r="Z22" i="36" s="1"/>
  <c r="J22" i="36"/>
  <c r="AC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c r="AB36" i="35"/>
  <c r="B99" i="35"/>
  <c r="B97" i="35"/>
  <c r="F34" i="35" s="1"/>
  <c r="AA34" i="35" s="1"/>
  <c r="B77" i="35"/>
  <c r="B75" i="35"/>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c r="G94" i="35" s="1"/>
  <c r="H94" i="35"/>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c r="J34" i="35"/>
  <c r="AC34" i="35" s="1"/>
  <c r="H34" i="35"/>
  <c r="Q33" i="35"/>
  <c r="Z33" i="35"/>
  <c r="Q32" i="35"/>
  <c r="Z32" i="35" s="1"/>
  <c r="H32" i="35"/>
  <c r="AB32" i="35" s="1"/>
  <c r="F32" i="35"/>
  <c r="AA32" i="35" s="1"/>
  <c r="Q31" i="35"/>
  <c r="Z31" i="35" s="1"/>
  <c r="AC31" i="35"/>
  <c r="AB31" i="35"/>
  <c r="Q30" i="35"/>
  <c r="Z30" i="35"/>
  <c r="Q29" i="35"/>
  <c r="Z29" i="35" s="1"/>
  <c r="Q28" i="35"/>
  <c r="Z28" i="35"/>
  <c r="J28" i="35"/>
  <c r="AC28" i="35" s="1"/>
  <c r="H28" i="35"/>
  <c r="AB28" i="35"/>
  <c r="F28" i="35"/>
  <c r="AA28" i="35" s="1"/>
  <c r="Q27" i="35"/>
  <c r="Z27" i="35" s="1"/>
  <c r="Q26" i="35"/>
  <c r="Z26" i="35" s="1"/>
  <c r="Q25" i="35"/>
  <c r="Z25" i="35"/>
  <c r="Q24" i="35"/>
  <c r="Z24" i="35" s="1"/>
  <c r="Q23" i="35"/>
  <c r="Z23" i="35"/>
  <c r="J23" i="35"/>
  <c r="AC23" i="35" s="1"/>
  <c r="Q22" i="35"/>
  <c r="Z22" i="35"/>
  <c r="Q20" i="35"/>
  <c r="Z20" i="35" s="1"/>
  <c r="Q16" i="35"/>
  <c r="Z16" i="35" s="1"/>
  <c r="Q14" i="35"/>
  <c r="Z14" i="35" s="1"/>
  <c r="Q13" i="35"/>
  <c r="Z13" i="35"/>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B40" i="33" s="1"/>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E77" i="21" s="1"/>
  <c r="F77" i="21" s="1"/>
  <c r="G77" i="21" s="1"/>
  <c r="B130" i="21"/>
  <c r="J46" i="21" s="1"/>
  <c r="W46" i="21" s="1"/>
  <c r="B128" i="21"/>
  <c r="J45" i="21" s="1"/>
  <c r="W45" i="21" s="1"/>
  <c r="B126" i="21"/>
  <c r="B98" i="21"/>
  <c r="H31" i="21" s="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H43" i="21"/>
  <c r="AB43" i="21" s="1"/>
  <c r="F38" i="21"/>
  <c r="S38" i="21" s="1"/>
  <c r="F39" i="21"/>
  <c r="AA39" i="21" s="1"/>
  <c r="J40" i="21"/>
  <c r="W40" i="21" s="1"/>
  <c r="H35" i="21"/>
  <c r="J8" i="21"/>
  <c r="AC8" i="21" s="1"/>
  <c r="H8" i="21"/>
  <c r="U8" i="21" s="1"/>
  <c r="H10" i="21"/>
  <c r="AB10" i="21" s="1"/>
  <c r="H39" i="21"/>
  <c r="U39" i="21" s="1"/>
  <c r="J34" i="21"/>
  <c r="W34" i="21" s="1"/>
  <c r="F35" i="21"/>
  <c r="AA35" i="21" s="1"/>
  <c r="J10" i="21"/>
  <c r="AC10" i="21" s="1"/>
  <c r="F45" i="39"/>
  <c r="S45" i="39" s="1"/>
  <c r="J44" i="39"/>
  <c r="AC44" i="39" s="1"/>
  <c r="F36" i="39"/>
  <c r="S36" i="39" s="1"/>
  <c r="H36" i="39"/>
  <c r="J35" i="39"/>
  <c r="AC35" i="39" s="1"/>
  <c r="F35" i="39"/>
  <c r="AA35" i="39" s="1"/>
  <c r="J36" i="39"/>
  <c r="AC36" i="39" s="1"/>
  <c r="U9" i="39"/>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U31" i="35"/>
  <c r="W34" i="35"/>
  <c r="W22" i="35"/>
  <c r="S31" i="35"/>
  <c r="F36" i="34"/>
  <c r="J35" i="34"/>
  <c r="U34" i="34"/>
  <c r="H39" i="33"/>
  <c r="AB39" i="33"/>
  <c r="U33" i="33"/>
  <c r="U35" i="33"/>
  <c r="W39" i="33"/>
  <c r="H39" i="37"/>
  <c r="F11" i="40"/>
  <c r="AA11" i="40"/>
  <c r="H11" i="40"/>
  <c r="AB11" i="40" s="1"/>
  <c r="W8" i="40"/>
  <c r="AB39" i="40"/>
  <c r="AA9" i="40"/>
  <c r="AC9" i="40"/>
  <c r="U9" i="40"/>
  <c r="S34" i="40"/>
  <c r="U34" i="40"/>
  <c r="F42" i="39"/>
  <c r="AA42" i="39" s="1"/>
  <c r="F41" i="39"/>
  <c r="S41" i="39" s="1"/>
  <c r="H40" i="39"/>
  <c r="AB40" i="39" s="1"/>
  <c r="H39" i="39"/>
  <c r="U39" i="39" s="1"/>
  <c r="S38" i="39"/>
  <c r="S34" i="39"/>
  <c r="H34" i="39"/>
  <c r="U34" i="39" s="1"/>
  <c r="H31" i="39"/>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C25" i="39"/>
  <c r="C27" i="39"/>
  <c r="C21" i="39"/>
  <c r="H11" i="39"/>
  <c r="S40" i="39"/>
  <c r="C15"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c r="H14" i="35"/>
  <c r="AB14" i="35" s="1"/>
  <c r="J29" i="35"/>
  <c r="H33" i="35"/>
  <c r="U33" i="35" s="1"/>
  <c r="AB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c r="H36" i="34"/>
  <c r="U36" i="34" s="1"/>
  <c r="F37" i="34"/>
  <c r="AA37" i="34" s="1"/>
  <c r="S35" i="34"/>
  <c r="F28" i="34"/>
  <c r="AA28" i="34" s="1"/>
  <c r="F25" i="34"/>
  <c r="S25" i="34" s="1"/>
  <c r="H23" i="34"/>
  <c r="U23" i="34" s="1"/>
  <c r="J23" i="34"/>
  <c r="F19" i="34"/>
  <c r="H17" i="34"/>
  <c r="F15" i="34"/>
  <c r="AA15" i="34" s="1"/>
  <c r="J15" i="34"/>
  <c r="W15" i="34" s="1"/>
  <c r="H15" i="34"/>
  <c r="W8"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c r="H11" i="33"/>
  <c r="AB11" i="33" s="1"/>
  <c r="F28" i="40"/>
  <c r="AA28" i="40"/>
  <c r="AA29" i="35"/>
  <c r="AA42" i="34"/>
  <c r="S42" i="34"/>
  <c r="AC38" i="34"/>
  <c r="AA38" i="34"/>
  <c r="J37" i="34"/>
  <c r="AC37" i="34" s="1"/>
  <c r="J11" i="33"/>
  <c r="W11" i="33" s="1"/>
  <c r="S28" i="34"/>
  <c r="U23" i="40"/>
  <c r="J44" i="34"/>
  <c r="W44" i="34" s="1"/>
  <c r="F44" i="34"/>
  <c r="AA44" i="34" s="1"/>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c r="F28" i="36"/>
  <c r="AA28" i="36" s="1"/>
  <c r="J13" i="21"/>
  <c r="AC13" i="21" s="1"/>
  <c r="J31" i="21"/>
  <c r="AC31" i="21" s="1"/>
  <c r="F31" i="21"/>
  <c r="S31" i="21" s="1"/>
  <c r="F45" i="21"/>
  <c r="AA45" i="21" s="1"/>
  <c r="F27" i="33"/>
  <c r="AA27" i="33" s="1"/>
  <c r="J13" i="33"/>
  <c r="H13" i="33"/>
  <c r="U13" i="33" s="1"/>
  <c r="F13" i="33"/>
  <c r="S13" i="33" s="1"/>
  <c r="J29" i="33"/>
  <c r="W29" i="33" s="1"/>
  <c r="AC29" i="33"/>
  <c r="H29" i="33"/>
  <c r="U29" i="33" s="1"/>
  <c r="F29" i="33"/>
  <c r="S29" i="33" s="1"/>
  <c r="J31" i="33"/>
  <c r="H31" i="33"/>
  <c r="AB31" i="33" s="1"/>
  <c r="F31" i="33"/>
  <c r="H45" i="33"/>
  <c r="U45" i="33" s="1"/>
  <c r="J45" i="33"/>
  <c r="F45" i="33"/>
  <c r="J14" i="34"/>
  <c r="W14" i="34" s="1"/>
  <c r="F14" i="34"/>
  <c r="S14" i="34" s="1"/>
  <c r="H14" i="34"/>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J11" i="36"/>
  <c r="AC11" i="36" s="1"/>
  <c r="H11" i="36"/>
  <c r="U11" i="36" s="1"/>
  <c r="F11" i="36"/>
  <c r="H13" i="36"/>
  <c r="AB13" i="36" s="1"/>
  <c r="J13" i="36"/>
  <c r="AC13" i="36" s="1"/>
  <c r="F13" i="36"/>
  <c r="S13" i="36" s="1"/>
  <c r="E89" i="37"/>
  <c r="F89" i="37"/>
  <c r="G89" i="37" s="1"/>
  <c r="H89" i="37" s="1"/>
  <c r="I89" i="37" s="1"/>
  <c r="J89" i="37" s="1"/>
  <c r="K89" i="37" s="1"/>
  <c r="L89" i="37" s="1"/>
  <c r="M89" i="37" s="1"/>
  <c r="J29" i="37"/>
  <c r="F29" i="37"/>
  <c r="S29" i="37" s="1"/>
  <c r="H36" i="37"/>
  <c r="AB36" i="37" s="1"/>
  <c r="F107" i="37"/>
  <c r="J37" i="37"/>
  <c r="AC37" i="37" s="1"/>
  <c r="H37" i="37"/>
  <c r="U37" i="37" s="1"/>
  <c r="H40" i="37"/>
  <c r="J40" i="37"/>
  <c r="F40" i="37"/>
  <c r="AA40" i="37"/>
  <c r="H14" i="33"/>
  <c r="F14" i="33"/>
  <c r="J14" i="33"/>
  <c r="H30" i="33"/>
  <c r="F30" i="33"/>
  <c r="J30" i="33"/>
  <c r="H44" i="33"/>
  <c r="J44" i="33"/>
  <c r="AC44" i="33" s="1"/>
  <c r="F44" i="33"/>
  <c r="S44" i="33" s="1"/>
  <c r="J46" i="33"/>
  <c r="AC46" i="33" s="1"/>
  <c r="F46" i="33"/>
  <c r="AA46" i="33"/>
  <c r="H46" i="33"/>
  <c r="H13" i="34"/>
  <c r="U13" i="34" s="1"/>
  <c r="J13" i="34"/>
  <c r="W13" i="34" s="1"/>
  <c r="F13" i="34"/>
  <c r="AA13" i="34" s="1"/>
  <c r="J29" i="34"/>
  <c r="W29" i="34" s="1"/>
  <c r="F29" i="34"/>
  <c r="S29" i="34" s="1"/>
  <c r="H29" i="34"/>
  <c r="J31" i="34"/>
  <c r="H31" i="34"/>
  <c r="AB31" i="34" s="1"/>
  <c r="F31" i="34"/>
  <c r="S31" i="34" s="1"/>
  <c r="H45" i="34"/>
  <c r="J45" i="34"/>
  <c r="W45" i="34" s="1"/>
  <c r="F45" i="34"/>
  <c r="S45" i="34" s="1"/>
  <c r="H47" i="34"/>
  <c r="U47" i="34" s="1"/>
  <c r="F47" i="34"/>
  <c r="J47" i="34"/>
  <c r="F13" i="35"/>
  <c r="S13" i="35"/>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c r="F33" i="40"/>
  <c r="H33" i="40"/>
  <c r="U33" i="40"/>
  <c r="J35" i="40"/>
  <c r="AC35" i="40" s="1"/>
  <c r="J37" i="40"/>
  <c r="AC37" i="40" s="1"/>
  <c r="H13" i="40"/>
  <c r="J13" i="40"/>
  <c r="W13" i="40"/>
  <c r="F13" i="40"/>
  <c r="AA13" i="40" s="1"/>
  <c r="F14" i="37"/>
  <c r="S14" i="37"/>
  <c r="F27" i="37"/>
  <c r="AA27" i="37" s="1"/>
  <c r="F13" i="39"/>
  <c r="J13" i="39"/>
  <c r="W13" i="39" s="1"/>
  <c r="H13" i="39"/>
  <c r="AB13" i="39" s="1"/>
  <c r="H14" i="40"/>
  <c r="AB14" i="40" s="1"/>
  <c r="J14" i="40"/>
  <c r="W14" i="40" s="1"/>
  <c r="F14" i="40"/>
  <c r="AA14" i="40" s="1"/>
  <c r="J14" i="37"/>
  <c r="AC14" i="37"/>
  <c r="J27" i="37"/>
  <c r="AC27" i="37" s="1"/>
  <c r="AA44" i="33"/>
  <c r="AA13" i="35"/>
  <c r="U31" i="34"/>
  <c r="J36" i="37"/>
  <c r="AC36" i="37" s="1"/>
  <c r="J10" i="36"/>
  <c r="AC10" i="36" s="1"/>
  <c r="AB26" i="33"/>
  <c r="AA14" i="37"/>
  <c r="AC30" i="34"/>
  <c r="AA14" i="34"/>
  <c r="AB45" i="33"/>
  <c r="U31" i="33"/>
  <c r="S44" i="34"/>
  <c r="BA586" i="3"/>
  <c r="F15" i="21"/>
  <c r="S15" i="21" s="1"/>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AZ560" i="3" s="1"/>
  <c r="BL554" i="3"/>
  <c r="BL546" i="3"/>
  <c r="AZ546" i="3" s="1"/>
  <c r="BL538" i="3"/>
  <c r="BL534" i="3"/>
  <c r="BL530" i="3"/>
  <c r="BL512" i="3"/>
  <c r="BL582" i="3"/>
  <c r="BL578" i="3"/>
  <c r="BL574" i="3"/>
  <c r="BL570" i="3"/>
  <c r="AZ570" i="3" s="1"/>
  <c r="BL562" i="3"/>
  <c r="AZ562" i="3" s="1"/>
  <c r="BL556" i="3"/>
  <c r="BL552" i="3"/>
  <c r="BL540" i="3"/>
  <c r="BL536" i="3"/>
  <c r="AZ536" i="3" s="1"/>
  <c r="G533" i="3"/>
  <c r="G529" i="3"/>
  <c r="BL528" i="3"/>
  <c r="G525" i="3"/>
  <c r="BL500" i="3"/>
  <c r="BA584" i="3"/>
  <c r="BA582" i="3"/>
  <c r="AZ582" i="3" s="1"/>
  <c r="BA580" i="3"/>
  <c r="AZ580" i="3" s="1"/>
  <c r="BA578" i="3"/>
  <c r="AZ578" i="3" s="1"/>
  <c r="BA576" i="3"/>
  <c r="BA574" i="3"/>
  <c r="AZ574" i="3" s="1"/>
  <c r="BA572" i="3"/>
  <c r="BA570" i="3"/>
  <c r="BA566" i="3"/>
  <c r="BA564" i="3"/>
  <c r="BA562" i="3"/>
  <c r="BA560" i="3"/>
  <c r="BA556" i="3"/>
  <c r="AZ556" i="3" s="1"/>
  <c r="BA552" i="3"/>
  <c r="AZ552" i="3" s="1"/>
  <c r="BA546" i="3"/>
  <c r="BA544" i="3"/>
  <c r="BA540" i="3"/>
  <c r="BA536" i="3"/>
  <c r="BA532" i="3"/>
  <c r="BA528" i="3"/>
  <c r="AZ528" i="3" s="1"/>
  <c r="BA526" i="3"/>
  <c r="BA518" i="3"/>
  <c r="BA506" i="3"/>
  <c r="BA583" i="3"/>
  <c r="BA581" i="3"/>
  <c r="AZ581" i="3" s="1"/>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c r="BQ579" i="3"/>
  <c r="BL579" i="3" s="1"/>
  <c r="BQ577" i="3"/>
  <c r="BL577" i="3" s="1"/>
  <c r="BQ575" i="3"/>
  <c r="BL575" i="3" s="1"/>
  <c r="BQ573" i="3"/>
  <c r="BL573" i="3" s="1"/>
  <c r="AZ573" i="3" s="1"/>
  <c r="BQ571" i="3"/>
  <c r="BL571" i="3" s="1"/>
  <c r="BQ569" i="3"/>
  <c r="BQ567" i="3"/>
  <c r="BL567" i="3"/>
  <c r="BQ565" i="3"/>
  <c r="BQ563" i="3"/>
  <c r="BL563" i="3" s="1"/>
  <c r="AZ563" i="3" s="1"/>
  <c r="BQ561" i="3"/>
  <c r="BL561" i="3"/>
  <c r="BQ559" i="3"/>
  <c r="G559" i="3"/>
  <c r="G555" i="3"/>
  <c r="G553" i="3"/>
  <c r="G549" i="3"/>
  <c r="G547" i="3"/>
  <c r="G545" i="3"/>
  <c r="G541" i="3"/>
  <c r="G539" i="3"/>
  <c r="G537" i="3"/>
  <c r="BQ555" i="3"/>
  <c r="BL555" i="3" s="1"/>
  <c r="BQ553" i="3"/>
  <c r="BQ551" i="3"/>
  <c r="BL551" i="3" s="1"/>
  <c r="BQ549" i="3"/>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5"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c r="H31" i="40"/>
  <c r="U31" i="40" s="1"/>
  <c r="F32" i="40"/>
  <c r="S32" i="40" s="1"/>
  <c r="H32" i="40"/>
  <c r="J36" i="40"/>
  <c r="W36" i="40"/>
  <c r="AA41" i="34"/>
  <c r="H19" i="37"/>
  <c r="AB19" i="37" s="1"/>
  <c r="H42" i="33"/>
  <c r="AB42" i="33" s="1"/>
  <c r="G125" i="33"/>
  <c r="J43" i="33"/>
  <c r="AC43" i="33"/>
  <c r="S28" i="31"/>
  <c r="S27" i="31"/>
  <c r="S26" i="31"/>
  <c r="U35" i="35"/>
  <c r="AA12" i="35"/>
  <c r="W23" i="35"/>
  <c r="W14" i="37"/>
  <c r="W26" i="37"/>
  <c r="AB13" i="34"/>
  <c r="W44" i="33"/>
  <c r="AC46" i="21"/>
  <c r="F43" i="33"/>
  <c r="AA43" i="33" s="1"/>
  <c r="AC15" i="34"/>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AA11" i="39"/>
  <c r="S11" i="39"/>
  <c r="G4" i="4"/>
  <c r="I4" i="4"/>
  <c r="F61" i="43"/>
  <c r="H64" i="43" s="1"/>
  <c r="AZ28" i="3"/>
  <c r="BL549" i="3"/>
  <c r="G546" i="3"/>
  <c r="G524" i="3"/>
  <c r="G303" i="3"/>
  <c r="BL304" i="3"/>
  <c r="G305" i="3"/>
  <c r="BL306" i="3"/>
  <c r="BA308" i="3"/>
  <c r="AZ308" i="3" s="1"/>
  <c r="BA309" i="3"/>
  <c r="BL309" i="3"/>
  <c r="G310" i="3"/>
  <c r="BA311" i="3"/>
  <c r="G319" i="3"/>
  <c r="BL320" i="3"/>
  <c r="G321" i="3"/>
  <c r="BL322" i="3"/>
  <c r="AZ322" i="3" s="1"/>
  <c r="BA324" i="3"/>
  <c r="BA325" i="3"/>
  <c r="AZ325" i="3" s="1"/>
  <c r="BL325" i="3"/>
  <c r="G326" i="3"/>
  <c r="BA327" i="3"/>
  <c r="G335" i="3"/>
  <c r="BL336" i="3"/>
  <c r="G337" i="3"/>
  <c r="BL338" i="3"/>
  <c r="BA340" i="3"/>
  <c r="BA341" i="3"/>
  <c r="AZ341" i="3" s="1"/>
  <c r="BL341" i="3"/>
  <c r="BA343" i="3"/>
  <c r="BA345" i="3"/>
  <c r="AZ345" i="3" s="1"/>
  <c r="BL355" i="3"/>
  <c r="G356" i="3"/>
  <c r="BL357" i="3"/>
  <c r="BA359" i="3"/>
  <c r="AZ359" i="3" s="1"/>
  <c r="BA360" i="3"/>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G125" i="3"/>
  <c r="BA127" i="3"/>
  <c r="AZ127" i="3" s="1"/>
  <c r="BL128" i="3"/>
  <c r="G129" i="3"/>
  <c r="BA131" i="3"/>
  <c r="BL132" i="3"/>
  <c r="G133" i="3"/>
  <c r="BA135" i="3"/>
  <c r="BL136" i="3"/>
  <c r="AZ136" i="3" s="1"/>
  <c r="G137" i="3"/>
  <c r="BA139" i="3"/>
  <c r="BL140" i="3"/>
  <c r="G141" i="3"/>
  <c r="BA143" i="3"/>
  <c r="BL144" i="3"/>
  <c r="AZ144" i="3" s="1"/>
  <c r="G145" i="3"/>
  <c r="BA147" i="3"/>
  <c r="AZ147" i="3" s="1"/>
  <c r="BL148" i="3"/>
  <c r="G149" i="3"/>
  <c r="BA151" i="3"/>
  <c r="AZ151" i="3" s="1"/>
  <c r="BL152" i="3"/>
  <c r="G153" i="3"/>
  <c r="BA155" i="3"/>
  <c r="BL156" i="3"/>
  <c r="G157" i="3"/>
  <c r="BA159" i="3"/>
  <c r="BL160" i="3"/>
  <c r="G161" i="3"/>
  <c r="BA163" i="3"/>
  <c r="BL164" i="3"/>
  <c r="AZ164" i="3"/>
  <c r="G165" i="3"/>
  <c r="BA167" i="3"/>
  <c r="BL168" i="3"/>
  <c r="G169" i="3"/>
  <c r="BA171" i="3"/>
  <c r="AZ171" i="3" s="1"/>
  <c r="BL172" i="3"/>
  <c r="G173" i="3"/>
  <c r="BA175" i="3"/>
  <c r="BL176" i="3"/>
  <c r="AZ176" i="3" s="1"/>
  <c r="G177" i="3"/>
  <c r="BA179" i="3"/>
  <c r="AZ179" i="3" s="1"/>
  <c r="BL180" i="3"/>
  <c r="G181" i="3"/>
  <c r="BA183" i="3"/>
  <c r="AZ183" i="3" s="1"/>
  <c r="BL184" i="3"/>
  <c r="G185" i="3"/>
  <c r="BA187" i="3"/>
  <c r="BL188" i="3"/>
  <c r="AZ188" i="3" s="1"/>
  <c r="G189" i="3"/>
  <c r="BA191" i="3"/>
  <c r="BL192" i="3"/>
  <c r="G193" i="3"/>
  <c r="BA195" i="3"/>
  <c r="BL196" i="3"/>
  <c r="G197" i="3"/>
  <c r="BA199" i="3"/>
  <c r="BL200" i="3"/>
  <c r="AZ200" i="3" s="1"/>
  <c r="G201" i="3"/>
  <c r="BA203" i="3"/>
  <c r="BL204" i="3"/>
  <c r="AZ128"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AZ334" i="3" s="1"/>
  <c r="BA336" i="3"/>
  <c r="AZ336" i="3" s="1"/>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86" i="3"/>
  <c r="AZ194" i="3"/>
  <c r="BA16" i="3"/>
  <c r="BL303" i="3"/>
  <c r="G304" i="3"/>
  <c r="BA306" i="3"/>
  <c r="AZ306" i="3"/>
  <c r="BL307" i="3"/>
  <c r="G308" i="3"/>
  <c r="BA310" i="3"/>
  <c r="AZ310" i="3" s="1"/>
  <c r="BL311" i="3"/>
  <c r="G312" i="3"/>
  <c r="BA314" i="3"/>
  <c r="BL315" i="3"/>
  <c r="G316" i="3"/>
  <c r="BA318" i="3"/>
  <c r="AZ318" i="3"/>
  <c r="BL319" i="3"/>
  <c r="AZ319" i="3" s="1"/>
  <c r="G320" i="3"/>
  <c r="BA322" i="3"/>
  <c r="BL323" i="3"/>
  <c r="G324" i="3"/>
  <c r="BA326" i="3"/>
  <c r="AZ326" i="3" s="1"/>
  <c r="BL327" i="3"/>
  <c r="AZ327" i="3" s="1"/>
  <c r="G328" i="3"/>
  <c r="BA330" i="3"/>
  <c r="AZ330" i="3" s="1"/>
  <c r="BL331" i="3"/>
  <c r="G332" i="3"/>
  <c r="BA334" i="3"/>
  <c r="BL335" i="3"/>
  <c r="G336" i="3"/>
  <c r="BA338" i="3"/>
  <c r="AZ338" i="3" s="1"/>
  <c r="BL339" i="3"/>
  <c r="AZ339" i="3" s="1"/>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370" i="3"/>
  <c r="BA379" i="3"/>
  <c r="BL380" i="3"/>
  <c r="G381" i="3"/>
  <c r="BA383" i="3"/>
  <c r="BL384" i="3"/>
  <c r="G385" i="3"/>
  <c r="BA387" i="3"/>
  <c r="BL388" i="3"/>
  <c r="G389" i="3"/>
  <c r="BA391" i="3"/>
  <c r="BL392" i="3"/>
  <c r="G393" i="3"/>
  <c r="BD5" i="3"/>
  <c r="AZ309" i="3"/>
  <c r="AZ549" i="3"/>
  <c r="G548" i="3"/>
  <c r="G538" i="3"/>
  <c r="G520" i="3"/>
  <c r="AZ343" i="3"/>
  <c r="G17" i="3"/>
  <c r="BA17" i="3"/>
  <c r="AZ360" i="3"/>
  <c r="BA15" i="3"/>
  <c r="AZ15" i="3"/>
  <c r="BR5" i="3"/>
  <c r="AZ384" i="3"/>
  <c r="AZ390" i="3"/>
  <c r="U36" i="40"/>
  <c r="F83" i="43"/>
  <c r="H85" i="43" s="1"/>
  <c r="F50" i="43"/>
  <c r="H54" i="43" s="1"/>
  <c r="F72" i="43"/>
  <c r="H75" i="43" s="1"/>
  <c r="U17" i="39"/>
  <c r="S14" i="35"/>
  <c r="U43" i="21"/>
  <c r="G8" i="1"/>
  <c r="G10" i="1"/>
  <c r="AC44" i="34"/>
  <c r="S15" i="37"/>
  <c r="U13" i="37"/>
  <c r="J37" i="33"/>
  <c r="W37" i="33"/>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F43" i="34"/>
  <c r="AA43" i="34" s="1"/>
  <c r="H44" i="34"/>
  <c r="AC38" i="39"/>
  <c r="F39" i="39"/>
  <c r="S39" i="39" s="1"/>
  <c r="J39" i="39"/>
  <c r="AC39" i="39" s="1"/>
  <c r="E96" i="39"/>
  <c r="F96" i="39" s="1"/>
  <c r="G96" i="39" s="1"/>
  <c r="C40" i="11"/>
  <c r="AZ33" i="3"/>
  <c r="AZ61" i="3"/>
  <c r="AZ72" i="3"/>
  <c r="AZ82" i="3"/>
  <c r="AZ86" i="3"/>
  <c r="AZ94" i="3"/>
  <c r="F23" i="39"/>
  <c r="AA23" i="39"/>
  <c r="H27" i="36"/>
  <c r="U27" i="36" s="1"/>
  <c r="F27" i="36"/>
  <c r="AA27" i="36" s="1"/>
  <c r="H33" i="34"/>
  <c r="U33" i="34"/>
  <c r="F32" i="37"/>
  <c r="AA32" i="37"/>
  <c r="F20" i="36"/>
  <c r="AA20" i="36" s="1"/>
  <c r="J33" i="34"/>
  <c r="H23" i="39"/>
  <c r="U23" i="39" s="1"/>
  <c r="D48" i="9"/>
  <c r="M52" i="9" s="1"/>
  <c r="K9" i="1"/>
  <c r="M9" i="1" s="1"/>
  <c r="D93" i="9"/>
  <c r="K6" i="1"/>
  <c r="AC26" i="33"/>
  <c r="W26" i="33"/>
  <c r="AB34" i="36"/>
  <c r="U34" i="36"/>
  <c r="AB33" i="36"/>
  <c r="U33" i="36"/>
  <c r="AC12" i="39"/>
  <c r="W12" i="39"/>
  <c r="W12" i="33"/>
  <c r="AC12" i="33"/>
  <c r="AA32" i="36"/>
  <c r="S32" i="36"/>
  <c r="AZ441" i="3"/>
  <c r="BL14" i="3"/>
  <c r="AC13" i="34"/>
  <c r="W28" i="37"/>
  <c r="S19" i="39"/>
  <c r="F12" i="33"/>
  <c r="H12" i="39"/>
  <c r="AB12" i="39" s="1"/>
  <c r="F39" i="40"/>
  <c r="AA39" i="40" s="1"/>
  <c r="BA14" i="3"/>
  <c r="AZ14" i="3" s="1"/>
  <c r="AZ297" i="3"/>
  <c r="AZ41" i="3"/>
  <c r="B12" i="1"/>
  <c r="E12" i="1" s="1"/>
  <c r="B10" i="1"/>
  <c r="AZ84" i="3"/>
  <c r="K12" i="1"/>
  <c r="M12" i="1" s="1"/>
  <c r="S13" i="1"/>
  <c r="AR13" i="1" s="1"/>
  <c r="R13" i="1"/>
  <c r="J51" i="67"/>
  <c r="C42" i="1"/>
  <c r="AA34" i="33"/>
  <c r="B41" i="1"/>
  <c r="AB37" i="40"/>
  <c r="AC36"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G94" i="39"/>
  <c r="H21" i="39"/>
  <c r="W19" i="39"/>
  <c r="U19" i="39"/>
  <c r="S17" i="39"/>
  <c r="S15" i="39"/>
  <c r="S9" i="39"/>
  <c r="U14" i="39"/>
  <c r="AC13" i="39"/>
  <c r="S23" i="36"/>
  <c r="U13" i="36"/>
  <c r="S33" i="36"/>
  <c r="AA26" i="36"/>
  <c r="AA22" i="36"/>
  <c r="W14" i="36"/>
  <c r="AB14" i="36"/>
  <c r="U22" i="36"/>
  <c r="S16" i="36"/>
  <c r="S24" i="36"/>
  <c r="AB20" i="36"/>
  <c r="U16" i="36"/>
  <c r="S23" i="35"/>
  <c r="U29" i="35"/>
  <c r="U28" i="35"/>
  <c r="AB27" i="35"/>
  <c r="U36" i="35"/>
  <c r="U32" i="35"/>
  <c r="AC30" i="35"/>
  <c r="S32" i="35"/>
  <c r="S28" i="35"/>
  <c r="AB16" i="35"/>
  <c r="S20" i="35"/>
  <c r="AC20" i="35"/>
  <c r="S22" i="35"/>
  <c r="U14" i="35"/>
  <c r="AA11" i="35"/>
  <c r="AC9" i="35"/>
  <c r="W9" i="35"/>
  <c r="AC12" i="35"/>
  <c r="W13" i="35"/>
  <c r="F9" i="35"/>
  <c r="S9" i="35" s="1"/>
  <c r="H9" i="35"/>
  <c r="U9" i="35" s="1"/>
  <c r="W27" i="37"/>
  <c r="U29" i="37"/>
  <c r="S32"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S13" i="34"/>
  <c r="H10" i="34"/>
  <c r="AB10" i="34" s="1"/>
  <c r="F11" i="34"/>
  <c r="S11" i="34" s="1"/>
  <c r="F70" i="34"/>
  <c r="W42" i="33"/>
  <c r="AA35" i="33"/>
  <c r="S27" i="33"/>
  <c r="S32" i="33"/>
  <c r="AB29" i="33"/>
  <c r="W38" i="33"/>
  <c r="H41" i="33"/>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H23" i="33"/>
  <c r="F81" i="33"/>
  <c r="G81" i="33" s="1"/>
  <c r="F19" i="33"/>
  <c r="S19" i="33" s="1"/>
  <c r="W19" i="33"/>
  <c r="J17" i="33"/>
  <c r="W17" i="33" s="1"/>
  <c r="F79" i="33"/>
  <c r="S15" i="33"/>
  <c r="W15" i="33"/>
  <c r="U9" i="33"/>
  <c r="J10" i="33"/>
  <c r="W10" i="33" s="1"/>
  <c r="H10" i="33"/>
  <c r="U10" i="33" s="1"/>
  <c r="AC11" i="33"/>
  <c r="W41" i="21"/>
  <c r="AC40" i="21"/>
  <c r="J15" i="21"/>
  <c r="AC15" i="21" s="1"/>
  <c r="W15" i="21"/>
  <c r="F23" i="21"/>
  <c r="AA23" i="21" s="1"/>
  <c r="E85" i="21"/>
  <c r="D120" i="9"/>
  <c r="D121" i="9" s="1"/>
  <c r="D7" i="52" s="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E7" i="21" s="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AA39" i="39"/>
  <c r="U42" i="39"/>
  <c r="U41" i="39"/>
  <c r="U13" i="39"/>
  <c r="AA13" i="39"/>
  <c r="S13" i="39"/>
  <c r="U43" i="39"/>
  <c r="AB43" i="39"/>
  <c r="AB11" i="39"/>
  <c r="U11" i="39"/>
  <c r="AA27" i="39"/>
  <c r="S27" i="39"/>
  <c r="W17" i="39"/>
  <c r="AC17" i="39"/>
  <c r="W31" i="39"/>
  <c r="AC31" i="39"/>
  <c r="S23" i="39"/>
  <c r="AA45" i="39"/>
  <c r="AB39" i="39"/>
  <c r="W34" i="39"/>
  <c r="U38" i="39"/>
  <c r="S8" i="39"/>
  <c r="AC25" i="36"/>
  <c r="W29" i="36"/>
  <c r="U25" i="36"/>
  <c r="AB28" i="36"/>
  <c r="AA13" i="36"/>
  <c r="W9" i="36"/>
  <c r="W22" i="36"/>
  <c r="W23" i="36"/>
  <c r="S9" i="36"/>
  <c r="AB20" i="35"/>
  <c r="AC25" i="35"/>
  <c r="U25" i="35"/>
  <c r="U24" i="35"/>
  <c r="W35" i="35"/>
  <c r="AA16" i="35"/>
  <c r="AA35" i="37"/>
  <c r="W36" i="37"/>
  <c r="S28" i="37"/>
  <c r="W32" i="37"/>
  <c r="S40" i="37"/>
  <c r="AB37" i="37"/>
  <c r="AC34" i="37"/>
  <c r="U19" i="37"/>
  <c r="AA29" i="37"/>
  <c r="U8" i="37"/>
  <c r="AB40" i="34"/>
  <c r="U19" i="34"/>
  <c r="W19" i="34"/>
  <c r="AB33" i="34"/>
  <c r="AC45" i="34"/>
  <c r="AA31" i="34"/>
  <c r="U25" i="34"/>
  <c r="AB36" i="34"/>
  <c r="AC14" i="34"/>
  <c r="AC32" i="34"/>
  <c r="AC29" i="34"/>
  <c r="W46" i="34"/>
  <c r="AC46" i="34"/>
  <c r="S32" i="34"/>
  <c r="AA32" i="34"/>
  <c r="U30" i="34"/>
  <c r="AB30" i="34"/>
  <c r="S37" i="34"/>
  <c r="U38" i="34"/>
  <c r="AC40" i="34"/>
  <c r="W40" i="34"/>
  <c r="AA19" i="34"/>
  <c r="S19" i="34"/>
  <c r="AA36" i="34"/>
  <c r="S36" i="34"/>
  <c r="AA8" i="34"/>
  <c r="S8" i="34"/>
  <c r="AA46" i="34"/>
  <c r="U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5" i="21"/>
  <c r="AB14" i="21"/>
  <c r="AB46" i="21"/>
  <c r="AB31" i="21"/>
  <c r="U31" i="21"/>
  <c r="H15" i="21"/>
  <c r="U15" i="21" s="1"/>
  <c r="S46" i="21"/>
  <c r="H45" i="21"/>
  <c r="U45" i="21" s="1"/>
  <c r="F13" i="21"/>
  <c r="S13" i="21" s="1"/>
  <c r="H9" i="21"/>
  <c r="AB9" i="21" s="1"/>
  <c r="J9" i="21"/>
  <c r="W9" i="21" s="1"/>
  <c r="J32" i="21"/>
  <c r="W32" i="21" s="1"/>
  <c r="K141" i="21"/>
  <c r="K144" i="21"/>
  <c r="K143" i="21"/>
  <c r="AC45" i="21"/>
  <c r="F10" i="21"/>
  <c r="AA10" i="21" s="1"/>
  <c r="K145" i="21"/>
  <c r="W25" i="21"/>
  <c r="AA15" i="21"/>
  <c r="C19" i="39"/>
  <c r="C15" i="40"/>
  <c r="C17" i="40"/>
  <c r="C23" i="40"/>
  <c r="C21" i="40"/>
  <c r="U30" i="40"/>
  <c r="B56" i="43"/>
  <c r="B67" i="43"/>
  <c r="B51" i="43"/>
  <c r="B54" i="43"/>
  <c r="B58" i="43"/>
  <c r="B62" i="43"/>
  <c r="B65" i="43"/>
  <c r="B69" i="43"/>
  <c r="D23" i="15"/>
  <c r="D22" i="15"/>
  <c r="E4" i="4"/>
  <c r="B5" i="62" s="1"/>
  <c r="B73" i="72" s="1"/>
  <c r="C4" i="4"/>
  <c r="S12" i="33"/>
  <c r="AA12" i="33"/>
  <c r="J32" i="39"/>
  <c r="H32" i="39"/>
  <c r="AB32" i="39" s="1"/>
  <c r="AA32" i="39"/>
  <c r="S32" i="39"/>
  <c r="AB21" i="39"/>
  <c r="U21" i="39"/>
  <c r="AA21"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AC27" i="33" s="1"/>
  <c r="U25" i="33"/>
  <c r="AB25" i="33"/>
  <c r="S25" i="33"/>
  <c r="J25" i="33"/>
  <c r="AC25" i="33" s="1"/>
  <c r="AB23" i="33"/>
  <c r="U23" i="33"/>
  <c r="F23" i="33"/>
  <c r="S23" i="33" s="1"/>
  <c r="G85" i="33"/>
  <c r="AC23" i="33"/>
  <c r="W23" i="33"/>
  <c r="AA19" i="33"/>
  <c r="H19" i="33"/>
  <c r="U19" i="33" s="1"/>
  <c r="G79" i="33"/>
  <c r="H17" i="33"/>
  <c r="U17" i="33" s="1"/>
  <c r="F17" i="33"/>
  <c r="S17" i="33" s="1"/>
  <c r="AC17" i="33"/>
  <c r="J23" i="21"/>
  <c r="W23" i="21" s="1"/>
  <c r="F85" i="21"/>
  <c r="G85" i="21" s="1"/>
  <c r="H23" i="21"/>
  <c r="U23" i="21" s="1"/>
  <c r="D6" i="52"/>
  <c r="AP7" i="1"/>
  <c r="AB45" i="21"/>
  <c r="U32" i="39"/>
  <c r="AC32" i="39"/>
  <c r="W32" i="39"/>
  <c r="AC19" i="37"/>
  <c r="J11" i="37"/>
  <c r="AC11" i="37" s="1"/>
  <c r="J11" i="34"/>
  <c r="W11" i="34" s="1"/>
  <c r="AB36" i="33"/>
  <c r="W27"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E21" i="71"/>
  <c r="E20" i="71" s="1"/>
  <c r="F43" i="67"/>
  <c r="M26" i="67"/>
  <c r="M6" i="15"/>
  <c r="E2" i="69"/>
  <c r="F5" i="73"/>
  <c r="L47" i="67"/>
  <c r="F3" i="73"/>
  <c r="M29" i="15"/>
  <c r="L48" i="15"/>
  <c r="F42" i="15"/>
  <c r="F42" i="67"/>
  <c r="AO13" i="1"/>
  <c r="F6" i="15"/>
  <c r="F43" i="88"/>
  <c r="M29" i="67"/>
  <c r="F6" i="67"/>
  <c r="M28" i="67"/>
  <c r="M9" i="67"/>
  <c r="F37" i="67"/>
  <c r="B9" i="76"/>
  <c r="M6" i="67"/>
  <c r="E12" i="76"/>
  <c r="F9" i="67"/>
  <c r="B13" i="76"/>
  <c r="M23" i="67"/>
  <c r="M26" i="15"/>
  <c r="F16" i="15"/>
  <c r="E9" i="76"/>
  <c r="F43" i="15"/>
  <c r="F20" i="31"/>
  <c r="F38" i="15"/>
  <c r="F4" i="73"/>
  <c r="D34" i="9"/>
  <c r="L47" i="15"/>
  <c r="E11" i="76"/>
  <c r="F7" i="73"/>
  <c r="M24" i="67"/>
  <c r="L48" i="88"/>
  <c r="D3" i="73"/>
  <c r="M8" i="67"/>
  <c r="M9" i="15"/>
  <c r="F36" i="15"/>
  <c r="F6" i="73"/>
  <c r="M22" i="15"/>
  <c r="F9" i="15"/>
  <c r="B10" i="76"/>
  <c r="C76" i="67"/>
  <c r="F40" i="15"/>
  <c r="F8" i="15"/>
  <c r="M23" i="15"/>
  <c r="B8" i="76"/>
  <c r="M28" i="15"/>
  <c r="F26" i="67"/>
  <c r="F37" i="15"/>
  <c r="E10" i="76"/>
  <c r="F7" i="15"/>
  <c r="D35" i="9"/>
  <c r="C76" i="15"/>
  <c r="F26" i="15"/>
  <c r="J15" i="15"/>
  <c r="M24" i="15"/>
  <c r="F7" i="67"/>
  <c r="F13" i="15"/>
  <c r="E13" i="76"/>
  <c r="E7" i="76"/>
  <c r="J15" i="67"/>
  <c r="F38" i="67"/>
  <c r="M22" i="67"/>
  <c r="F13" i="67"/>
  <c r="L48" i="67"/>
  <c r="F36" i="67"/>
  <c r="B7" i="76"/>
  <c r="E2" i="68"/>
  <c r="B12" i="76"/>
  <c r="M8" i="15"/>
  <c r="D7" i="73"/>
  <c r="B11" i="76"/>
  <c r="M29" i="88"/>
  <c r="F40" i="67"/>
  <c r="F16" i="67"/>
  <c r="F8" i="67"/>
  <c r="E8" i="76"/>
  <c r="D6" i="73"/>
  <c r="AC23" i="37" l="1"/>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AZ415" i="3" s="1"/>
  <c r="BA416" i="3"/>
  <c r="AZ416" i="3" s="1"/>
  <c r="BL417" i="3"/>
  <c r="AZ417" i="3" s="1"/>
  <c r="BA420" i="3"/>
  <c r="AZ420" i="3" s="1"/>
  <c r="BL422" i="3"/>
  <c r="AZ422" i="3" s="1"/>
  <c r="G429" i="3"/>
  <c r="BL429" i="3"/>
  <c r="BA433" i="3"/>
  <c r="AZ433" i="3" s="1"/>
  <c r="BL435" i="3"/>
  <c r="AZ435" i="3" s="1"/>
  <c r="BL439" i="3"/>
  <c r="BA446" i="3"/>
  <c r="AZ446" i="3" s="1"/>
  <c r="AZ447" i="3"/>
  <c r="BA452" i="3"/>
  <c r="AZ452" i="3" s="1"/>
  <c r="BA454" i="3"/>
  <c r="BA455" i="3"/>
  <c r="AZ455" i="3" s="1"/>
  <c r="BL458" i="3"/>
  <c r="AZ458" i="3" s="1"/>
  <c r="G468" i="3"/>
  <c r="BA474" i="3"/>
  <c r="BA481" i="3"/>
  <c r="BL489" i="3"/>
  <c r="G366" i="3"/>
  <c r="AZ220" i="3"/>
  <c r="AZ264"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AZ350" i="3" s="1"/>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AZ280" i="3" s="1"/>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AZ222" i="3" s="1"/>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BA265" i="3"/>
  <c r="AZ265" i="3" s="1"/>
  <c r="AZ277" i="3"/>
  <c r="AZ278" i="3"/>
  <c r="G280" i="3"/>
  <c r="BA286" i="3"/>
  <c r="AZ286" i="3" s="1"/>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N66" i="71"/>
  <c r="N65" i="71"/>
  <c r="BA247" i="3"/>
  <c r="AZ247" i="3" s="1"/>
  <c r="G252" i="3"/>
  <c r="BA255" i="3"/>
  <c r="AZ255" i="3" s="1"/>
  <c r="BA256" i="3"/>
  <c r="AZ256" i="3" s="1"/>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AZ30" i="3" s="1"/>
  <c r="BL30" i="3"/>
  <c r="BA32" i="3"/>
  <c r="AZ32" i="3" s="1"/>
  <c r="BL32" i="3"/>
  <c r="BA34" i="3"/>
  <c r="BA40" i="3"/>
  <c r="BL40" i="3"/>
  <c r="BA42" i="3"/>
  <c r="BL42" i="3"/>
  <c r="G51" i="3"/>
  <c r="G52" i="3"/>
  <c r="BA58" i="3"/>
  <c r="BA63" i="3"/>
  <c r="BA66" i="3"/>
  <c r="BA71" i="3"/>
  <c r="G76" i="3"/>
  <c r="G77" i="3"/>
  <c r="BL78" i="3"/>
  <c r="BA79" i="3"/>
  <c r="AZ79" i="3" s="1"/>
  <c r="BA80" i="3"/>
  <c r="AZ80" i="3" s="1"/>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G24" i="9"/>
  <c r="B14" i="74"/>
  <c r="C33" i="86"/>
  <c r="D3" i="86"/>
  <c r="C33" i="21"/>
  <c r="L60" i="88"/>
  <c r="L56" i="88"/>
  <c r="J59" i="88"/>
  <c r="J53" i="88"/>
  <c r="J57" i="88"/>
  <c r="J55" i="88" s="1"/>
  <c r="J58" i="88" s="1"/>
  <c r="Q50" i="88" s="1"/>
  <c r="J60" i="88"/>
  <c r="Q48" i="88" s="1"/>
  <c r="G6" i="1"/>
  <c r="F32" i="21"/>
  <c r="AA32" i="21" s="1"/>
  <c r="H32" i="21"/>
  <c r="AB32" i="21" s="1"/>
  <c r="AB44" i="21"/>
  <c r="F48" i="9"/>
  <c r="O52" i="9" s="1"/>
  <c r="M18" i="88"/>
  <c r="F32" i="88"/>
  <c r="F60" i="88" s="1"/>
  <c r="F28" i="88"/>
  <c r="C28" i="88" s="1"/>
  <c r="C24" i="12"/>
  <c r="A2" i="9"/>
  <c r="A4" i="52"/>
  <c r="B41" i="72" s="1"/>
  <c r="A118" i="9"/>
  <c r="F6" i="88"/>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M23" i="88"/>
  <c r="C16" i="15"/>
  <c r="M28" i="88"/>
  <c r="F37" i="88"/>
  <c r="F42" i="88"/>
  <c r="C16" i="67"/>
  <c r="M6" i="88"/>
  <c r="F13" i="88"/>
  <c r="F9" i="88"/>
  <c r="F8" i="88"/>
  <c r="F36" i="88"/>
  <c r="L47" i="88"/>
  <c r="M24" i="88"/>
  <c r="F16" i="88"/>
  <c r="F40" i="88"/>
  <c r="M9" i="88"/>
  <c r="D4" i="73"/>
  <c r="C76" i="88"/>
  <c r="D5" i="73"/>
  <c r="M22" i="88"/>
  <c r="J15" i="88"/>
  <c r="F7" i="88"/>
  <c r="F38" i="88"/>
  <c r="M26" i="88"/>
  <c r="M8" i="88"/>
  <c r="F26" i="88"/>
  <c r="F51" i="88" l="1"/>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Q57" i="88"/>
  <c r="Q66"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E69" i="39"/>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C16" i="88"/>
  <c r="AE6" i="1"/>
  <c r="F59" i="88" l="1"/>
  <c r="Q60" i="88"/>
  <c r="Q74" i="88"/>
  <c r="B40" i="1"/>
  <c r="L36" i="43" s="1"/>
  <c r="Q36" i="43" s="1"/>
  <c r="T52" i="71"/>
  <c r="D52" i="71"/>
  <c r="AZ5" i="3"/>
  <c r="AY6" i="3" s="1"/>
  <c r="K15" i="1"/>
  <c r="L19" i="6"/>
  <c r="L27" i="6" s="1"/>
  <c r="T32" i="71"/>
  <c r="D32" i="71"/>
  <c r="Q65" i="71"/>
  <c r="Q66" i="71"/>
  <c r="J6" i="88"/>
  <c r="C49" i="88"/>
  <c r="C59" i="88" s="1"/>
  <c r="S10" i="39"/>
  <c r="E18" i="3"/>
  <c r="AB33" i="21"/>
  <c r="U33" i="21"/>
  <c r="AA33" i="86"/>
  <c r="R48" i="86" s="1"/>
  <c r="S33" i="86"/>
  <c r="K16" i="1"/>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7" i="88"/>
  <c r="M27" i="67"/>
  <c r="F41" i="15"/>
  <c r="M27" i="15"/>
  <c r="F41" i="67"/>
  <c r="C14" i="88"/>
  <c r="M27" i="88"/>
  <c r="F41" i="88"/>
  <c r="F25" i="12" l="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H21"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C34" i="69"/>
  <c r="C14" i="67"/>
  <c r="C17" i="67"/>
  <c r="C17" i="15"/>
  <c r="C23" i="68" l="1"/>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88"/>
  <c r="M21" i="15"/>
  <c r="M21" i="88"/>
  <c r="F35" i="67"/>
  <c r="F35" i="15"/>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19" i="9"/>
  <c r="D2" i="35"/>
  <c r="D2" i="37"/>
  <c r="D2" i="34"/>
  <c r="D2" i="36"/>
  <c r="C20" i="9"/>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11" i="1"/>
  <c r="D20" i="9"/>
  <c r="AO10" i="1"/>
  <c r="AO12" i="1"/>
  <c r="AO8" i="1"/>
  <c r="AO9"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G25" i="9" l="1"/>
  <c r="D14" i="74"/>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l="1"/>
  <c r="N61" i="9"/>
  <c r="C104" i="9"/>
  <c r="H4" i="52"/>
  <c r="N59" i="9"/>
  <c r="P57" i="9"/>
  <c r="N58" i="9"/>
  <c r="M55" i="9"/>
  <c r="B47" i="72"/>
  <c r="D53" i="9"/>
  <c r="D52" i="9"/>
  <c r="E97" i="9"/>
  <c r="B30" i="72"/>
  <c r="E96" i="9"/>
  <c r="C5" i="74"/>
  <c r="B31" i="72"/>
  <c r="D8" i="52"/>
  <c r="C105" i="9"/>
  <c r="I4" i="52"/>
  <c r="D4" i="52"/>
  <c r="E81" i="9"/>
  <c r="M48" i="9"/>
  <c r="D59" i="9"/>
  <c r="C93" i="9"/>
  <c r="C86" i="9"/>
  <c r="F4" i="52"/>
  <c r="B51" i="72"/>
  <c r="C81" i="9"/>
  <c r="H102" i="9"/>
  <c r="D7" i="53"/>
  <c r="B21" i="72"/>
  <c r="D118" i="9"/>
  <c r="D119" i="9"/>
  <c r="D5" i="52"/>
  <c r="B49" i="72"/>
  <c r="D122" i="9"/>
  <c r="D123" i="9"/>
  <c r="D9" i="52"/>
  <c r="D13" i="53"/>
  <c r="D14" i="53"/>
  <c r="B32" i="72"/>
  <c r="C6" i="74"/>
  <c r="H107" i="9"/>
  <c r="H108" i="9"/>
  <c r="D15" i="53"/>
  <c r="C67" i="9"/>
  <c r="C68" i="9"/>
  <c r="D54" i="9"/>
  <c r="B20" i="72"/>
  <c r="G4" i="52"/>
  <c r="B52" i="72"/>
  <c r="E118" i="9"/>
  <c r="E4" i="52"/>
  <c r="B48" i="72"/>
  <c r="D58" i="9"/>
  <c r="D56" i="9"/>
  <c r="M54" i="9"/>
  <c r="C72" i="9"/>
  <c r="C79" i="9"/>
  <c r="C80" i="9"/>
  <c r="E80" i="9"/>
  <c r="D5" i="53"/>
  <c r="D6" i="53"/>
  <c r="B22" i="72"/>
  <c r="H119" i="9"/>
  <c r="H5" i="52"/>
  <c r="C78" i="9"/>
  <c r="C73" i="9"/>
  <c r="G118" i="9"/>
  <c r="F118" i="9"/>
  <c r="F119" i="9"/>
  <c r="F5" i="52"/>
  <c r="B53" i="72"/>
  <c r="C97" i="9"/>
  <c r="C85" i="9"/>
  <c r="C95" i="9"/>
  <c r="C96" i="9"/>
  <c r="D55" i="9"/>
  <c r="M53" i="9"/>
  <c r="N57"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shape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<sst xmlns="http://schemas.openxmlformats.org/spreadsheetml/2006/main" count="11317" uniqueCount="4401">
  <si>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</si>
  <si>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</si>
  <si>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</si>
  <si>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</si>
  <si>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</si>
  <si>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</si>
  <si>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</si>
  <si>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</si>
  <si>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</si>
  <si>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</si>
  <si>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</si>
  <si>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</si>
  <si>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</si>
  <si>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</si>
  <si>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</si>
  <si>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</si>
  <si>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</si>
  <si>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</si>
  <si>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</si>
  <si>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</si>
  <si>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</si>
  <si>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</si>
  <si>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</si>
  <si>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</si>
  <si>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</si>
  <si>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</si>
  <si>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</si>
  <si>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</si>
  <si>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</si>
  <si>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</si>
  <si>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</si>
  <si>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</si>
  <si>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</si>
  <si>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</si>
  <si>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</si>
  <si>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</si>
  <si>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</si>
  <si>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</si>
  <si>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</si>
  <si>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</si>
  <si>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</si>
  <si>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</si>
  <si>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</si>
  <si>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</si>
  <si>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</si>
  <si>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</si>
  <si>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</si>
  <si>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</si>
  <si>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</si>
  <si>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</si>
  <si>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</si>
  <si>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</si>
  <si>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</si>
  <si>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</si>
  <si>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</si>
  <si>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</si>
  <si>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</si>
  <si>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</si>
  <si>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</si>
  <si>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</si>
  <si>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</si>
  <si>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</si>
  <si>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</si>
  <si>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</si>
  <si>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</si>
  <si>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</si>
  <si>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</si>
  <si>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</si>
  <si>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</si>
  <si>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</si>
  <si>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</si>
  <si>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</si>
  <si>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</si>
  <si>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</si>
  <si>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</si>
  <si>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</si>
  <si>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</si>
  <si>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</si>
  <si>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</si>
  <si>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</si>
  <si>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</si>
  <si>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</si>
  <si>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</si>
  <si>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</si>
  <si>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</si>
  <si>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</si>
  <si>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</si>
  <si>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</si>
  <si>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</si>
  <si>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</si>
  <si>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</si>
  <si>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</si>
  <si>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</si>
  <si>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</si>
  <si>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</si>
  <si>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</si>
  <si>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</si>
  <si>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</si>
  <si>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</si>
  <si>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</si>
  <si>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</si>
  <si>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</si>
  <si>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</si>
  <si>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</si>
  <si>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</si>
  <si>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</si>
  <si>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</si>
  <si>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</si>
  <si>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</si>
  <si>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</si>
  <si>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</si>
  <si>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</si>
  <si>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</si>
  <si>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</si>
  <si>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</si>
  <si>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</si>
  <si>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</si>
  <si>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</si>
  <si>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</si>
  <si>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</si>
  <si>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</si>
  <si>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</si>
  <si>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</si>
  <si>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</si>
  <si>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</si>
  <si>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</si>
  <si>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</si>
  <si>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</si>
  <si>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</si>
  <si>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</si>
  <si>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</si>
  <si>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</si>
  <si>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</si>
  <si>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</si>
  <si>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</si>
  <si>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</si>
  <si>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</si>
  <si>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</si>
  <si>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</si>
  <si>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</si>
  <si>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</si>
  <si>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</si>
  <si>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</si>
  <si>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</si>
  <si>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</si>
  <si>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</si>
  <si>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</si>
  <si>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</si>
  <si>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</si>
  <si>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</si>
  <si>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</si>
  <si>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</si>
  <si>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</si>
  <si>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</si>
  <si>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</si>
  <si>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</si>
  <si>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</si>
  <si>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</si>
  <si>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</si>
  <si>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</si>
  <si>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</si>
  <si>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</si>
  <si>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</si>
  <si>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</si>
  <si>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</si>
  <si>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</si>
  <si>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</si>
  <si>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</si>
  <si>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</si>
  <si>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</si>
  <si>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</si>
  <si>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</si>
  <si>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</si>
  <si>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</si>
  <si>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</si>
  <si>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</si>
  <si>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</si>
  <si>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</si>
  <si>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</si>
  <si>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</si>
  <si>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</si>
  <si>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</si>
  <si>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</si>
  <si>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</si>
  <si>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</si>
  <si>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</si>
  <si>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</si>
  <si>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</si>
  <si>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</si>
  <si>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</si>
  <si>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</si>
  <si>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</si>
  <si>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</si>
  <si>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</si>
  <si>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</si>
  <si>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</si>
  <si>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</si>
  <si>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</si>
  <si>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</si>
  <si>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</si>
  <si>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</si>
  <si>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</si>
  <si>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</si>
  <si>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</si>
  <si>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</si>
  <si>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</si>
  <si>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</si>
  <si>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</si>
  <si>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</si>
  <si>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</si>
  <si>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</si>
  <si>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</si>
  <si>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</si>
  <si>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</si>
  <si>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</si>
  <si>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</si>
  <si>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</si>
  <si>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</si>
  <si>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</si>
  <si>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</si>
  <si>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</si>
  <si>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</si>
  <si>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</si>
  <si>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</si>
  <si>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</si>
  <si>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</si>
  <si>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</si>
  <si>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</si>
  <si>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</si>
  <si>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</si>
  <si>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</si>
  <si>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</si>
  <si>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</si>
  <si>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</si>
  <si>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</si>
  <si>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</si>
  <si>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</si>
  <si>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</si>
  <si>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</si>
  <si>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</si>
  <si>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</si>
  <si>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</si>
  <si>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</si>
  <si>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</si>
  <si>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</si>
  <si>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</si>
  <si>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</si>
  <si>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</si>
  <si>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</si>
  <si>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</si>
  <si>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</si>
  <si>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</si>
  <si>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</si>
  <si>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</si>
  <si>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</si>
  <si>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</si>
  <si>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</si>
  <si>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</si>
  <si>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</si>
  <si>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</si>
  <si>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</si>
  <si>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</si>
  <si>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</si>
  <si>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</si>
  <si>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</si>
  <si>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</si>
  <si>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</si>
  <si>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</si>
  <si>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</si>
  <si>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</si>
  <si>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</si>
  <si>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</si>
  <si>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</si>
  <si>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</si>
  <si>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</si>
  <si>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</si>
  <si>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</si>
  <si>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</si>
  <si>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</si>
  <si>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</si>
  <si>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</si>
  <si>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</si>
  <si>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</si>
  <si>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</si>
  <si>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</si>
  <si>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</si>
  <si>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</si>
  <si>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</si>
  <si>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</si>
  <si>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</si>
  <si>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</si>
  <si>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</si>
  <si>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</si>
  <si>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</si>
  <si>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</si>
  <si>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</si>
  <si>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</si>
  <si>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</si>
  <si>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</si>
  <si>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</si>
  <si>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</si>
  <si>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</si>
  <si>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</si>
  <si>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</si>
  <si>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</si>
  <si>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</si>
  <si>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</si>
  <si>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</si>
  <si>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</si>
  <si>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</si>
  <si>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</si>
  <si>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</si>
  <si>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</si>
  <si>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</si>
  <si>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</si>
  <si>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</si>
  <si>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</si>
  <si>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</si>
  <si>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</si>
  <si>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</si>
  <si>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</si>
  <si>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</si>
  <si>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</si>
  <si>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</si>
  <si>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</si>
  <si>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</si>
  <si>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</si>
  <si>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</si>
  <si>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</si>
  <si>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</si>
  <si>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</si>
  <si>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</si>
  <si>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</si>
  <si>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</si>
  <si>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</si>
  <si>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</si>
  <si>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</si>
  <si>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</si>
  <si>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</si>
  <si>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</si>
  <si>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</si>
  <si>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</si>
  <si>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</si>
  <si>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</si>
  <si>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</si>
  <si>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</si>
  <si>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</si>
  <si>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</si>
  <si>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</si>
  <si>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</si>
  <si>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</si>
  <si>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</si>
  <si>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</si>
  <si>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</si>
  <si>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</si>
  <si>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</si>
  <si>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</si>
  <si>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</si>
  <si>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</si>
  <si>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</si>
  <si>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</si>
  <si>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</si>
  <si>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</si>
  <si>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</si>
  <si>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</si>
  <si>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</si>
  <si>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</si>
  <si>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</si>
  <si>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</si>
  <si>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</si>
  <si>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</si>
  <si>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</si>
  <si>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</si>
  <si>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</si>
  <si>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</si>
  <si>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</si>
  <si>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</si>
  <si>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</si>
  <si>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</si>
  <si>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</si>
  <si>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</si>
  <si>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</si>
  <si>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</si>
  <si>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</si>
  <si>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</si>
  <si>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</si>
  <si>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</si>
  <si>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</si>
  <si>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</si>
  <si>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</si>
  <si>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</si>
  <si>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</si>
  <si>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</si>
  <si>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</si>
  <si>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</si>
  <si>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</si>
  <si>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</si>
  <si>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</si>
  <si>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</si>
  <si>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</si>
  <si>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</si>
  <si>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</si>
  <si>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</si>
  <si>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</si>
  <si>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</si>
  <si>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</si>
  <si>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</si>
  <si>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</si>
  <si>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</si>
  <si>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</si>
  <si>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</si>
  <si>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</si>
  <si>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</si>
  <si>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</si>
  <si>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</si>
  <si>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</si>
  <si>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</si>
  <si>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</si>
  <si>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</si>
  <si>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</si>
  <si>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</si>
  <si>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</si>
  <si>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</si>
  <si>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</si>
  <si>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</si>
  <si>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</si>
  <si>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</si>
  <si>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</si>
  <si>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</si>
  <si>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</si>
  <si>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</si>
  <si>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</si>
  <si>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</si>
  <si>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</si>
  <si>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</si>
  <si>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</si>
  <si>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</si>
  <si>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</si>
  <si>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</si>
  <si>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</si>
  <si>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</si>
  <si>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</si>
  <si>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</si>
  <si>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</si>
  <si>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</si>
  <si>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</si>
  <si>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</si>
  <si>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</si>
  <si>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</si>
  <si>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</si>
  <si>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</si>
  <si>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</si>
  <si>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</si>
  <si>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</si>
  <si>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</si>
  <si>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</si>
  <si>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</si>
  <si>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</si>
  <si>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</si>
  <si>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</si>
  <si>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</si>
  <si>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</si>
  <si>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</si>
  <si>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</si>
  <si>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</si>
  <si>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</si>
  <si>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</si>
  <si>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</si>
  <si>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</si>
  <si>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</si>
  <si>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</si>
  <si>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</si>
  <si>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</si>
  <si>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</si>
  <si>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</si>
  <si>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</si>
  <si>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</si>
  <si>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</si>
  <si>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</si>
  <si>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</si>
  <si>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</si>
  <si>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</si>
  <si>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</si>
  <si>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</si>
  <si>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</si>
  <si>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</si>
  <si>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</si>
  <si>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</si>
  <si>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</si>
  <si>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</si>
  <si>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</si>
  <si>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</si>
  <si>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</si>
  <si>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</si>
  <si>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</si>
  <si>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</si>
  <si>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</si>
  <si>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</si>
  <si>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</si>
  <si>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</si>
  <si>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</si>
  <si>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</si>
  <si>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</si>
  <si>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</si>
  <si>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</si>
  <si>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</si>
  <si>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</si>
  <si>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</si>
  <si>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</si>
  <si>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</si>
  <si>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</si>
  <si>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</si>
  <si>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</si>
  <si>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</si>
  <si>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</si>
  <si>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</si>
  <si>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</si>
  <si>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</si>
  <si>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</si>
  <si>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</si>
  <si>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</si>
  <si>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</si>
  <si>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</si>
  <si>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</si>
  <si>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</si>
  <si>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</si>
  <si>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</si>
  <si>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</si>
  <si>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</si>
  <si>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</si>
  <si>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</si>
  <si>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</si>
  <si>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</si>
  <si>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</si>
  <si>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</si>
  <si>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</si>
  <si>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</si>
  <si>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</si>
  <si>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</si>
  <si>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</si>
  <si>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</si>
  <si>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</si>
  <si>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</si>
  <si>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</si>
  <si>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</si>
  <si>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</si>
  <si>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</si>
  <si>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</si>
  <si>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</si>
  <si>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</si>
  <si>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</si>
  <si>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</si>
  <si>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</si>
  <si>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</si>
  <si>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</si>
  <si>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</si>
  <si>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</si>
  <si>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</si>
  <si>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</si>
  <si>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</si>
  <si>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</si>
  <si>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</si>
  <si>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</si>
  <si>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</si>
  <si>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</si>
  <si>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</si>
  <si>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</si>
  <si>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</si>
  <si>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</si>
  <si>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</si>
  <si>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</si>
  <si>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</si>
  <si>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</si>
  <si>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</si>
  <si>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</si>
  <si>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</si>
  <si>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</si>
  <si>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</si>
  <si>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</si>
  <si>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</si>
  <si>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</si>
  <si>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</si>
  <si>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</si>
  <si>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</si>
  <si>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</si>
  <si>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</si>
  <si>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</si>
  <si>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</si>
  <si>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</si>
  <si>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</si>
  <si>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</si>
  <si>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</si>
  <si>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</si>
  <si>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</si>
  <si>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</si>
  <si>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</si>
  <si>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</si>
  <si>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</si>
  <si>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</si>
  <si>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</si>
  <si>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</si>
  <si>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</si>
  <si>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</si>
  <si>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</si>
  <si>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</si>
  <si>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</si>
  <si>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</si>
  <si>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</si>
  <si>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</si>
  <si>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</si>
  <si>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</si>
  <si>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</si>
  <si>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</si>
  <si>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</si>
  <si>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</si>
  <si>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</si>
  <si>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</si>
  <si>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</si>
  <si>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</si>
  <si>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</si>
  <si>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</si>
  <si>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</si>
  <si>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</si>
  <si>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</si>
  <si>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</si>
  <si>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</si>
  <si>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</si>
  <si>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</si>
  <si>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</si>
  <si>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</si>
  <si>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</si>
  <si>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</si>
  <si>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</si>
  <si>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</si>
  <si>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</si>
  <si>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</si>
  <si>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</si>
  <si>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</si>
  <si>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</si>
  <si>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</si>
  <si>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</si>
  <si>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</si>
  <si>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</si>
  <si>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</si>
  <si>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</si>
  <si>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</si>
  <si>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</si>
  <si>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</si>
  <si>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</si>
  <si>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</si>
  <si>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</si>
  <si>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</si>
  <si>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</si>
  <si>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</si>
  <si>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</si>
  <si>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</si>
  <si>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</si>
  <si>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</si>
  <si>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</si>
  <si>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</si>
  <si>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</si>
  <si>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</si>
  <si>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</si>
  <si>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</si>
  <si>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</si>
  <si>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</si>
  <si>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</si>
  <si>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</si>
  <si>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</si>
  <si>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</si>
  <si>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</si>
  <si>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</si>
  <si>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</si>
  <si>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</si>
  <si>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</si>
  <si>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</si>
  <si>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</si>
  <si>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</si>
  <si>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</si>
  <si>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</si>
  <si>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</si>
  <si>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</si>
  <si>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</si>
  <si>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</si>
  <si>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</si>
  <si>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</si>
  <si>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</si>
  <si>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</si>
  <si>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</si>
  <si>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</si>
  <si>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</si>
  <si>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</si>
  <si>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</si>
  <si>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</si>
  <si>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</si>
  <si>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</si>
  <si>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</si>
  <si>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</si>
  <si>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</si>
  <si>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</si>
  <si>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</si>
  <si>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</si>
  <si>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</si>
  <si>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</si>
  <si>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</si>
  <si>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</si>
  <si>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</si>
  <si>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</si>
  <si>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</si>
  <si>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</si>
  <si>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</si>
  <si>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</si>
  <si>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</si>
  <si>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</si>
  <si>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</si>
  <si>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</si>
  <si>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</si>
  <si>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</si>
  <si>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</si>
  <si>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</si>
  <si>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</si>
  <si>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</si>
  <si>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</si>
  <si>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</si>
  <si>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</si>
  <si>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</si>
  <si>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</si>
  <si>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</si>
  <si>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</si>
  <si>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</si>
  <si>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</si>
  <si>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</si>
  <si>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</si>
  <si>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</si>
  <si>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</si>
  <si>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</si>
  <si>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</si>
  <si>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</si>
  <si>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</si>
  <si>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</si>
  <si>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</si>
  <si>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</si>
  <si>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</si>
  <si>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</si>
  <si>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</si>
  <si>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</si>
  <si>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</si>
  <si>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</si>
  <si>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</si>
  <si>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</si>
  <si>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</si>
  <si>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</si>
  <si>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</si>
  <si>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</si>
  <si>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</si>
  <si>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</si>
  <si>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</si>
  <si>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</si>
  <si>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</si>
  <si>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</si>
  <si>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</si>
  <si>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</si>
  <si>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</si>
  <si>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</si>
  <si>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</si>
  <si>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</si>
  <si>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</si>
  <si>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</si>
  <si>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</si>
  <si>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</si>
  <si>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</si>
  <si>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</si>
  <si>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</si>
  <si>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</si>
  <si>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</si>
  <si>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</si>
  <si>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</si>
  <si>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</si>
  <si>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</si>
  <si>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</si>
  <si>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</si>
  <si>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</si>
  <si>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</si>
  <si>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</si>
  <si>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</si>
  <si>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</si>
  <si>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</si>
  <si>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</si>
  <si>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</si>
  <si>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</si>
  <si>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</si>
  <si>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</si>
  <si>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</si>
  <si>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</si>
  <si>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</si>
  <si>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</si>
  <si>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</si>
  <si>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</si>
  <si>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</si>
  <si>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</si>
  <si>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</si>
  <si>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</si>
  <si>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</si>
  <si>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</si>
  <si>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</si>
  <si>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</si>
  <si>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</si>
  <si>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</si>
  <si>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</si>
  <si>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</si>
  <si>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</si>
  <si>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</si>
  <si>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</si>
  <si>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</si>
  <si>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</si>
  <si>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</si>
  <si>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</si>
  <si>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</si>
  <si>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</si>
  <si>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</si>
  <si>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</si>
  <si>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</si>
  <si>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</si>
  <si>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</si>
  <si>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</si>
  <si>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</si>
  <si>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</si>
  <si>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</si>
  <si>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</si>
  <si>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</si>
  <si>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</si>
  <si>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</si>
  <si>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</si>
  <si>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</si>
  <si>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</si>
  <si>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</si>
  <si>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</si>
  <si>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</si>
  <si>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</si>
  <si>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</si>
  <si>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</si>
  <si>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</si>
  <si>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</si>
  <si>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</si>
  <si>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</si>
  <si>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</si>
  <si>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</si>
  <si>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</si>
  <si>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</si>
  <si>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</si>
  <si>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</si>
  <si>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</si>
  <si>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</si>
  <si>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</si>
  <si>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</si>
  <si>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</si>
  <si>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</si>
  <si>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</si>
  <si>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</si>
  <si>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</si>
  <si>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</si>
  <si>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</si>
  <si>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</si>
  <si>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</si>
  <si>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</si>
  <si>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</si>
  <si>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</si>
  <si>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</si>
  <si>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</si>
  <si>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</si>
  <si>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</si>
  <si>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</si>
  <si>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</si>
  <si>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</si>
  <si>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</si>
  <si>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</si>
  <si>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</si>
  <si>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</si>
  <si>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</si>
  <si>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</si>
  <si>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</si>
  <si>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</si>
  <si>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</si>
  <si>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</si>
  <si>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</si>
  <si>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</si>
  <si>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</si>
  <si>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</si>
  <si>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</si>
  <si>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</si>
  <si>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</si>
  <si>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</si>
  <si>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</si>
  <si>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</si>
  <si>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</si>
  <si>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</si>
  <si>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</si>
  <si>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</si>
  <si>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</si>
  <si>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</si>
  <si>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</si>
  <si>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</si>
  <si>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</si>
  <si>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</si>
  <si>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</si>
  <si>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</si>
  <si>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</si>
  <si>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</si>
  <si>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</si>
  <si>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</si>
  <si>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</si>
  <si>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</si>
  <si>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</si>
  <si>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</si>
  <si>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</si>
  <si>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</si>
  <si>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</si>
  <si>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</si>
  <si>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</si>
  <si>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</si>
  <si>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</si>
  <si>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</si>
  <si>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</si>
  <si>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</si>
  <si>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</si>
  <si>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</si>
  <si>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</si>
  <si>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</si>
  <si>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</si>
  <si>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</si>
  <si>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</si>
  <si>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</si>
  <si>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</si>
  <si>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</si>
  <si>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</si>
  <si>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</si>
  <si>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</si>
  <si>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</si>
  <si>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</si>
  <si>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</si>
  <si>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</si>
  <si>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</si>
  <si>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</si>
  <si>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</si>
  <si>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</si>
  <si>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</si>
  <si>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</si>
  <si>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</si>
  <si>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</si>
  <si>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</si>
  <si>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</si>
  <si>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</si>
  <si>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</si>
  <si>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</si>
  <si>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</si>
  <si>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</si>
  <si>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</si>
  <si>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</si>
  <si>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</si>
  <si>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</si>
  <si>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</si>
  <si>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</si>
  <si>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</si>
  <si>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</si>
  <si>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</si>
  <si>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</si>
  <si>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</si>
  <si>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</si>
  <si>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</si>
  <si>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</si>
  <si>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</si>
  <si>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</si>
  <si>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</si>
  <si>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</si>
  <si>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</si>
  <si>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</si>
  <si>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</si>
  <si>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</si>
  <si>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</si>
  <si>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</si>
  <si>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</si>
  <si>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</si>
  <si>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</si>
  <si>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</si>
  <si>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</si>
  <si>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</si>
  <si>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</si>
  <si>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</si>
  <si>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</si>
  <si>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</si>
  <si>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</si>
  <si>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</si>
  <si>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</si>
  <si>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</si>
  <si>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</si>
  <si>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</si>
  <si>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</si>
  <si>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</si>
  <si>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</si>
  <si>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</si>
  <si>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</si>
  <si>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</si>
  <si>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</si>
  <si>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</si>
  <si>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</si>
  <si>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</si>
  <si>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</si>
  <si>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</si>
  <si>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</si>
  <si>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</si>
  <si>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</si>
  <si>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</si>
  <si>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</si>
  <si>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</si>
  <si>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</si>
  <si>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</si>
  <si>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</si>
  <si>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</si>
  <si>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</si>
  <si>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</si>
  <si>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</si>
  <si>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</si>
  <si>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</si>
  <si>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</si>
  <si>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</si>
  <si>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</si>
  <si>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</si>
  <si>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</si>
  <si>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</si>
  <si>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</si>
  <si>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</si>
  <si>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</si>
  <si>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</si>
  <si>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</si>
  <si>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</si>
  <si>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</si>
  <si>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</si>
  <si>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</si>
  <si>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</si>
  <si>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</si>
  <si>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</si>
  <si>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</si>
  <si>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</si>
  <si>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</si>
  <si>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</si>
  <si>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</si>
  <si>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</si>
  <si>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</si>
  <si>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</si>
  <si>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</si>
  <si>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</si>
  <si>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</si>
  <si>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</si>
  <si>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</si>
  <si>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</si>
  <si>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</si>
  <si>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</si>
  <si>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</si>
  <si>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</si>
  <si>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</si>
  <si>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</si>
  <si>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</si>
  <si>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</si>
  <si>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</si>
  <si>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</si>
  <si>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</si>
  <si>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</si>
  <si>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</si>
  <si>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</si>
  <si>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</si>
  <si>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</si>
  <si>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</si>
  <si>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</si>
  <si>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</si>
  <si>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</si>
  <si>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</si>
  <si>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</si>
  <si>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</si>
  <si>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</si>
  <si>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</si>
  <si>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</si>
  <si>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</si>
  <si>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</si>
  <si>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</si>
  <si>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</si>
  <si>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</si>
  <si>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</si>
  <si>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</si>
  <si>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</si>
  <si>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</si>
  <si>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</si>
  <si>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</si>
  <si>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</si>
  <si>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</si>
  <si>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</si>
  <si>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</si>
  <si>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</si>
  <si>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</si>
  <si>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</si>
  <si>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</si>
  <si>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</si>
  <si>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</si>
  <si>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</si>
  <si>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</si>
  <si>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</si>
  <si>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</si>
  <si>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</si>
  <si>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</si>
  <si>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</si>
  <si>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</si>
  <si>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</si>
  <si>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</si>
  <si>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</si>
  <si>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</si>
  <si>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</si>
  <si>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</si>
  <si>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</si>
  <si>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</si>
  <si>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</si>
  <si>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</si>
  <si>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</si>
  <si>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</si>
  <si>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</si>
  <si>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</si>
  <si>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</si>
  <si>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</si>
  <si>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</si>
  <si>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</si>
  <si>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</si>
  <si>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</si>
  <si>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</si>
  <si>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</si>
  <si>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</si>
  <si>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</si>
  <si>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</si>
  <si>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</si>
  <si>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</si>
  <si>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</si>
  <si>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</si>
  <si>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</si>
  <si>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</si>
  <si>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</si>
  <si>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</si>
  <si>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</si>
  <si>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</si>
  <si>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</si>
  <si>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</si>
  <si>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</si>
  <si>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</si>
  <si>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</si>
  <si>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</si>
  <si>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</si>
  <si>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</si>
  <si>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</si>
  <si>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</si>
  <si>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</si>
  <si>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</si>
  <si>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</si>
  <si>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</si>
  <si>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</si>
  <si>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</si>
  <si>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</si>
  <si>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</si>
  <si>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</si>
  <si>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</si>
  <si>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</si>
  <si>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</si>
  <si>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</si>
  <si>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</si>
  <si>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</si>
  <si>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</si>
  <si>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</si>
  <si>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</si>
  <si>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</si>
  <si>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</si>
  <si>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</si>
  <si>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</si>
  <si>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</si>
  <si>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</si>
  <si>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</si>
  <si>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</si>
  <si>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</si>
  <si>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</si>
  <si>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</si>
  <si>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</si>
  <si>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</si>
  <si>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</si>
  <si>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</si>
  <si>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</si>
  <si>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</si>
  <si>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</si>
  <si>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</si>
  <si>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</si>
  <si>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</si>
  <si>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</si>
  <si>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</si>
  <si>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</si>
  <si>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</si>
  <si>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</si>
  <si>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</si>
  <si>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</si>
  <si>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</si>
  <si>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</si>
  <si>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</si>
  <si>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</si>
  <si>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</si>
  <si>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</si>
  <si>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</si>
  <si>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</si>
  <si>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</si>
  <si>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</si>
  <si>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</si>
  <si>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</si>
  <si>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</si>
  <si>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</si>
  <si>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</si>
  <si>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</si>
  <si>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</si>
  <si>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</si>
  <si>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</si>
  <si>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</si>
  <si>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</si>
  <si>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</si>
  <si>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</si>
  <si>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</si>
  <si>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</si>
  <si>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</si>
  <si>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</si>
  <si>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</si>
  <si>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</si>
  <si>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</si>
  <si>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</si>
  <si>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</si>
  <si>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</si>
  <si>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</si>
  <si>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</si>
  <si>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</si>
  <si>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</si>
  <si>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</si>
  <si>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</si>
  <si>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</si>
  <si>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</si>
  <si>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</si>
  <si>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</si>
  <si>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</si>
  <si>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</si>
  <si>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</si>
  <si>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</si>
  <si>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</si>
  <si>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</si>
  <si>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</si>
  <si>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</si>
  <si>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</si>
  <si>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</si>
  <si>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</si>
  <si>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</si>
  <si>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</si>
  <si>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</si>
  <si>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</si>
  <si>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</si>
  <si>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</si>
  <si>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</si>
  <si>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</si>
  <si>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</si>
  <si>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</si>
  <si>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</si>
  <si>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</si>
  <si>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</si>
  <si>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</si>
  <si>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</si>
  <si>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</si>
  <si>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</si>
  <si>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</si>
  <si>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</si>
  <si>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</si>
  <si>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</si>
  <si>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</si>
  <si>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</si>
  <si>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</si>
  <si>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</si>
  <si>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</si>
  <si>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</si>
  <si>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</si>
  <si>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</si>
  <si>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</si>
  <si>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</si>
  <si>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</si>
  <si>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</si>
  <si>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</si>
  <si>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</si>
  <si>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</si>
  <si>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</si>
  <si>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</si>
  <si>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</si>
  <si>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</si>
  <si>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</si>
  <si>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</si>
  <si>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</si>
  <si>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</si>
  <si>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</si>
  <si>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</si>
  <si>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</si>
  <si>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</si>
  <si>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</si>
  <si>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</si>
  <si>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</si>
  <si>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</si>
  <si>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</si>
  <si>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</si>
  <si>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</si>
  <si>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</si>
  <si>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</si>
  <si>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</si>
  <si>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</si>
  <si>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</si>
  <si>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</si>
  <si>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</si>
  <si>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</si>
  <si>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</si>
  <si>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</si>
  <si>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</si>
  <si>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</si>
  <si>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</si>
  <si>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</si>
  <si>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</si>
  <si>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</si>
  <si>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</si>
  <si>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</si>
  <si>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</si>
  <si>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</si>
  <si>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</si>
  <si>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</si>
  <si>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</si>
  <si>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</si>
  <si>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</si>
  <si>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</si>
  <si>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</si>
  <si>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</si>
  <si>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</si>
  <si>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</si>
  <si>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</si>
  <si>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</si>
  <si>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</si>
  <si>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</si>
  <si>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</si>
  <si>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</si>
  <si>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</si>
  <si>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</si>
  <si>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</si>
  <si>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</si>
  <si>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</si>
  <si>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</si>
  <si>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</si>
  <si>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</si>
  <si>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</si>
  <si>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</si>
  <si>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</si>
  <si>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</si>
  <si>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</si>
  <si>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</si>
  <si>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</si>
  <si>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</si>
  <si>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</si>
  <si>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</si>
  <si>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</si>
  <si>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</si>
  <si>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</si>
  <si>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</si>
  <si>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</si>
  <si>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</si>
  <si>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</si>
  <si>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</si>
  <si>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</si>
  <si>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</si>
  <si>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</si>
  <si>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</si>
  <si>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</si>
  <si>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</si>
  <si>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</si>
  <si>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</si>
  <si>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</si>
  <si>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</si>
  <si>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</si>
  <si>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</si>
  <si>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</si>
  <si>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</si>
  <si>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</si>
  <si>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</si>
  <si>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</si>
  <si>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</si>
  <si>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</si>
  <si>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</si>
  <si>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</si>
  <si>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</si>
  <si>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</si>
  <si>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</si>
  <si>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</si>
  <si>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</si>
  <si>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</si>
  <si>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</si>
  <si>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</si>
  <si>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</si>
  <si>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</si>
  <si>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</si>
  <si>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</si>
  <si>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</si>
  <si>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</si>
  <si>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</si>
  <si>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</si>
  <si>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</si>
  <si>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</si>
  <si>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</si>
  <si>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</si>
  <si>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</si>
  <si>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</si>
  <si>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</si>
  <si>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</si>
  <si>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</si>
  <si>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</si>
  <si>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</si>
  <si>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</si>
  <si>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</si>
  <si>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</si>
  <si>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</si>
  <si>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</si>
  <si>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</si>
  <si>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</si>
  <si>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</si>
  <si>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</si>
  <si>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</si>
  <si>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</si>
  <si>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</si>
  <si>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</si>
  <si>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</si>
  <si>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</si>
  <si>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</si>
  <si>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</si>
  <si>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</si>
  <si>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</si>
  <si>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</si>
  <si>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</si>
  <si>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</si>
  <si>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</si>
  <si>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</si>
  <si>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</si>
  <si>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</si>
  <si>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</si>
  <si>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</si>
  <si>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</si>
  <si>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</si>
  <si>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</si>
  <si>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</si>
  <si>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</si>
  <si>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</si>
  <si>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</si>
  <si>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</si>
  <si>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</si>
  <si>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</si>
  <si>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</si>
  <si>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</si>
  <si>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</si>
  <si>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</si>
  <si>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</si>
  <si>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</si>
  <si>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</si>
  <si>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</si>
  <si>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</si>
  <si>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</si>
  <si>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</si>
  <si>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</si>
  <si>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</si>
  <si>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</si>
  <si>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</si>
  <si>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</si>
  <si>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</si>
  <si>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</si>
  <si>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</si>
  <si>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</si>
  <si>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</si>
  <si>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</si>
  <si>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</si>
  <si>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</si>
  <si>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</si>
  <si>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</si>
  <si>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</si>
  <si>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</si>
  <si>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</si>
  <si>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</si>
  <si>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</si>
  <si>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</si>
  <si>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</si>
  <si>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</si>
  <si>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</si>
  <si>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</si>
  <si>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</si>
  <si>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</si>
  <si>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</si>
  <si>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</si>
  <si>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</si>
  <si>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</si>
  <si>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</si>
  <si>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</si>
  <si>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</si>
  <si>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</si>
  <si>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</si>
  <si>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</si>
  <si>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</si>
  <si>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</si>
  <si>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</si>
  <si>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</si>
  <si>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</si>
  <si>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</si>
  <si>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</si>
  <si>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</si>
  <si>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</si>
  <si>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</si>
  <si>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</si>
  <si>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</si>
  <si>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</si>
  <si>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</si>
  <si>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</si>
  <si>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</si>
  <si>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</si>
  <si>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</si>
  <si>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</si>
  <si>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</si>
  <si>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</si>
  <si>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</si>
  <si>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</si>
  <si>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</si>
  <si>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</si>
  <si>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</si>
  <si>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</si>
  <si>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</si>
  <si>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</si>
  <si>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</si>
  <si>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</si>
  <si>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</si>
  <si>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</si>
  <si>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</si>
  <si>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</si>
  <si>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</si>
  <si>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</si>
  <si>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</si>
  <si>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</si>
  <si>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</si>
  <si>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</si>
  <si>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</si>
  <si>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</si>
  <si>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</si>
  <si>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</si>
  <si>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</si>
  <si>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</si>
  <si>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</si>
  <si>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</si>
  <si>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</si>
  <si>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</si>
  <si>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</si>
  <si>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</si>
  <si>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</si>
  <si>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</si>
  <si>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</si>
  <si>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</si>
  <si>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</si>
  <si>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</si>
  <si>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</si>
  <si>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</si>
  <si>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</si>
  <si>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</si>
  <si>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</si>
  <si>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</si>
  <si>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</si>
  <si>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</si>
  <si>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</si>
  <si>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</si>
  <si>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</si>
  <si>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</si>
  <si>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</si>
  <si>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</si>
  <si>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</si>
  <si>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</si>
  <si>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</si>
  <si>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</si>
  <si>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</si>
  <si>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</si>
  <si>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</si>
  <si>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</si>
  <si>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</si>
  <si>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</si>
  <si>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</si>
  <si>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</si>
  <si>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</si>
  <si>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</si>
  <si>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</si>
  <si>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</si>
  <si>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</si>
  <si>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</si>
  <si>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</si>
  <si>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</si>
  <si>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</si>
  <si>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</si>
  <si>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</si>
  <si>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</si>
  <si>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</si>
  <si>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</si>
  <si>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</si>
  <si>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</si>
  <si>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</si>
  <si>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</si>
  <si>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</si>
  <si>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</si>
  <si>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</si>
  <si>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</si>
  <si>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</si>
  <si>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</si>
  <si>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</si>
  <si>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</si>
  <si>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</si>
  <si>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</si>
  <si>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</si>
  <si>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</si>
  <si>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</si>
  <si>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</si>
  <si>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</si>
  <si>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</si>
  <si>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</si>
  <si>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</si>
  <si>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</si>
  <si>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</si>
  <si>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</si>
  <si>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</si>
  <si>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</si>
  <si>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</si>
  <si>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</si>
  <si>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</si>
  <si>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</si>
  <si>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</si>
  <si>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</si>
  <si>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</si>
  <si>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</si>
  <si>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</si>
  <si>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</si>
  <si>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</si>
  <si>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</si>
  <si>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</si>
  <si>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</si>
  <si>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</si>
  <si>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</si>
  <si>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</si>
  <si>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</si>
  <si>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</si>
  <si>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</si>
  <si>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</si>
  <si>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</si>
  <si>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</si>
  <si>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</si>
  <si>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</si>
  <si>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</si>
  <si>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</si>
  <si>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</si>
  <si>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</si>
  <si>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</si>
  <si>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</si>
  <si>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</si>
  <si>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</si>
  <si>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</si>
  <si>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</si>
  <si>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</si>
  <si>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</si>
  <si>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</si>
  <si>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</si>
  <si>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</si>
  <si>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</si>
  <si>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</si>
  <si>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</si>
  <si>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</si>
  <si>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</si>
  <si>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</si>
  <si>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</si>
  <si>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</si>
  <si>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</si>
  <si>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</si>
  <si>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</si>
  <si>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</si>
  <si>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</si>
  <si>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</si>
  <si>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</si>
  <si>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</si>
  <si>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</si>
  <si>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</si>
  <si>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</si>
  <si>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</si>
  <si>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</si>
  <si>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</si>
  <si>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</si>
  <si>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</si>
  <si>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</si>
  <si>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</si>
  <si>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</si>
  <si>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</si>
  <si>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</si>
  <si>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</si>
  <si>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</si>
  <si>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</si>
  <si>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</si>
  <si>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</si>
  <si>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</si>
  <si>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</si>
  <si>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</si>
  <si>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</si>
  <si>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</si>
  <si>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</si>
  <si>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</si>
  <si>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</si>
  <si>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</si>
  <si>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</si>
  <si>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</si>
  <si>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</si>
  <si>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</si>
  <si>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</si>
  <si>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</si>
  <si>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</si>
  <si>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</si>
  <si>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</si>
  <si>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</si>
  <si>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</si>
  <si>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</si>
  <si>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</si>
  <si>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</si>
  <si>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</si>
  <si>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</si>
  <si>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</si>
  <si>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</si>
  <si>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</si>
  <si>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</si>
  <si>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</si>
  <si>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</si>
  <si>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</si>
  <si>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</si>
  <si>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</si>
  <si>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</si>
  <si>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</si>
  <si>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</si>
  <si>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</si>
  <si>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</si>
  <si>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</si>
  <si>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</si>
  <si>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</si>
  <si>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</si>
  <si>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</si>
  <si>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</si>
  <si>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</si>
  <si>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</si>
  <si>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</si>
  <si>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</si>
  <si>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</si>
  <si>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</si>
  <si>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</si>
  <si>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</si>
  <si>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</si>
  <si>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</si>
  <si>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</si>
  <si>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</si>
  <si>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</si>
  <si>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</si>
  <si>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</si>
  <si>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</si>
  <si>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</si>
  <si>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</si>
  <si>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</si>
  <si>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</si>
  <si>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</si>
  <si>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</si>
  <si>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</si>
  <si>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</si>
  <si>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</si>
  <si>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</si>
  <si>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</si>
  <si>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</si>
  <si>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</si>
  <si>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</si>
  <si>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</si>
  <si>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</si>
  <si>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</si>
  <si>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</si>
  <si>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</si>
  <si>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</si>
  <si>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</si>
  <si>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</si>
  <si>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</si>
  <si>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</si>
  <si>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</si>
  <si>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</si>
  <si>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</si>
  <si>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</si>
  <si>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</si>
  <si>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</si>
  <si>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</si>
  <si>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</si>
  <si>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</si>
  <si>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</si>
  <si>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</si>
  <si>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</si>
  <si>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</si>
  <si>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</si>
  <si>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</si>
  <si>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</si>
  <si>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</si>
  <si>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</si>
  <si>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</si>
  <si>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</si>
  <si>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</si>
  <si>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</si>
  <si>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</si>
  <si>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</si>
  <si>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</si>
  <si>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</si>
  <si>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</si>
  <si>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</si>
  <si>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</si>
  <si>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</si>
  <si>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</si>
  <si>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</si>
  <si>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</si>
  <si>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</si>
  <si>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</si>
  <si>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</si>
  <si>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</si>
  <si>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</si>
  <si>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</si>
  <si>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</si>
  <si>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</si>
  <si>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</si>
  <si>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</si>
  <si>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</si>
  <si>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</si>
  <si>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</si>
  <si>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</si>
  <si>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</si>
  <si>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</si>
  <si>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</si>
  <si>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</si>
  <si>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</si>
  <si>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</si>
  <si>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</si>
  <si>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</si>
  <si>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</si>
  <si>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</si>
  <si>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</si>
  <si>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</si>
  <si>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</si>
  <si>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</si>
  <si>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</si>
  <si>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</si>
  <si>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</si>
  <si>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</si>
  <si>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</si>
  <si>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</si>
  <si>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</si>
  <si>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</si>
  <si>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</si>
  <si>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</si>
  <si>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</si>
  <si>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</si>
  <si>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</si>
  <si>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</si>
  <si>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</si>
  <si>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</si>
  <si>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</si>
  <si>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</si>
  <si>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</si>
  <si>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</si>
  <si>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</si>
  <si>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</si>
  <si>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</si>
  <si>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</si>
  <si>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</si>
  <si>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</si>
  <si>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</si>
  <si>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</si>
  <si>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</si>
  <si>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</si>
  <si>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</si>
  <si>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</si>
  <si>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</si>
  <si>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</si>
  <si>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</si>
  <si>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</si>
  <si>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</si>
  <si>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</si>
  <si>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</si>
  <si>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</si>
  <si>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</si>
  <si>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</si>
  <si>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</si>
  <si>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</si>
  <si>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</si>
  <si>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</si>
  <si>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</si>
  <si>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</si>
  <si>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</si>
  <si>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</si>
  <si>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</si>
  <si>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</si>
  <si>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</si>
  <si>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</si>
  <si>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</si>
  <si>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</si>
  <si>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</si>
  <si>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</si>
  <si>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</si>
  <si>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</si>
  <si>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</si>
  <si>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</si>
  <si>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</si>
  <si>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</si>
  <si>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</si>
  <si>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</si>
  <si>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</si>
  <si>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</si>
  <si>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</si>
  <si>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</si>
  <si>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</si>
  <si>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</si>
  <si>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</si>
  <si>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</si>
  <si>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</si>
  <si>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</si>
  <si>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</si>
  <si>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</si>
  <si>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</si>
  <si>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</si>
  <si>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</si>
  <si>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</si>
  <si>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</si>
  <si>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</si>
  <si>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</si>
  <si>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</si>
  <si>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</si>
  <si>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</si>
  <si>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</si>
  <si>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</si>
  <si>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</si>
  <si>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</si>
  <si>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</si>
  <si>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</si>
  <si>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</si>
  <si>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</si>
  <si>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</si>
  <si>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</si>
  <si>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</si>
  <si>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</si>
  <si>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</si>
  <si>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</si>
  <si>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</si>
  <si>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</si>
  <si>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</si>
  <si>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</si>
  <si>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</si>
  <si>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</si>
  <si>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</si>
  <si>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</si>
  <si>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</si>
  <si>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</si>
  <si>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</si>
  <si>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</si>
  <si>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</si>
  <si>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</si>
  <si>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</si>
  <si>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</si>
  <si>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</si>
  <si>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</si>
  <si>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</si>
  <si>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</si>
  <si>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</si>
  <si>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</si>
  <si>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</si>
  <si>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</si>
  <si>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</si>
  <si>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</si>
  <si>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</si>
  <si>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</si>
  <si>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</si>
  <si>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</si>
  <si>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</si>
  <si>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</si>
  <si>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</si>
  <si>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</si>
  <si>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</si>
  <si>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</si>
  <si>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</si>
  <si>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</si>
  <si>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</si>
  <si>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</si>
  <si>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</si>
  <si>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</si>
  <si>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</si>
  <si>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</si>
  <si>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</si>
  <si>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</si>
  <si>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</si>
  <si>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</si>
  <si>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</si>
  <si>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</si>
  <si>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</si>
  <si>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</si>
  <si>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</si>
  <si>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</si>
  <si>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</si>
  <si>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</si>
  <si>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</si>
  <si>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</si>
  <si>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</si>
  <si>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</si>
  <si>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</si>
  <si>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</si>
  <si>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</si>
  <si>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</si>
  <si>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</si>
  <si>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</si>
  <si>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</si>
  <si>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</si>
  <si>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</si>
  <si>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</si>
  <si>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</si>
  <si>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</si>
  <si>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</si>
  <si>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</si>
  <si>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</si>
  <si>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</si>
  <si>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</si>
  <si>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</si>
  <si>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</si>
  <si>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</si>
  <si>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</si>
  <si>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</si>
  <si>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</si>
  <si>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</si>
  <si>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</si>
  <si>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</si>
  <si>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</si>
  <si>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</si>
  <si>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</si>
  <si>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</si>
  <si>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</si>
  <si>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</si>
  <si>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</si>
  <si>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</si>
  <si>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</si>
  <si>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</si>
  <si>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</si>
  <si>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</si>
  <si>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</si>
  <si>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</si>
  <si>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</si>
  <si>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</si>
  <si>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</si>
  <si>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</si>
  <si>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</si>
  <si>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</si>
  <si>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</si>
  <si>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</si>
  <si>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</si>
  <si>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</si>
  <si>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</si>
  <si>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</si>
  <si>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</si>
  <si>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</si>
  <si>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</si>
  <si>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</si>
  <si>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</si>
  <si>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</si>
  <si>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</si>
  <si>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</si>
  <si>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</si>
  <si>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</si>
  <si>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</si>
  <si>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</si>
  <si>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</si>
  <si>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</si>
  <si>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</si>
  <si>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</si>
  <si>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</si>
  <si>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</si>
  <si>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</si>
  <si>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</si>
  <si>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</si>
  <si>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</si>
  <si>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</si>
  <si>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</si>
  <si>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</si>
  <si>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</si>
  <si>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</si>
  <si>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</si>
  <si>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</si>
  <si>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</si>
  <si>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</si>
  <si>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</si>
  <si>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</si>
  <si>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</si>
  <si>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</si>
  <si>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</si>
  <si>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</si>
  <si>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</si>
  <si>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</si>
  <si>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</si>
  <si>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</si>
  <si>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</si>
  <si>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</si>
  <si>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</si>
  <si>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</si>
  <si>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</si>
  <si>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</si>
  <si>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</si>
  <si>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</si>
  <si>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</si>
  <si>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</si>
  <si>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</si>
  <si>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</si>
  <si>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</si>
  <si>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</si>
  <si>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</si>
  <si>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</si>
  <si>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</si>
  <si>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</si>
  <si>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</si>
  <si>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</si>
  <si>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</si>
  <si>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</si>
  <si>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</si>
  <si>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</si>
  <si>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</si>
  <si>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</si>
  <si>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</si>
  <si>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</si>
  <si>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</si>
  <si>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</si>
  <si>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</si>
  <si>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</si>
  <si>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</si>
  <si>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</si>
  <si>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</si>
  <si>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</si>
  <si>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</si>
  <si>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</si>
  <si>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</si>
  <si>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</si>
  <si>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</si>
  <si>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</si>
  <si>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</si>
  <si>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</si>
  <si>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</si>
  <si>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</si>
  <si>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</si>
  <si>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</si>
  <si>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</si>
  <si>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</si>
  <si>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</si>
  <si>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</si>
  <si>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</si>
  <si>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</si>
  <si>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</si>
  <si>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</si>
  <si>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</si>
  <si>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</si>
  <si>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</si>
  <si>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</si>
  <si>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</si>
  <si>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</si>
  <si>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</si>
  <si>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</si>
  <si>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</si>
  <si>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</si>
  <si>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</si>
  <si>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</si>
  <si>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</si>
  <si>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</si>
  <si>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</si>
  <si>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</si>
  <si>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</si>
  <si>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</si>
  <si>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</si>
  <si>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</si>
  <si>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</si>
  <si>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</si>
  <si>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</si>
  <si>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</si>
  <si>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</si>
  <si>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</si>
  <si>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</si>
  <si>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</si>
  <si>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</si>
  <si>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</si>
  <si>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</si>
  <si>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</si>
  <si>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</si>
  <si>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</si>
  <si>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</si>
  <si>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</si>
  <si>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</si>
  <si>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</si>
  <si>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</si>
  <si>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</si>
  <si>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</si>
  <si>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</si>
  <si>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</si>
  <si>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</si>
  <si>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</si>
  <si>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</si>
  <si>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</si>
  <si>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</si>
  <si>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</si>
  <si>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</si>
  <si>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</si>
  <si>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</si>
  <si>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</si>
  <si>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</si>
  <si>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</si>
  <si>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</si>
  <si>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</si>
  <si>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</si>
  <si>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</si>
  <si>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</si>
  <si>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</si>
  <si>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</si>
  <si>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</si>
  <si>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</si>
  <si>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</si>
  <si>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</si>
  <si>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</si>
  <si>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</si>
  <si>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</si>
  <si>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</si>
  <si>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</si>
  <si>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</si>
  <si>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</si>
  <si>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</si>
  <si>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</si>
  <si>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</si>
  <si>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</si>
  <si>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</si>
  <si>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</si>
  <si>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</si>
  <si>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</si>
  <si>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</si>
  <si>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</si>
  <si>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</si>
  <si>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</si>
  <si>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</si>
  <si>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</si>
  <si>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</si>
  <si>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</si>
  <si>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</si>
  <si>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</si>
  <si>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</si>
  <si>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</si>
  <si>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</si>
  <si>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</si>
  <si>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</si>
  <si>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</si>
  <si>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</si>
  <si>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</si>
  <si>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</si>
  <si>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</si>
  <si>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</si>
  <si>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</si>
  <si>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</si>
  <si>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</si>
  <si>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</si>
  <si>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</si>
  <si>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</si>
  <si>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</si>
  <si>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</si>
  <si>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</si>
  <si>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</si>
  <si>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</si>
  <si>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</si>
  <si>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</si>
  <si>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</si>
  <si>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</si>
  <si>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</si>
  <si>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</si>
  <si>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</si>
  <si>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</si>
  <si>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</si>
  <si>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</si>
  <si>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</si>
  <si>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</si>
  <si>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</si>
  <si>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</si>
  <si>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</si>
  <si>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</si>
  <si>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</si>
  <si>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</si>
  <si>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</si>
  <si>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</si>
  <si>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</si>
  <si>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</si>
  <si>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</si>
  <si>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</si>
  <si>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</si>
  <si>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</si>
  <si>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</si>
  <si>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</si>
  <si>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</si>
  <si>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</si>
  <si>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</si>
  <si>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</si>
  <si>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</si>
  <si>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</si>
  <si>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</si>
  <si>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</si>
  <si>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</si>
  <si>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</si>
  <si>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</si>
  <si>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</si>
  <si>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</si>
  <si>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</si>
  <si>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</si>
  <si>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</si>
  <si>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</si>
  <si>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</si>
  <si>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</si>
  <si>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</si>
  <si>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</si>
  <si>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</si>
  <si>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</si>
  <si>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</si>
  <si>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</si>
  <si>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</si>
  <si>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</si>
  <si>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</si>
  <si>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</si>
  <si>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</si>
  <si>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</si>
  <si>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</si>
  <si>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</si>
  <si>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</si>
  <si>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</si>
  <si>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</si>
  <si>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</si>
  <si>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</si>
  <si>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</si>
  <si>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</si>
  <si>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</si>
  <si>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</si>
  <si>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</si>
  <si>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</si>
  <si>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</si>
  <si>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</si>
  <si>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</si>
  <si>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</si>
  <si>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</si>
  <si>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</si>
  <si>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</si>
  <si>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</si>
  <si>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</si>
  <si>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</si>
  <si>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</si>
  <si>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</si>
  <si>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</si>
  <si>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</si>
  <si>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</si>
  <si>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</si>
  <si>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</si>
  <si>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</si>
  <si>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</si>
  <si>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</si>
  <si>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</si>
  <si>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</si>
  <si>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</si>
  <si>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</si>
  <si>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</si>
  <si>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</si>
  <si>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</si>
  <si>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</si>
  <si>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</si>
  <si>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</si>
  <si>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</si>
  <si>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</si>
  <si>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</si>
  <si>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</si>
  <si>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</si>
  <si>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</si>
  <si>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</si>
  <si>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</si>
  <si>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</si>
  <si>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</si>
  <si>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</si>
  <si>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</si>
  <si>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</si>
  <si>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</si>
  <si>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</si>
  <si>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</si>
  <si>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</si>
  <si>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</si>
  <si>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</si>
  <si>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</si>
  <si>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</si>
  <si>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</si>
  <si>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</si>
  <si>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</si>
  <si>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</si>
  <si>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</si>
  <si>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</si>
  <si>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</si>
  <si>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</si>
  <si>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</si>
  <si>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</si>
  <si>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</si>
  <si>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</si>
  <si>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</si>
  <si>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</si>
  <si>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</si>
  <si>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</si>
  <si>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</si>
  <si>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</si>
  <si>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</si>
  <si>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</si>
  <si>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</si>
  <si>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</si>
  <si>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</si>
  <si>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</si>
  <si>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</si>
  <si>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</si>
  <si>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</si>
  <si>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</si>
  <si>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</si>
  <si>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</si>
  <si>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</si>
  <si>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</si>
  <si>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</si>
  <si>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</si>
  <si>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</si>
  <si>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</si>
  <si>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</si>
  <si>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</si>
  <si>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</si>
  <si>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</si>
  <si>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</si>
  <si>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</si>
  <si>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</si>
  <si>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</si>
  <si>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</si>
  <si>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</si>
  <si>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</si>
  <si>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</si>
  <si>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</si>
  <si>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</si>
  <si>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</si>
  <si>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</si>
  <si>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</si>
  <si>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</si>
  <si>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</si>
  <si>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</si>
  <si>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</si>
  <si>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</si>
  <si>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</si>
  <si>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</si>
  <si>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</si>
  <si>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</si>
  <si>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</si>
  <si>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</si>
  <si>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</si>
  <si>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</si>
  <si>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</si>
  <si>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</si>
  <si>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</si>
  <si>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</si>
  <si>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</si>
  <si>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</si>
  <si>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</si>
  <si>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</si>
  <si>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</si>
  <si>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</si>
  <si>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</si>
  <si>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</si>
  <si>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</si>
  <si>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</si>
  <si>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</si>
  <si>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</si>
  <si>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</si>
  <si>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</si>
  <si>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</si>
  <si>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</si>
  <si>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</si>
  <si>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</si>
  <si>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</si>
  <si>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</si>
  <si>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</si>
  <si>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</si>
  <si>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</si>
  <si>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</si>
  <si>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</si>
  <si>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</si>
  <si>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</si>
  <si>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</si>
  <si>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</si>
  <si>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</si>
  <si>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</si>
  <si>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</si>
  <si>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</si>
  <si>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</si>
  <si>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</si>
  <si>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</si>
  <si>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</si>
  <si>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</si>
  <si>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</si>
  <si>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</si>
  <si>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</si>
  <si>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</si>
  <si>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</si>
  <si>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</si>
  <si>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</si>
  <si>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</si>
  <si>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</si>
  <si>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</si>
  <si>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</si>
  <si>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</si>
  <si>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</si>
  <si>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</si>
  <si>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</si>
  <si>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</si>
  <si>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</si>
  <si>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</si>
  <si>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</si>
  <si>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</si>
  <si>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</si>
  <si>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</si>
  <si>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</si>
  <si>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</si>
  <si>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</si>
  <si>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</si>
  <si>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</si>
  <si>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</si>
  <si>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</si>
  <si>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</si>
  <si>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</si>
  <si>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</si>
  <si>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</si>
  <si>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</si>
  <si>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</si>
  <si>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</si>
  <si>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</si>
  <si>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</si>
  <si>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</si>
  <si>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</si>
  <si>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</si>
  <si>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</si>
  <si>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</si>
  <si>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</si>
  <si>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</si>
  <si>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</si>
  <si>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</si>
  <si>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</si>
  <si>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</si>
  <si>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</si>
  <si>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</si>
  <si>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</si>
  <si>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</si>
  <si>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</si>
  <si>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</si>
  <si>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</si>
  <si>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</si>
  <si>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</si>
  <si>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</si>
  <si>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</si>
  <si>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</si>
  <si>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</si>
  <si>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</si>
  <si>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</si>
  <si>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</si>
  <si>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</si>
  <si>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</si>
  <si>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</si>
  <si>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</si>
  <si>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</si>
  <si>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</si>
  <si>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</si>
  <si>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</si>
  <si>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</si>
  <si>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</si>
  <si>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</si>
  <si>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</si>
  <si>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</si>
  <si>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</si>
  <si>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</si>
  <si>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</si>
  <si>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</si>
  <si>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</si>
  <si>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</si>
  <si>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</si>
  <si>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</si>
  <si>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</si>
  <si>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</si>
  <si>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</si>
  <si>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</si>
  <si>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</si>
  <si>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</si>
  <si>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</si>
  <si>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</si>
  <si>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</si>
  <si>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</si>
  <si>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</si>
  <si>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</si>
  <si>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</si>
  <si>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</si>
  <si>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</si>
  <si>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</si>
  <si>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</si>
  <si>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</si>
  <si>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</si>
  <si>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</si>
  <si>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</si>
  <si>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</si>
  <si>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</si>
  <si>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</si>
  <si>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</si>
  <si>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</si>
  <si>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</si>
  <si>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</si>
  <si>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</si>
  <si>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</si>
  <si>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</si>
  <si>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</si>
  <si>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</si>
  <si>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</si>
  <si>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</si>
  <si>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</si>
  <si>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</si>
  <si>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</si>
  <si>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</si>
  <si>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</si>
  <si>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</si>
  <si>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</si>
  <si>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</si>
  <si>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</si>
  <si>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</si>
  <si>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</si>
  <si>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</si>
  <si>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</si>
  <si>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</si>
  <si>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</si>
  <si>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</si>
  <si>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</si>
  <si>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</si>
  <si>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</si>
  <si>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</si>
  <si>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</si>
  <si>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</si>
  <si>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</si>
  <si>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</si>
  <si>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</si>
  <si>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</si>
  <si>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</si>
  <si>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</si>
  <si>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</si>
  <si>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</si>
  <si>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</si>
  <si>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</si>
  <si>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</si>
  <si>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</si>
  <si>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</si>
  <si>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</si>
  <si>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</si>
  <si>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</si>
  <si>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</si>
  <si>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</si>
  <si>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</si>
  <si>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</si>
  <si>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</si>
  <si>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</si>
  <si>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</si>
  <si>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</si>
  <si>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</si>
  <si>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</si>
  <si>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</si>
  <si>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</si>
  <si>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</si>
  <si>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</si>
  <si>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</si>
  <si>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</si>
  <si>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</si>
  <si>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</si>
  <si>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</si>
  <si>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</si>
  <si>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</si>
  <si>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</si>
  <si>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</si>
  <si>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</si>
  <si>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</si>
  <si>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</si>
  <si>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</si>
  <si>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</si>
  <si>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</si>
  <si>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</si>
  <si>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</si>
  <si>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</si>
  <si>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</si>
  <si>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</si>
  <si>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</si>
  <si>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</si>
  <si>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</si>
  <si>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</si>
  <si>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</si>
  <si>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</si>
  <si>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</si>
  <si>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</si>
  <si>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</si>
  <si>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</si>
  <si>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</si>
  <si>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</si>
  <si>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</si>
  <si>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</si>
  <si>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</si>
  <si>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</si>
  <si>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</si>
  <si>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</si>
  <si>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</si>
  <si>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</si>
  <si>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</si>
  <si>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</si>
  <si>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</si>
  <si>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</si>
  <si>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</si>
  <si>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</si>
  <si>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</si>
  <si>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</si>
  <si>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</si>
  <si>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</si>
  <si>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</si>
  <si>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</si>
  <si>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</si>
  <si>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</si>
  <si>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</si>
  <si>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</si>
  <si>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</si>
  <si>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</si>
  <si>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</si>
  <si>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</si>
  <si>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</si>
  <si>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</si>
  <si>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</si>
  <si>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</si>
  <si>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</si>
  <si>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</si>
  <si>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</si>
  <si>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</si>
  <si>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</si>
  <si>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</si>
  <si>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</si>
  <si>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</si>
  <si>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</si>
  <si>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</si>
  <si>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</si>
  <si>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</si>
  <si>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</si>
  <si>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</si>
  <si>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</si>
  <si>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</si>
  <si>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</si>
  <si>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</si>
  <si>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</si>
  <si>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</si>
  <si>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</si>
  <si>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</si>
  <si>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</si>
  <si>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</si>
  <si>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</si>
  <si>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</si>
  <si>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</si>
  <si>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</si>
  <si>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</si>
  <si>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</si>
  <si>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</si>
  <si>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</si>
  <si>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</si>
  <si>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</si>
  <si>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</si>
  <si>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</si>
  <si>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</si>
  <si>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</si>
  <si>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</si>
  <si>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</si>
  <si>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</si>
  <si>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</si>
  <si>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</si>
  <si>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</si>
  <si>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</si>
  <si>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</si>
  <si>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</si>
  <si>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</si>
  <si>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</si>
  <si>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</si>
  <si>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</si>
  <si>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</si>
  <si>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</si>
  <si>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</si>
  <si>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</si>
  <si>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</si>
  <si>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</si>
  <si>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</si>
  <si>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</si>
  <si>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</si>
  <si>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</si>
  <si>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</si>
  <si>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</si>
  <si>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</si>
  <si>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</si>
  <si>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</si>
  <si>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</si>
  <si>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</si>
  <si>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</si>
  <si>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</si>
  <si>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</si>
  <si>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</si>
  <si>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</si>
  <si>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</si>
  <si>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</si>
  <si>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</si>
  <si>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</si>
  <si>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</si>
  <si>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</si>
  <si>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</si>
  <si>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</si>
  <si>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</si>
  <si>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</si>
  <si>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</si>
  <si>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</si>
  <si>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</si>
  <si>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</si>
  <si>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</si>
  <si>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</si>
  <si>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</si>
  <si>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</si>
  <si>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</si>
  <si>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</si>
  <si>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</si>
  <si>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</si>
  <si>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</si>
  <si>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</si>
  <si>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</si>
  <si>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</si>
  <si>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</si>
  <si>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</si>
  <si>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</si>
  <si>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</si>
  <si>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</si>
  <si>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</si>
  <si>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</si>
  <si>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</si>
  <si>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</si>
  <si>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</si>
  <si>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</si>
  <si>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</si>
  <si>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</si>
  <si>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</si>
  <si>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</si>
  <si>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</si>
  <si>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</si>
  <si>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</si>
  <si>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</si>
  <si>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</si>
  <si>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</si>
  <si>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</si>
  <si>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</si>
  <si>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</si>
  <si>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</si>
  <si>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</si>
  <si>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</si>
  <si>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</si>
  <si>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</si>
  <si>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</si>
  <si>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</si>
  <si>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</si>
  <si>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</si>
  <si>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</si>
  <si>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</si>
  <si>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</si>
  <si>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</si>
  <si>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</si>
  <si>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</si>
  <si>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</si>
  <si>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</si>
  <si>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</si>
  <si>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</si>
  <si>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</si>
  <si>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</si>
  <si>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</si>
  <si>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</si>
  <si>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</si>
  <si>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</si>
  <si>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</si>
  <si>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</si>
  <si>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</si>
  <si>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</si>
  <si>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</si>
  <si>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</si>
  <si>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</si>
  <si>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</si>
  <si>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</si>
  <si>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</si>
  <si>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</si>
  <si>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</si>
  <si>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</si>
  <si>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</si>
  <si>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</si>
  <si>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</si>
  <si>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</si>
  <si>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</si>
  <si>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</si>
  <si>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</si>
  <si>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</si>
  <si>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</si>
  <si>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</si>
  <si>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</si>
  <si>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</si>
  <si>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</si>
  <si>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</si>
  <si>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</si>
  <si>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</si>
  <si>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</si>
  <si>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</si>
  <si>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</si>
  <si>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</si>
  <si>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</si>
  <si>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</si>
  <si>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</si>
  <si>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</si>
  <si>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</si>
  <si>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</si>
  <si>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</si>
  <si>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</si>
  <si>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</si>
  <si>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</si>
  <si>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</si>
  <si>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</si>
  <si>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</si>
  <si>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</si>
  <si>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</si>
  <si>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</si>
  <si>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</si>
  <si>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</si>
  <si>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</si>
  <si>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</si>
  <si>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</si>
  <si>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</si>
  <si>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</si>
  <si>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</si>
  <si>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</si>
  <si>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</si>
  <si>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</si>
  <si>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</si>
  <si>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</si>
  <si>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</si>
  <si>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</si>
  <si>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</si>
  <si>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</si>
  <si>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</si>
  <si>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</si>
  <si>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</si>
  <si>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</si>
  <si>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</si>
  <si>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</si>
  <si>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</si>
  <si>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</si>
  <si>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</si>
  <si>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</si>
  <si>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</si>
  <si>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</si>
  <si>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</si>
  <si>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</si>
  <si>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</si>
  <si>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</si>
  <si>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</si>
  <si>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</si>
  <si>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</si>
  <si>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</si>
  <si>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</si>
  <si>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</si>
  <si>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</si>
  <si>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</si>
  <si>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</si>
  <si>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</si>
  <si>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</si>
  <si>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</si>
  <si>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</si>
  <si>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</si>
  <si>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</si>
  <si>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</si>
  <si>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</si>
  <si>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</si>
  <si>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</si>
  <si>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</si>
  <si>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</si>
  <si>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</si>
  <si>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</si>
  <si>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</si>
  <si>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</si>
  <si>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</si>
  <si>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</si>
  <si>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</si>
  <si>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</si>
  <si>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</si>
  <si>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</si>
  <si>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</si>
  <si>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</si>
  <si>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</si>
  <si>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</si>
  <si>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</si>
  <si>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</si>
  <si>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</si>
  <si>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</si>
  <si>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</si>
  <si>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</si>
  <si>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</si>
  <si>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</si>
  <si>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</si>
  <si>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</si>
  <si>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</si>
  <si>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</si>
  <si>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</si>
  <si>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</si>
  <si>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</si>
  <si>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</si>
  <si>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</si>
  <si>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</si>
  <si>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</si>
  <si>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</si>
  <si>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</si>
  <si>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</si>
  <si>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</si>
  <si>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</si>
  <si>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</si>
  <si>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</si>
  <si>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</si>
  <si>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</si>
  <si>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</si>
  <si>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</si>
  <si>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</si>
  <si>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</si>
  <si>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</si>
  <si>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</si>
  <si>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</si>
  <si>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</si>
  <si>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</si>
  <si>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</si>
  <si>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</si>
  <si>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</si>
  <si>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</si>
  <si>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</si>
  <si>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</si>
  <si>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</si>
  <si>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</si>
  <si>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</si>
  <si>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</si>
  <si>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</si>
  <si>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</si>
  <si>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</si>
  <si>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</si>
  <si>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</si>
  <si>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</si>
  <si>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</si>
  <si>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</si>
  <si>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</si>
  <si>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</si>
  <si>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</si>
  <si>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</si>
  <si>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</si>
  <si>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</si>
  <si>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</si>
  <si>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</si>
  <si>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</si>
  <si>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</si>
  <si>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</si>
  <si>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</si>
  <si>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</si>
  <si>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</si>
  <si>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</si>
  <si>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</si>
  <si>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</si>
  <si>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</si>
  <si>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</si>
  <si>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</si>
  <si>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</si>
  <si>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</si>
  <si>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</si>
  <si>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</si>
  <si>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</si>
  <si>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</si>
  <si>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</si>
  <si>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</si>
  <si>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</si>
  <si>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</si>
  <si>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</si>
  <si>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</si>
  <si>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</si>
  <si>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</si>
  <si>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</si>
  <si>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</si>
  <si>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</si>
  <si>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</si>
  <si>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</si>
  <si>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</si>
  <si>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</si>
  <si>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</si>
  <si>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</si>
  <si>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</si>
  <si>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</si>
  <si>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</si>
  <si>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</si>
  <si>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</si>
  <si>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</si>
  <si>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</si>
  <si>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</si>
  <si>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</si>
  <si>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</si>
  <si>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</si>
  <si>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</si>
  <si>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</si>
  <si>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</si>
  <si>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</si>
  <si>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</si>
  <si>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</si>
  <si>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</si>
  <si>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</si>
  <si>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</si>
  <si>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</si>
  <si>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</si>
  <si>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</si>
  <si>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</si>
  <si>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</si>
  <si>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</si>
  <si>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</si>
  <si>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</si>
  <si>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</si>
  <si>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</si>
  <si>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</si>
  <si>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</si>
  <si>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</si>
  <si>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</si>
  <si>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</si>
  <si>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</si>
  <si>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</si>
  <si>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</si>
  <si>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</si>
  <si>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</si>
  <si>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</si>
  <si>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</si>
  <si>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</si>
  <si>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</si>
  <si>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</si>
  <si>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</si>
  <si>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</si>
  <si>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</si>
  <si>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</si>
  <si>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</si>
  <si>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</si>
  <si>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</si>
  <si>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</si>
  <si>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</si>
  <si>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</si>
  <si>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</si>
  <si>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</si>
  <si>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</si>
  <si>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</si>
  <si>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</si>
  <si>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</si>
  <si>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</si>
  <si>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</si>
  <si>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</si>
  <si>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</si>
  <si>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</si>
  <si>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</si>
  <si>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</si>
  <si>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</si>
  <si>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</si>
  <si>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</si>
  <si>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</si>
  <si>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</si>
  <si>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</si>
  <si>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</si>
  <si>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</si>
  <si>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</si>
  <si>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</si>
  <si>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</si>
  <si>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</si>
  <si>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</si>
  <si>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</si>
  <si>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</si>
  <si>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</si>
  <si>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</si>
  <si>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</si>
  <si>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</si>
  <si>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</si>
  <si>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</si>
  <si>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</si>
  <si>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</si>
  <si>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</si>
  <si>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</si>
  <si>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</si>
  <si>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</si>
  <si>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</si>
  <si>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</si>
  <si>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</si>
  <si>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</si>
  <si>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</si>
  <si>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</si>
  <si>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</si>
  <si>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</si>
  <si>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</si>
  <si>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</si>
  <si>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</si>
  <si>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</si>
  <si>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</si>
  <si>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</si>
  <si>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</si>
  <si>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</si>
  <si>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</si>
  <si>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</si>
  <si>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</si>
  <si>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</si>
  <si>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</si>
  <si>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</si>
  <si>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</si>
  <si>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</si>
  <si>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</si>
  <si>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</si>
  <si>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</si>
  <si>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</si>
  <si>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</si>
  <si>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</si>
  <si>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</si>
  <si>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</si>
  <si>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</si>
  <si>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</si>
  <si>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</si>
  <si>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</si>
  <si>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</si>
  <si>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</si>
  <si>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</si>
  <si>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</si>
  <si>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</si>
  <si>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</si>
  <si>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</si>
  <si>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</si>
  <si>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</si>
  <si>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</si>
  <si>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</si>
  <si>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</si>
  <si>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</si>
  <si>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</si>
  <si>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</si>
  <si>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</si>
  <si>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</si>
  <si>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</si>
  <si>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</si>
  <si>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</si>
  <si>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</si>
  <si>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</si>
  <si>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</si>
  <si>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</si>
  <si>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</si>
  <si>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</si>
  <si>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</si>
  <si>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</si>
  <si>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</si>
  <si>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</si>
  <si>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</si>
  <si>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</si>
  <si>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</si>
  <si>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</si>
  <si>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</si>
  <si>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</si>
  <si>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</si>
  <si>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</si>
  <si>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</si>
  <si>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</si>
  <si>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</si>
  <si>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</si>
  <si>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</si>
  <si>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</si>
  <si>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</si>
  <si>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</si>
  <si>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</si>
  <si>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</si>
  <si>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</si>
  <si>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</si>
  <si>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</si>
  <si>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</si>
  <si>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</si>
  <si>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</si>
  <si>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</si>
  <si>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</si>
  <si>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</si>
  <si>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</si>
  <si>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</si>
  <si>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</si>
  <si>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</si>
  <si>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</si>
  <si>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</si>
  <si>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</si>
  <si>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</si>
  <si>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</si>
  <si>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</si>
  <si>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</si>
  <si>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</si>
  <si>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</si>
  <si>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</si>
  <si>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</si>
  <si>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</si>
  <si>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</si>
  <si>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</si>
  <si>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</si>
  <si>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</si>
  <si>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</si>
  <si>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</si>
  <si>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</si>
  <si>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</si>
  <si>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</si>
  <si>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</si>
  <si>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</si>
  <si>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</si>
  <si>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</si>
  <si>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</si>
  <si>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</si>
  <si>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</si>
  <si>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</si>
  <si>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</si>
  <si>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</si>
  <si>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</si>
  <si>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</si>
  <si>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</si>
  <si>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</si>
  <si>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</si>
  <si>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</si>
  <si>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</si>
  <si>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</si>
  <si>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</si>
  <si>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</si>
  <si>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</si>
  <si>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</si>
  <si>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</si>
  <si>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</si>
  <si>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</si>
  <si>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</si>
  <si>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</si>
  <si>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</si>
  <si>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</si>
  <si>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</si>
  <si>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</si>
  <si>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</si>
  <si>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</si>
  <si>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</si>
  <si>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</si>
  <si>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</si>
  <si>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</si>
  <si>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</si>
  <si>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</si>
  <si>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</si>
  <si>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</si>
  <si>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</si>
  <si>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</si>
  <si>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</si>
  <si>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</si>
  <si>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</si>
  <si>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</si>
  <si>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</si>
  <si>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</si>
  <si>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</si>
  <si>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</si>
  <si>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</si>
  <si>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</si>
  <si>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</si>
  <si>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</si>
  <si>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</si>
  <si>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</si>
  <si>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</si>
  <si>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</si>
  <si>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</si>
  <si>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</si>
  <si>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</si>
  <si>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</si>
  <si>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</si>
  <si>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</si>
  <si>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</si>
  <si>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</si>
  <si>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</si>
  <si>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</si>
  <si>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</si>
  <si>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</si>
  <si>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</si>
  <si>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</si>
  <si>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</si>
  <si>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</si>
  <si>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</si>
  <si>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</si>
  <si>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</si>
  <si>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</si>
  <si>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</si>
  <si>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</si>
  <si>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</si>
  <si>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</si>
  <si>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</si>
  <si>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</si>
  <si>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</si>
  <si>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</si>
  <si>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</si>
  <si>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</si>
  <si>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</si>
  <si>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</si>
  <si>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</si>
  <si>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</si>
  <si>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</si>
  <si>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</si>
  <si>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</si>
  <si>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</si>
  <si>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</si>
  <si>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</si>
  <si>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</si>
  <si>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</si>
  <si>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</si>
  <si>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</si>
  <si>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</si>
  <si>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</si>
  <si>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</si>
  <si>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</si>
  <si>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</si>
  <si>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</si>
  <si>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</si>
  <si>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</si>
  <si>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</si>
  <si>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</si>
  <si>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</si>
  <si>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</si>
  <si>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</si>
  <si>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</si>
  <si>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</si>
  <si>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</si>
  <si>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</si>
  <si>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</si>
  <si>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</si>
  <si>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</si>
  <si>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</si>
  <si>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</si>
  <si>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</si>
  <si>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</si>
  <si>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</si>
  <si>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</si>
  <si>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</si>
  <si>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</si>
  <si>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</si>
  <si>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</si>
  <si>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</si>
  <si>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</si>
  <si>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</si>
  <si>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</si>
  <si>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</si>
  <si>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</si>
  <si>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</si>
  <si>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</si>
  <si>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</si>
  <si>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</si>
  <si>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</si>
  <si>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</si>
  <si>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</si>
  <si>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</si>
  <si>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</si>
  <si>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</si>
  <si>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</si>
  <si>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</si>
  <si>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</si>
  <si>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</si>
  <si>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</si>
  <si>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</si>
  <si>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</si>
  <si>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</si>
  <si>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</si>
  <si>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</si>
  <si>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</si>
  <si>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</si>
  <si>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</si>
  <si>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</si>
  <si>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</si>
  <si>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</si>
  <si>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</si>
  <si>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</si>
  <si>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</si>
  <si>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</si>
  <si>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</si>
  <si>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</si>
  <si>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</si>
  <si>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</si>
  <si>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</si>
  <si>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</si>
  <si>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</si>
  <si>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</si>
  <si>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</si>
  <si>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</si>
  <si>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</si>
  <si>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</si>
  <si>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</si>
  <si>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</si>
  <si>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</si>
  <si>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</si>
  <si>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</si>
  <si>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</si>
  <si>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</si>
  <si>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</si>
  <si>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</si>
  <si>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</si>
  <si>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</si>
  <si>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</si>
  <si>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</si>
  <si>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</si>
  <si>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</si>
  <si>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</si>
  <si>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</si>
  <si>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</si>
  <si>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</si>
  <si>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</si>
  <si>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</si>
  <si>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</si>
  <si>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</si>
  <si>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</si>
  <si>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</si>
  <si>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</si>
  <si>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</si>
  <si>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</si>
  <si>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</si>
  <si>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</si>
  <si>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</si>
  <si>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</si>
  <si>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</si>
  <si>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</si>
  <si>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</si>
  <si>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</si>
  <si>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</si>
  <si>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</si>
  <si>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</si>
  <si>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</si>
  <si>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</si>
  <si>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</si>
  <si>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</si>
  <si>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</si>
  <si>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</si>
  <si>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</si>
  <si>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</si>
  <si>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</si>
  <si>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</si>
  <si>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</si>
  <si>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</si>
  <si>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</si>
  <si>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</si>
  <si>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</si>
  <si>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</si>
  <si>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</si>
  <si>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</si>
  <si>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</si>
  <si>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</si>
  <si>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</si>
  <si>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</si>
  <si>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</si>
  <si>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</si>
  <si>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</si>
  <si>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</si>
  <si>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</si>
  <si>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</si>
  <si>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</si>
  <si>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</si>
  <si>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</si>
  <si>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</si>
  <si>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</si>
  <si>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</si>
  <si>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</si>
  <si>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</si>
  <si>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</si>
  <si>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</si>
  <si>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</si>
  <si>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</si>
  <si>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</si>
  <si>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</si>
  <si>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</si>
  <si>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</si>
  <si>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</si>
  <si>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</si>
  <si>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</si>
  <si>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</si>
  <si>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</si>
  <si>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</si>
  <si>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</si>
  <si>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</si>
  <si>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</si>
  <si>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</si>
  <si>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</si>
  <si>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</si>
  <si>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</si>
  <si>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</si>
  <si>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</si>
  <si>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</si>
  <si>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</si>
  <si>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</si>
  <si>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</si>
  <si>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</si>
  <si>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</si>
  <si>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</si>
  <si>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</si>
  <si>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</si>
  <si>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</si>
  <si>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</si>
  <si>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</si>
  <si>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</si>
  <si>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</si>
  <si>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</si>
  <si>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</si>
  <si>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</si>
  <si>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</si>
  <si>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</si>
  <si>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</si>
  <si>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</si>
  <si>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</si>
  <si>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</si>
  <si>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</si>
  <si>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</si>
  <si>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</si>
  <si>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</si>
  <si>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</si>
  <si>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</si>
  <si>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</si>
  <si>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</si>
  <si>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</si>
  <si>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</si>
  <si>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</si>
  <si>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</si>
  <si>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</si>
  <si>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</si>
  <si>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</si>
  <si>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</si>
  <si>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</si>
  <si>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</si>
  <si>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</si>
  <si>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</si>
  <si>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</si>
  <si>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</si>
  <si>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</si>
  <si>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</si>
  <si>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</si>
  <si>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</si>
  <si>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</si>
  <si>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</si>
  <si>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</si>
  <si>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</si>
  <si>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</si>
  <si>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</si>
  <si>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</si>
  <si>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</si>
  <si>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</si>
  <si>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</si>
  <si>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</si>
  <si>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</si>
  <si>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</si>
  <si>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</si>
  <si>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</si>
  <si>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</si>
  <si>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</si>
  <si>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</si>
  <si>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</si>
  <si>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</si>
  <si>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</si>
  <si>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</si>
  <si>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</si>
  <si>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</si>
  <si>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</si>
  <si>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</si>
  <si>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</si>
  <si>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</si>
  <si>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</si>
  <si>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</si>
  <si>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</si>
  <si>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</si>
  <si>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</si>
  <si>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</si>
  <si>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</si>
  <si>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</si>
  <si>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</si>
  <si>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</si>
  <si>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</si>
  <si>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</si>
  <si>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</si>
  <si>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</si>
  <si>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</si>
  <si>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</si>
  <si>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</si>
  <si>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</si>
  <si>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</si>
  <si>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</si>
  <si>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</si>
  <si>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</si>
  <si>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</si>
  <si>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</si>
  <si>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</si>
  <si>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</si>
  <si>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</si>
  <si>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</si>
  <si>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</si>
  <si>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</si>
  <si>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</si>
  <si>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</si>
  <si>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</si>
  <si>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</si>
  <si>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</si>
  <si>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</si>
  <si>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</si>
  <si>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</si>
  <si>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</si>
  <si>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</si>
  <si>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</si>
  <si>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</si>
  <si>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</si>
  <si>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</si>
  <si>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</si>
  <si>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</si>
  <si>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</si>
  <si>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</si>
  <si>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</si>
  <si>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</si>
  <si>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</si>
  <si>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</si>
  <si>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</si>
  <si>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</si>
  <si>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</si>
  <si>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</si>
  <si>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</si>
  <si>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</si>
  <si>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</si>
  <si>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</si>
  <si>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</si>
  <si>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</si>
  <si>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</si>
  <si>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</si>
  <si>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</si>
  <si>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</si>
  <si>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</si>
  <si>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</si>
  <si>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</si>
  <si>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</si>
  <si>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</si>
  <si>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</si>
  <si>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</si>
  <si>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</si>
  <si>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</si>
  <si>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</si>
  <si>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</si>
  <si>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</si>
  <si>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</si>
  <si>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</si>
  <si>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</si>
  <si>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</si>
  <si>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</si>
  <si>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</si>
  <si>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</si>
  <si>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</si>
  <si>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</si>
  <si>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</si>
  <si>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</si>
  <si>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</si>
  <si>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</si>
  <si>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</si>
  <si>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</si>
  <si>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</si>
  <si>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</si>
  <si>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</si>
  <si>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</si>
  <si>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</si>
  <si>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</si>
  <si>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</si>
  <si>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</si>
  <si>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</si>
  <si>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</si>
  <si>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</si>
  <si>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</si>
  <si>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</si>
  <si>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</si>
  <si>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</si>
  <si>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</si>
  <si>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</si>
  <si>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</si>
  <si>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</si>
  <si>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</si>
  <si>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</si>
  <si>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</si>
  <si>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</si>
  <si>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</si>
  <si>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</si>
  <si>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</si>
  <si>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</si>
  <si>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</si>
  <si>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</si>
  <si>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</si>
  <si>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</si>
  <si>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</si>
  <si>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</si>
  <si>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</si>
  <si>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</si>
  <si>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</si>
  <si>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</si>
  <si>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</si>
  <si>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</si>
  <si>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</si>
  <si>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</si>
  <si>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</si>
  <si>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</si>
  <si>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</si>
  <si>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</si>
  <si>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</si>
  <si>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</si>
  <si>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</si>
  <si>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</si>
  <si>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</si>
  <si>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</si>
  <si>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</si>
  <si>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</si>
  <si>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</si>
  <si>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</si>
  <si>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</si>
  <si>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</si>
  <si>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</si>
  <si>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</si>
  <si>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</si>
  <si>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</si>
  <si>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</si>
  <si>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</si>
  <si>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</si>
  <si>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</si>
  <si>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</si>
  <si>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</si>
  <si>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</si>
  <si>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</si>
  <si>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</si>
  <si>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</si>
  <si>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</si>
  <si>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</si>
  <si>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</si>
  <si>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</si>
  <si>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</si>
  <si>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</si>
  <si>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</si>
  <si>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</si>
  <si>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</si>
  <si>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</si>
  <si>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</si>
  <si>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</si>
  <si>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</si>
  <si>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</si>
  <si>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</si>
  <si>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</si>
  <si>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</si>
  <si>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</si>
  <si>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</si>
  <si>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</si>
  <si>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</si>
  <si>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</si>
  <si>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</si>
  <si>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</si>
  <si>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</si>
  <si>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</si>
  <si>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</si>
  <si>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</si>
  <si>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</si>
  <si>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</si>
  <si>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</si>
  <si>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</si>
  <si>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</si>
  <si>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</si>
  <si>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</si>
  <si>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</si>
  <si>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</si>
  <si>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</si>
  <si>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</si>
  <si>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</si>
  <si>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</si>
  <si>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</si>
  <si>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</si>
  <si>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</si>
  <si>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</si>
  <si>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</si>
  <si>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</si>
  <si>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</si>
  <si>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</si>
  <si>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</si>
  <si>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</si>
  <si>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</si>
  <si>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</si>
  <si>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</si>
  <si>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</si>
  <si>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</si>
  <si>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</si>
  <si>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</si>
  <si>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</si>
  <si>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</si>
  <si>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</si>
  <si>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</si>
  <si>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</si>
  <si>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</si>
  <si>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</si>
  <si>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</si>
  <si>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</si>
  <si>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</si>
  <si>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</si>
  <si>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</si>
  <si>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</si>
  <si>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</si>
  <si>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</si>
  <si>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</si>
  <si>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</si>
  <si>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</si>
  <si>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</si>
  <si>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</si>
  <si>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</si>
  <si>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</si>
  <si>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</si>
  <si>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</si>
  <si>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</si>
  <si>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</si>
  <si>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</si>
  <si>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</si>
  <si>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</si>
  <si>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</si>
  <si>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</si>
  <si>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</si>
  <si>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</si>
  <si>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</si>
  <si>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</si>
  <si>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</si>
  <si>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</si>
  <si>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</si>
  <si>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</si>
  <si>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</si>
  <si>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</si>
  <si>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</si>
  <si>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</si>
  <si>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</si>
  <si>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</si>
  <si>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</si>
  <si>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</si>
  <si>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</si>
  <si>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</si>
  <si>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</si>
  <si>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</si>
  <si>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</si>
  <si>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</si>
  <si>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</si>
  <si>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</si>
  <si>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</si>
  <si>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</si>
  <si>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</si>
  <si>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</si>
  <si>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</si>
  <si>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</si>
  <si>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</si>
  <si>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</si>
  <si>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</si>
  <si>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</si>
  <si>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</si>
  <si>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</si>
  <si>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</si>
  <si>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</si>
  <si>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</si>
  <si>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</si>
  <si>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</si>
  <si>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</si>
  <si>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</si>
  <si>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</si>
  <si>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</si>
  <si>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</si>
  <si>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</si>
  <si>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</si>
  <si>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</si>
  <si>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</si>
  <si>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</si>
  <si>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</si>
  <si>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</si>
  <si>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</si>
  <si>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</si>
  <si>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</si>
  <si>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</si>
  <si>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</si>
  <si>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</si>
  <si>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</si>
  <si>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</si>
  <si>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</si>
  <si>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</si>
  <si>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</si>
  <si>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</si>
  <si>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</si>
  <si>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</si>
  <si>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</si>
  <si>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</si>
  <si>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</si>
  <si>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</si>
  <si>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</si>
  <si>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</si>
  <si>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</si>
  <si>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</si>
  <si>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</si>
  <si>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</si>
  <si>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</si>
  <si>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</si>
  <si>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</si>
  <si>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</si>
  <si>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</si>
  <si>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</si>
  <si>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</si>
  <si>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</si>
  <si>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</si>
  <si>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</si>
  <si>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</si>
  <si>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</si>
  <si>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</si>
  <si>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</si>
  <si>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</si>
  <si>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</si>
  <si>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</si>
  <si>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</si>
  <si>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</si>
  <si>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</si>
  <si>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</si>
  <si>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</si>
  <si>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</si>
  <si>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</si>
  <si>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</si>
  <si>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</si>
  <si>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</si>
  <si>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</si>
  <si>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</si>
  <si>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</si>
  <si>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</si>
  <si>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</si>
  <si>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</si>
  <si>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</si>
  <si>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</si>
  <si>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</si>
  <si>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</si>
  <si>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</si>
  <si>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</si>
  <si>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</si>
  <si>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</si>
  <si>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</si>
  <si>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</si>
  <si>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</si>
  <si>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</si>
  <si>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</si>
  <si>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</si>
  <si>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</si>
  <si>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</si>
  <si>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</si>
  <si>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</si>
  <si>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</si>
  <si>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</si>
  <si>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</si>
  <si>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</si>
  <si>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</si>
  <si>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</si>
  <si>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</si>
  <si>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</si>
  <si>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</si>
  <si>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</si>
  <si>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</si>
  <si>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</si>
  <si>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</si>
  <si>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</si>
  <si>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</si>
  <si>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</si>
  <si>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</si>
  <si>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</si>
  <si>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</si>
  <si>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</si>
  <si>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</si>
  <si>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</si>
  <si>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</si>
  <si>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</si>
  <si>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</si>
  <si>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</si>
  <si>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</si>
  <si>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</si>
  <si>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</si>
  <si>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</si>
  <si>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</si>
  <si>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</si>
  <si>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</si>
  <si>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</si>
  <si>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</si>
  <si>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</si>
  <si>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</si>
  <si>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</si>
  <si>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</si>
  <si>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</si>
  <si>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</si>
  <si>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</si>
  <si>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</si>
  <si>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</si>
  <si>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</si>
  <si>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</si>
  <si>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</si>
  <si>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</si>
  <si>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</si>
  <si>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</si>
  <si>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</si>
  <si>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</si>
  <si>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</si>
  <si>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</si>
  <si>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</si>
  <si>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</si>
  <si>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</si>
  <si>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</si>
  <si>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</si>
  <si>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</si>
  <si>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</si>
  <si>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</si>
  <si>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</si>
  <si>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</si>
  <si>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</si>
  <si>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</si>
  <si>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</si>
  <si>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</si>
  <si>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</si>
  <si>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</si>
  <si>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</si>
  <si>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</si>
  <si>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</si>
  <si>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</si>
  <si>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</si>
  <si>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</si>
  <si>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</si>
  <si>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</si>
  <si>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</si>
  <si>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</si>
  <si>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</si>
  <si>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</si>
  <si>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</si>
  <si>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</si>
  <si>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</si>
  <si>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</si>
  <si>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</si>
  <si>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</si>
  <si>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</si>
  <si>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</si>
  <si>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</si>
  <si>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</si>
  <si>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</si>
  <si>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</si>
  <si>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</si>
  <si>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</si>
  <si>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</si>
  <si>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</si>
  <si>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</si>
  <si>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</si>
  <si>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</si>
  <si>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</si>
  <si>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</si>
  <si>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</si>
  <si>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</si>
  <si>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</si>
  <si>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</si>
  <si>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</si>
  <si>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</si>
  <si>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</si>
  <si>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</si>
  <si>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</si>
  <si>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</si>
  <si>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</si>
  <si>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</si>
  <si>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</si>
  <si>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</si>
  <si>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</si>
  <si>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</si>
  <si>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</si>
  <si>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</si>
  <si>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</si>
  <si>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</si>
  <si>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</si>
  <si>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</si>
  <si>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</si>
  <si>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</si>
  <si>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</si>
  <si>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</si>
  <si>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</si>
  <si>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</si>
  <si>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</si>
  <si>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</si>
  <si>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</si>
  <si>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</si>
  <si>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</si>
  <si>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</si>
  <si>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</si>
  <si>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</si>
  <si>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</si>
  <si>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</si>
  <si>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</si>
  <si>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</si>
  <si>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</si>
  <si>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</si>
  <si>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</si>
  <si>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</si>
  <si>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</si>
  <si>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</si>
  <si>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</si>
  <si>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</si>
  <si>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</si>
  <si>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</si>
  <si>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</si>
  <si>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</si>
  <si>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</si>
  <si>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</si>
  <si>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</si>
  <si>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</si>
  <si>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</si>
  <si>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</si>
  <si>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</si>
  <si>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</si>
  <si>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</si>
  <si>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</si>
  <si>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</si>
  <si>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</si>
  <si>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</si>
  <si>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</si>
  <si>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</si>
  <si>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</si>
  <si>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</si>
  <si>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</si>
  <si>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</si>
  <si>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</si>
  <si>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</si>
  <si>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</si>
  <si>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</si>
  <si>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</si>
  <si>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</si>
  <si>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</si>
  <si>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</si>
  <si>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</si>
  <si>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</si>
  <si>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</si>
  <si>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</si>
  <si>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</si>
  <si>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</si>
  <si>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</si>
  <si>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</si>
  <si>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</si>
  <si>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</si>
  <si>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</si>
  <si>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</si>
  <si>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</si>
  <si>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</si>
  <si>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</si>
  <si>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</si>
  <si>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</si>
  <si>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</si>
  <si>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</si>
  <si>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</si>
  <si>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</si>
  <si>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</si>
  <si>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</si>
  <si>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</si>
  <si>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</si>
  <si>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</si>
  <si>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</si>
  <si>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</si>
  <si>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</si>
  <si>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</si>
  <si>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</si>
  <si>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</si>
  <si>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</si>
  <si>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</si>
  <si>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</si>
  <si>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</si>
  <si>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</si>
  <si>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</si>
  <si>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</si>
  <si>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</si>
  <si>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</si>
  <si>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</si>
  <si>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</si>
  <si>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</si>
  <si>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</si>
  <si>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</si>
  <si>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</si>
  <si>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</si>
  <si>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</si>
  <si>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</si>
  <si>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</si>
  <si>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</si>
  <si>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</si>
  <si>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</si>
  <si>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</si>
  <si>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</si>
  <si>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</si>
  <si>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</si>
  <si>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</si>
  <si>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</si>
  <si>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</si>
  <si>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收益法3.31</t>
  </si>
  <si>
    <t>收益法3.31</t>
    <phoneticPr fontId="18"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</si>
  <si>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</si>
  <si>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</si>
  <si>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</si>
  <si>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</si>
  <si>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</si>
  <si>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</si>
  <si>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</si>
  <si>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需扣除的政府土地出让收益</t>
    <phoneticPr fontId="10" type="noConversion"/>
  </si>
  <si>
    <t>已扣除政府土地出让收益的房地产价值</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</si>
  <si>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</si>
  <si>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</si>
  <si>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</si>
  <si>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</si>
  <si>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</si>
  <si>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</si>
  <si>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</si>
  <si>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</si>
  <si>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</si>
  <si>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</si>
  <si>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</si>
  <si>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</si>
  <si>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</si>
  <si>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</si>
  <si>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</si>
  <si>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</si>
  <si>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</si>
  <si>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</si>
  <si>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</si>
  <si>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</si>
  <si>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</si>
  <si>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</si>
  <si>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</si>
  <si>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</si>
  <si>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</si>
  <si>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</si>
  <si>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</si>
  <si>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</si>
  <si>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</si>
  <si>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</si>
  <si>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</si>
  <si>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</si>
  <si>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园丁小区</t>
    <phoneticPr fontId="5" type="noConversion"/>
  </si>
  <si>
    <t>市调</t>
    <phoneticPr fontId="136" type="noConversion"/>
  </si>
  <si>
    <t>邢</t>
    <phoneticPr fontId="136" type="noConversion"/>
  </si>
  <si>
    <t>园丁小区</t>
    <phoneticPr fontId="136" type="noConversion"/>
  </si>
  <si>
    <t>建筑面积</t>
    <phoneticPr fontId="136" type="noConversion"/>
  </si>
  <si>
    <t>楼层</t>
    <phoneticPr fontId="136" type="noConversion"/>
  </si>
  <si>
    <t>装修</t>
    <phoneticPr fontId="136" type="noConversion"/>
  </si>
  <si>
    <t>成交总价</t>
    <phoneticPr fontId="136" type="noConversion"/>
  </si>
  <si>
    <t>成交单价</t>
    <phoneticPr fontId="136" type="noConversion"/>
  </si>
  <si>
    <t>精装</t>
    <phoneticPr fontId="136" type="noConversion"/>
  </si>
  <si>
    <t>一般</t>
    <phoneticPr fontId="136" type="noConversion"/>
  </si>
  <si>
    <t>精装</t>
    <phoneticPr fontId="136" type="noConversion"/>
  </si>
  <si>
    <t>6/6(顶层）</t>
    <phoneticPr fontId="26" type="noConversion"/>
  </si>
  <si>
    <t>普通装修</t>
  </si>
  <si>
    <t>比较法-住宅</t>
  </si>
  <si>
    <t>单套模式</t>
  </si>
  <si>
    <t>北京市平谷区</t>
  </si>
  <si>
    <t>平谷镇乐园西小区36号楼2层（3）-2-4</t>
  </si>
  <si>
    <t>乐园西小区</t>
  </si>
  <si>
    <t>朱光义</t>
  </si>
  <si>
    <t>永安家园</t>
  </si>
  <si>
    <t>平谷镇怡馨家园9号楼5层(1)-5-9</t>
  </si>
  <si>
    <t>春曦园12号楼6层4单元601</t>
  </si>
  <si>
    <t>春曦园</t>
  </si>
  <si>
    <t>平谷镇海关西园11号楼2层(3)-2-4</t>
  </si>
  <si>
    <t>平谷镇园丁小区4号楼5层(6)-5-9</t>
  </si>
  <si>
    <t>园丁小区</t>
  </si>
  <si>
    <t>房改房（优惠价）</t>
  </si>
  <si>
    <t>兴谷街道园丁小区12号楼3层四单元302</t>
  </si>
  <si>
    <t>金乡居民西小区</t>
    <phoneticPr fontId="136" type="noConversion"/>
  </si>
  <si>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</si>
  <si>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</si>
  <si>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</si>
  <si>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海关西园</t>
    <phoneticPr fontId="136" type="noConversion"/>
  </si>
  <si>
    <t>新平北路</t>
    <phoneticPr fontId="136" type="noConversion"/>
  </si>
  <si>
    <t>平谷镇新平北路34号院10号楼3层(3)-3-5</t>
    <phoneticPr fontId="136" type="noConversion"/>
  </si>
  <si>
    <t>永安家园6号楼3层1单元302</t>
    <phoneticPr fontId="136" type="noConversion"/>
  </si>
  <si>
    <t>朝向</t>
    <phoneticPr fontId="136" type="noConversion"/>
  </si>
  <si>
    <t>南北</t>
    <phoneticPr fontId="136" type="noConversion"/>
  </si>
  <si>
    <t>3室2厅2卫1厨无储藏间无花园无露台无车库其他2个阳台</t>
    <phoneticPr fontId="136" type="noConversion"/>
  </si>
  <si>
    <t>普通装修</t>
    <phoneticPr fontId="136" type="noConversion"/>
  </si>
  <si>
    <t>2室2厅1卫1厨无储藏间无花园无露台无车库其他无</t>
    <phoneticPr fontId="136" type="noConversion"/>
  </si>
  <si>
    <t>3/6(中楼层）</t>
    <phoneticPr fontId="26" type="noConversion"/>
  </si>
  <si>
    <t>怡馨家园</t>
    <phoneticPr fontId="136" type="noConversion"/>
  </si>
  <si>
    <t>出让</t>
  </si>
  <si>
    <r>
      <t>2/6(</t>
    </r>
    <r>
      <rPr>
        <sz val="11"/>
        <color indexed="8"/>
        <rFont val="宋体"/>
        <family val="3"/>
        <charset val="134"/>
      </rPr>
      <t>低楼层）</t>
    </r>
    <phoneticPr fontId="26" type="noConversion"/>
  </si>
  <si>
    <t>2/6(低楼层）</t>
    <phoneticPr fontId="26" type="noConversion"/>
  </si>
  <si>
    <t>租金</t>
    <phoneticPr fontId="136" type="noConversion"/>
  </si>
  <si>
    <t>https://sf-item.taobao.com/sf_item/824613630164.htm?spm=a213w.7398504.paiList.1.21af5983tp0NAv&amp;track_id=2e7a1be7-a12a-41d6-bc08-8353cab20c5c</t>
    <phoneticPr fontId="136" type="noConversion"/>
  </si>
  <si>
    <t>成交价</t>
    <phoneticPr fontId="136" type="noConversion"/>
  </si>
  <si>
    <t>评估价</t>
    <phoneticPr fontId="136" type="noConversion"/>
  </si>
  <si>
    <t>评估单价</t>
    <phoneticPr fontId="136" type="noConversion"/>
  </si>
  <si>
    <t>https://sf-item.taobao.com/sf_item/820109481167.htm?spm=a213w.7398504.paiList.4.35467920lsrv6U&amp;track_id=8c78d481-64f9-43bf-96cd-499efcdaa0c0</t>
    <phoneticPr fontId="136" type="noConversion"/>
  </si>
  <si>
    <t>当前</t>
    <phoneticPr fontId="136" type="noConversion"/>
  </si>
  <si>
    <t>https://sf-item.taobao.com/sf_item/818813826840.htm?spm=a213w.7398504.paiList.5.35467920lsrv6U&amp;track_id=8c78d481-64f9-43bf-96cd-499efcdaa0c0</t>
    <phoneticPr fontId="136" type="noConversion"/>
  </si>
  <si>
    <t>https://sf-item.taobao.com/sf_item/841474755795.htm?spm=a213w.7398504.paiList.6.35467920lsrv6U&amp;track_id=8c78d481-64f9-43bf-96cd-499efcdaa0c0</t>
    <phoneticPr fontId="136" type="noConversion"/>
  </si>
  <si>
    <t>平谷镇金乡居民西小区47号楼3层(2)-3-6</t>
    <phoneticPr fontId="136" type="noConversion"/>
  </si>
  <si>
    <t>春曦园18号6层3单元602</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</si>
</sst>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4">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style="medium">
        <color rgb="FFCCCCCC"/>
      </right>
      <top/>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96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1" fillId="6" borderId="20" xfId="0" applyFont="1" applyFill="1" applyBorder="1" applyAlignment="1" applyProtection="1">
      <alignment vertical="center"/>
    </xf>
    <xf numFmtId="0" fontId="111"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1"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6"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2"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applyAlignment="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applyAlignment="1"/>
    <xf numFmtId="0" fontId="124" fillId="6" borderId="0" xfId="2" applyFont="1" applyFill="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24"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0" fillId="6" borderId="87" xfId="2" applyFont="1" applyFill="1" applyBorder="1"/>
    <xf numFmtId="14" fontId="140" fillId="6" borderId="78" xfId="2" applyNumberFormat="1" applyFont="1" applyFill="1" applyBorder="1" applyAlignment="1" applyProtection="1">
      <alignment horizontal="center"/>
    </xf>
    <xf numFmtId="0"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5" fillId="6" borderId="24" xfId="0" applyFont="1" applyFill="1" applyBorder="1" applyAlignment="1" applyProtection="1">
      <alignment horizontal="left" vertical="center"/>
    </xf>
    <xf numFmtId="0" fontId="17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pplyAlignment="1" applyProtection="1">
      <alignment vertical="center"/>
    </xf>
    <xf numFmtId="0" fontId="141"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1"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8" fillId="0" borderId="0" xfId="0" applyFont="1" applyAlignme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2" fillId="0" borderId="0" xfId="0" applyFont="1" applyFill="1" applyAlignment="1">
      <alignment vertical="center" wrapText="1"/>
    </xf>
    <xf numFmtId="0" fontId="198" fillId="0" borderId="0" xfId="0" applyFont="1">
      <alignment vertical="center"/>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00" fillId="0" borderId="0" xfId="0" applyFont="1" applyProtection="1">
      <alignment vertical="center"/>
      <protection locked="0"/>
    </xf>
    <xf numFmtId="0" fontId="198"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8" fillId="0" borderId="0" xfId="7" applyFont="1" applyAlignment="1" applyProtection="1">
      <alignment horizontal="center" vertical="center"/>
    </xf>
    <xf numFmtId="0" fontId="126" fillId="0" borderId="2"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7"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2"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8"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5"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7"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7" fillId="6" borderId="32" xfId="0" applyFont="1" applyFill="1" applyBorder="1" applyAlignment="1" applyProtection="1">
      <alignment vertical="center" wrapText="1"/>
    </xf>
    <xf numFmtId="0" fontId="133"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Alignment="1" applyProtection="1">
      <alignment vertical="center"/>
      <protection locked="0"/>
    </xf>
    <xf numFmtId="0"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1"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5" fillId="12" borderId="126" xfId="16" applyFont="1" applyFill="1" applyBorder="1" applyAlignment="1" applyProtection="1">
      <alignment horizontal="left" vertical="center" wrapText="1"/>
    </xf>
    <xf numFmtId="0" fontId="145"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6"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pplyProtection="1">
      <alignment horizontal="left" vertical="center" wrapText="1"/>
    </xf>
    <xf numFmtId="0" fontId="145" fillId="13" borderId="126" xfId="9" applyFont="1" applyFill="1" applyBorder="1" applyAlignment="1" applyProtection="1">
      <alignment horizontal="left" vertical="center" wrapText="1"/>
    </xf>
    <xf numFmtId="0" fontId="146"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pplyProtection="1">
      <alignment horizontal="left" vertical="center" wrapText="1"/>
    </xf>
    <xf numFmtId="0" fontId="145" fillId="11" borderId="123" xfId="9" applyFont="1" applyFill="1" applyBorder="1" applyAlignment="1" applyProtection="1">
      <alignment horizontal="left" vertical="center" wrapText="1"/>
    </xf>
    <xf numFmtId="0"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5" fillId="11" borderId="126" xfId="9" applyFont="1" applyFill="1" applyBorder="1" applyAlignment="1" applyProtection="1">
      <alignment horizontal="left" vertical="center" wrapText="1"/>
    </xf>
    <xf numFmtId="0"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pplyProtection="1">
      <alignment horizontal="left" vertical="center" wrapText="1"/>
    </xf>
    <xf numFmtId="0"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pplyProtection="1">
      <alignment horizontal="left" vertical="center" wrapText="1"/>
    </xf>
    <xf numFmtId="0"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pplyProtection="1">
      <alignment horizontal="left" vertical="center" wrapText="1"/>
    </xf>
    <xf numFmtId="0" fontId="145"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pplyProtection="1">
      <alignment horizontal="left" vertical="center" wrapText="1"/>
    </xf>
    <xf numFmtId="0"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2" borderId="123"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2" borderId="126"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45" fillId="11" borderId="132" xfId="9" applyFont="1" applyFill="1" applyBorder="1" applyAlignment="1">
      <alignment horizontal="left" vertical="center" wrapText="1"/>
    </xf>
    <xf numFmtId="0" fontId="131" fillId="6" borderId="0" xfId="0" applyFont="1" applyFill="1" applyAlignment="1" applyProtection="1">
      <alignment horizontal="left" vertical="center"/>
    </xf>
    <xf numFmtId="0" fontId="179"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9"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1" xfId="5" applyFont="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Fill="1" applyBorder="1" applyAlignment="1">
      <alignment horizontal="left" vertical="center"/>
    </xf>
    <xf numFmtId="191" fontId="240" fillId="0" borderId="5" xfId="5" applyNumberFormat="1" applyFont="1" applyFill="1" applyBorder="1" applyAlignment="1">
      <alignment horizontal="left" vertical="center"/>
    </xf>
    <xf numFmtId="0"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1" fontId="120"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19" fillId="0" borderId="1" xfId="5" applyFont="1" applyFill="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1"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5"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0"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0" fontId="101" fillId="6" borderId="5" xfId="0" applyFont="1" applyFill="1" applyBorder="1" applyAlignment="1" applyProtection="1">
      <alignment horizontal="left" vertical="center" wrapText="1"/>
    </xf>
    <xf numFmtId="0" fontId="108" fillId="6" borderId="46" xfId="0" applyFont="1" applyFill="1" applyBorder="1" applyAlignment="1" applyProtection="1">
      <alignment horizontal="left" vertical="center" wrapText="1"/>
    </xf>
    <xf numFmtId="0" fontId="108" fillId="6" borderId="3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54" xfId="0" applyFont="1" applyFill="1" applyBorder="1" applyAlignment="1" applyProtection="1">
      <alignment horizontal="left" vertical="center"/>
    </xf>
    <xf numFmtId="0" fontId="108" fillId="6" borderId="3" xfId="0" applyFont="1" applyFill="1" applyBorder="1" applyAlignment="1" applyProtection="1">
      <alignment horizontal="left" vertical="center" wrapText="1"/>
    </xf>
    <xf numFmtId="0" fontId="108" fillId="6" borderId="58"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35" xfId="0" applyFont="1" applyFill="1" applyBorder="1" applyAlignment="1" applyProtection="1">
      <alignment horizontal="left" vertical="center" wrapText="1"/>
    </xf>
    <xf numFmtId="0" fontId="108" fillId="6" borderId="4" xfId="0" applyFont="1" applyFill="1" applyBorder="1" applyAlignment="1" applyProtection="1">
      <alignment horizontal="left" vertical="center" wrapText="1"/>
    </xf>
    <xf numFmtId="0" fontId="108" fillId="6" borderId="60"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7"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7"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6"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6"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5" fillId="12" borderId="0" xfId="0" applyFont="1" applyFill="1" applyAlignment="1" applyProtection="1">
      <alignment vertical="center"/>
    </xf>
    <xf numFmtId="0" fontId="102" fillId="12" borderId="0" xfId="0" applyFont="1" applyFill="1" applyAlignment="1" applyProtection="1">
      <alignment vertical="center"/>
    </xf>
    <xf numFmtId="0" fontId="242"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5" fillId="12" borderId="0" xfId="0" applyFont="1" applyFill="1" applyAlignment="1" applyProtection="1">
      <alignment vertical="center"/>
    </xf>
    <xf numFmtId="0" fontId="241" fillId="12" borderId="0" xfId="0" applyFont="1" applyFill="1" applyAlignment="1" applyProtection="1">
      <alignment vertical="center"/>
    </xf>
    <xf numFmtId="0" fontId="125"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0" fontId="145"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5" fillId="11" borderId="125"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8"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45"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1" fillId="6" borderId="15" xfId="0" applyFont="1" applyFill="1" applyBorder="1" applyAlignment="1" applyProtection="1">
      <alignment vertical="center" wrapText="1"/>
    </xf>
    <xf numFmtId="0" fontId="140" fillId="6" borderId="13" xfId="0" applyFont="1" applyFill="1" applyBorder="1" applyAlignment="1" applyProtection="1">
      <alignment vertical="center" wrapText="1"/>
    </xf>
    <xf numFmtId="0" fontId="110"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8" fillId="6" borderId="23" xfId="0" applyFont="1" applyFill="1" applyBorder="1" applyAlignment="1" applyProtection="1">
      <alignment horizontal="left" vertical="center"/>
    </xf>
    <xf numFmtId="0" fontId="248" fillId="6" borderId="1" xfId="0" applyFont="1" applyFill="1" applyBorder="1" applyAlignment="1" applyProtection="1">
      <alignment horizontal="left" vertical="center"/>
    </xf>
    <xf numFmtId="0" fontId="248" fillId="6" borderId="24" xfId="0" applyFont="1" applyFill="1" applyBorder="1" applyAlignment="1" applyProtection="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pplyProtection="1">
      <alignment horizontal="left" vertical="center"/>
    </xf>
    <xf numFmtId="0" fontId="248" fillId="6" borderId="0" xfId="0" applyFont="1" applyFill="1" applyBorder="1" applyAlignment="1" applyProtection="1">
      <alignment horizontal="left" vertical="center"/>
    </xf>
    <xf numFmtId="0" fontId="248" fillId="6" borderId="56" xfId="0" applyFont="1" applyFill="1" applyBorder="1" applyAlignment="1" applyProtection="1">
      <alignment horizontal="left" vertical="center"/>
    </xf>
    <xf numFmtId="0" fontId="248" fillId="6" borderId="18" xfId="0" applyFont="1" applyFill="1" applyBorder="1" applyAlignment="1" applyProtection="1">
      <alignment horizontal="left"/>
    </xf>
    <xf numFmtId="0" fontId="248" fillId="6" borderId="0" xfId="0" applyFont="1" applyFill="1" applyBorder="1" applyAlignment="1" applyProtection="1">
      <alignment horizontal="left"/>
    </xf>
    <xf numFmtId="0" fontId="248" fillId="6" borderId="56" xfId="0" applyFont="1" applyFill="1" applyBorder="1" applyAlignment="1" applyProtection="1">
      <alignment horizontal="left"/>
    </xf>
    <xf numFmtId="0" fontId="248" fillId="6" borderId="23" xfId="0" applyFont="1" applyFill="1" applyBorder="1" applyAlignment="1" applyProtection="1">
      <alignment horizontal="left"/>
    </xf>
    <xf numFmtId="0" fontId="248" fillId="20" borderId="1" xfId="0" applyFont="1" applyFill="1" applyBorder="1" applyAlignment="1" applyProtection="1">
      <alignment horizontal="left"/>
    </xf>
    <xf numFmtId="0" fontId="248" fillId="6" borderId="1" xfId="0" applyFont="1" applyFill="1" applyBorder="1" applyAlignment="1" applyProtection="1">
      <alignment horizontal="left"/>
    </xf>
    <xf numFmtId="0" fontId="248" fillId="6" borderId="5" xfId="0" applyFont="1" applyFill="1" applyBorder="1" applyAlignment="1" applyProtection="1">
      <alignment horizontal="left"/>
    </xf>
    <xf numFmtId="0" fontId="248" fillId="6" borderId="54" xfId="0" applyFont="1" applyFill="1" applyBorder="1" applyAlignment="1" applyProtection="1">
      <alignment horizontal="left"/>
    </xf>
    <xf numFmtId="0"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0" fontId="248" fillId="6" borderId="25" xfId="0" applyFont="1" applyFill="1" applyBorder="1" applyAlignment="1" applyProtection="1">
      <alignment horizontal="left"/>
    </xf>
    <xf numFmtId="0" fontId="248" fillId="20" borderId="32" xfId="0" applyFont="1" applyFill="1" applyBorder="1" applyAlignment="1" applyProtection="1">
      <alignment horizontal="left"/>
    </xf>
    <xf numFmtId="0" fontId="248" fillId="6" borderId="32" xfId="0" applyFont="1" applyFill="1" applyBorder="1" applyAlignment="1" applyProtection="1">
      <alignment horizontal="left"/>
    </xf>
    <xf numFmtId="0" fontId="248" fillId="6" borderId="47" xfId="0" applyFont="1" applyFill="1" applyBorder="1" applyAlignment="1" applyProtection="1">
      <alignment horizontal="left"/>
    </xf>
    <xf numFmtId="0" fontId="248" fillId="6" borderId="43" xfId="0" applyFont="1" applyFill="1" applyBorder="1" applyAlignment="1" applyProtection="1">
      <alignment horizontal="left"/>
    </xf>
    <xf numFmtId="0" fontId="248"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10"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8"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9" fillId="6" borderId="6" xfId="0" applyNumberFormat="1" applyFont="1" applyFill="1" applyBorder="1" applyAlignment="1" applyProtection="1">
      <alignment horizontal="left" vertical="center" wrapText="1"/>
    </xf>
    <xf numFmtId="0" fontId="109" fillId="6" borderId="9" xfId="0" applyNumberFormat="1" applyFont="1" applyFill="1" applyBorder="1" applyAlignment="1" applyProtection="1">
      <alignment horizontal="left" vertical="center" wrapText="1"/>
    </xf>
    <xf numFmtId="0" fontId="109" fillId="6" borderId="10" xfId="0" applyNumberFormat="1" applyFont="1" applyFill="1" applyBorder="1" applyAlignment="1" applyProtection="1">
      <alignment horizontal="left" vertical="center" wrapText="1"/>
    </xf>
    <xf numFmtId="0" fontId="109" fillId="6" borderId="23" xfId="0" applyNumberFormat="1" applyFont="1" applyFill="1" applyBorder="1" applyAlignment="1" applyProtection="1">
      <alignment horizontal="left" vertical="center" wrapText="1"/>
    </xf>
    <xf numFmtId="0" fontId="109" fillId="6" borderId="1" xfId="0" applyNumberFormat="1" applyFont="1" applyFill="1" applyBorder="1" applyAlignment="1" applyProtection="1">
      <alignment horizontal="left" vertical="center" wrapText="1"/>
    </xf>
    <xf numFmtId="0" fontId="109" fillId="6" borderId="24" xfId="0" applyNumberFormat="1" applyFont="1" applyFill="1" applyBorder="1" applyAlignment="1" applyProtection="1">
      <alignment horizontal="left" vertical="center" wrapText="1"/>
    </xf>
    <xf numFmtId="0" fontId="109" fillId="6" borderId="11" xfId="0" applyNumberFormat="1" applyFont="1" applyFill="1" applyBorder="1" applyAlignment="1" applyProtection="1">
      <alignment horizontal="left" vertical="center" wrapText="1"/>
    </xf>
    <xf numFmtId="0" fontId="109" fillId="6" borderId="13" xfId="0" applyNumberFormat="1" applyFont="1" applyFill="1" applyBorder="1" applyAlignment="1" applyProtection="1">
      <alignment horizontal="left" vertical="center" wrapText="1"/>
    </xf>
    <xf numFmtId="0" fontId="109" fillId="6" borderId="61" xfId="0" applyNumberFormat="1" applyFont="1" applyFill="1" applyBorder="1" applyAlignment="1" applyProtection="1">
      <alignment horizontal="left" vertical="center" wrapText="1"/>
    </xf>
    <xf numFmtId="0" fontId="222" fillId="6" borderId="6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50" fillId="0" borderId="0" xfId="0" applyNumberFormat="1" applyFont="1" applyAlignment="1" applyProtection="1">
      <alignment horizontal="left" vertical="center"/>
    </xf>
    <xf numFmtId="0" fontId="109" fillId="6" borderId="46" xfId="0" applyNumberFormat="1" applyFont="1" applyFill="1" applyBorder="1" applyAlignment="1" applyProtection="1">
      <alignment horizontal="left" vertical="center" wrapText="1"/>
    </xf>
    <xf numFmtId="0" fontId="109" fillId="6" borderId="22" xfId="0" applyNumberFormat="1" applyFont="1" applyFill="1" applyBorder="1" applyAlignment="1" applyProtection="1">
      <alignment horizontal="left" vertical="center" wrapText="1"/>
    </xf>
    <xf numFmtId="0" fontId="109" fillId="6" borderId="0" xfId="0" applyNumberFormat="1" applyFont="1" applyFill="1" applyBorder="1" applyAlignment="1" applyProtection="1">
      <alignment horizontal="left" vertical="center" wrapText="1"/>
    </xf>
    <xf numFmtId="0" fontId="109" fillId="6" borderId="28" xfId="0" applyNumberFormat="1" applyFont="1" applyFill="1" applyBorder="1" applyAlignment="1" applyProtection="1">
      <alignment horizontal="left" vertical="center"/>
    </xf>
    <xf numFmtId="0" fontId="109" fillId="6" borderId="30" xfId="0" applyNumberFormat="1" applyFont="1" applyFill="1" applyBorder="1" applyAlignment="1" applyProtection="1">
      <alignment horizontal="left" vertical="center"/>
    </xf>
    <xf numFmtId="0" fontId="109" fillId="6" borderId="10"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xf>
    <xf numFmtId="0" fontId="109" fillId="6" borderId="5" xfId="0" applyNumberFormat="1" applyFont="1" applyFill="1" applyBorder="1" applyAlignment="1" applyProtection="1">
      <alignment horizontal="left" vertical="center"/>
    </xf>
    <xf numFmtId="0" fontId="109" fillId="6" borderId="3" xfId="0" applyNumberFormat="1" applyFont="1" applyFill="1" applyBorder="1" applyAlignment="1" applyProtection="1">
      <alignment horizontal="left" vertical="center"/>
    </xf>
    <xf numFmtId="0" fontId="109" fillId="6" borderId="24" xfId="0" applyNumberFormat="1" applyFont="1" applyFill="1" applyBorder="1" applyAlignment="1" applyProtection="1">
      <alignment horizontal="left" vertical="center"/>
    </xf>
    <xf numFmtId="0" fontId="109" fillId="6" borderId="33" xfId="0" applyNumberFormat="1" applyFont="1" applyFill="1" applyBorder="1" applyAlignment="1" applyProtection="1">
      <alignment horizontal="left" vertical="center"/>
    </xf>
    <xf numFmtId="0" fontId="109" fillId="6" borderId="66" xfId="0" applyNumberFormat="1" applyFont="1" applyFill="1" applyBorder="1" applyAlignment="1" applyProtection="1">
      <alignment horizontal="left" vertical="center"/>
    </xf>
    <xf numFmtId="0" fontId="109" fillId="6" borderId="49" xfId="0" applyNumberFormat="1" applyFont="1" applyFill="1" applyBorder="1" applyAlignment="1" applyProtection="1">
      <alignment horizontal="left" vertical="center"/>
    </xf>
    <xf numFmtId="0" fontId="109" fillId="6" borderId="26" xfId="0" applyNumberFormat="1" applyFont="1" applyFill="1" applyBorder="1" applyAlignment="1" applyProtection="1">
      <alignment horizontal="left" vertical="center"/>
    </xf>
    <xf numFmtId="0" fontId="109" fillId="6" borderId="84" xfId="0" applyNumberFormat="1" applyFont="1" applyFill="1" applyBorder="1" applyAlignment="1" applyProtection="1">
      <alignment horizontal="left" vertical="center"/>
    </xf>
    <xf numFmtId="0" fontId="109" fillId="6" borderId="34" xfId="0" applyNumberFormat="1" applyFont="1" applyFill="1" applyBorder="1" applyAlignment="1" applyProtection="1">
      <alignment horizontal="left" vertical="center"/>
    </xf>
    <xf numFmtId="0" fontId="109" fillId="6" borderId="70" xfId="0" applyNumberFormat="1" applyFont="1" applyFill="1" applyBorder="1" applyAlignment="1" applyProtection="1">
      <alignment horizontal="left" vertical="center"/>
    </xf>
    <xf numFmtId="0" fontId="109" fillId="6" borderId="67" xfId="0" applyNumberFormat="1" applyFont="1" applyFill="1" applyBorder="1" applyAlignment="1" applyProtection="1">
      <alignment horizontal="left" vertical="center"/>
    </xf>
    <xf numFmtId="0" fontId="109" fillId="6" borderId="1" xfId="0" applyNumberFormat="1" applyFont="1" applyFill="1" applyBorder="1" applyAlignment="1" applyProtection="1">
      <alignment horizontal="left" vertical="center"/>
    </xf>
    <xf numFmtId="0" fontId="109" fillId="0" borderId="0" xfId="0" applyNumberFormat="1" applyFont="1" applyBorder="1" applyAlignment="1" applyProtection="1">
      <alignment horizontal="left" vertical="center"/>
    </xf>
    <xf numFmtId="0" fontId="109" fillId="6" borderId="4"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wrapText="1"/>
    </xf>
    <xf numFmtId="0" fontId="109" fillId="6" borderId="7" xfId="0" applyNumberFormat="1" applyFont="1" applyFill="1" applyBorder="1" applyAlignment="1" applyProtection="1">
      <alignment horizontal="left" vertical="center" wrapText="1"/>
    </xf>
    <xf numFmtId="0" fontId="109" fillId="6" borderId="3" xfId="0" applyNumberFormat="1" applyFont="1" applyFill="1" applyBorder="1" applyAlignment="1" applyProtection="1">
      <alignment horizontal="left" vertical="center" wrapText="1"/>
    </xf>
    <xf numFmtId="0" fontId="109" fillId="6" borderId="2" xfId="0" applyNumberFormat="1" applyFont="1" applyFill="1" applyBorder="1" applyAlignment="1" applyProtection="1">
      <alignment horizontal="left" vertical="center"/>
    </xf>
    <xf numFmtId="0" fontId="109" fillId="6" borderId="0" xfId="0" applyNumberFormat="1" applyFont="1" applyFill="1" applyAlignment="1" applyProtection="1">
      <alignment horizontal="left" vertical="center"/>
    </xf>
    <xf numFmtId="0"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4" fillId="15" borderId="0" xfId="9" applyNumberFormat="1" applyFont="1" applyFill="1" applyAlignment="1" applyProtection="1">
      <alignment horizontal="left" vertical="center"/>
    </xf>
    <xf numFmtId="0" fontId="245" fillId="15" borderId="121" xfId="9" applyNumberFormat="1" applyFont="1" applyFill="1" applyBorder="1" applyAlignment="1" applyProtection="1">
      <alignment horizontal="left" vertical="center"/>
    </xf>
    <xf numFmtId="0" fontId="245" fillId="15" borderId="0" xfId="9" applyNumberFormat="1" applyFont="1" applyFill="1" applyBorder="1" applyAlignment="1" applyProtection="1">
      <alignment horizontal="left" vertical="center"/>
    </xf>
    <xf numFmtId="0"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0" fontId="170" fillId="15" borderId="0" xfId="9" applyNumberFormat="1" applyFont="1" applyFill="1" applyAlignment="1" applyProtection="1">
      <alignment horizontal="left" vertical="center"/>
    </xf>
    <xf numFmtId="0"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0" fontId="245"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5" fillId="11" borderId="125" xfId="9" applyNumberFormat="1" applyFont="1" applyFill="1" applyBorder="1" applyAlignment="1" applyProtection="1">
      <alignment horizontal="left" vertical="center" wrapText="1"/>
    </xf>
    <xf numFmtId="0" fontId="145" fillId="12" borderId="126" xfId="9" applyNumberFormat="1" applyFont="1" applyFill="1" applyBorder="1" applyAlignment="1" applyProtection="1">
      <alignment horizontal="left" vertical="center" wrapText="1"/>
    </xf>
    <xf numFmtId="0" fontId="145" fillId="12" borderId="126" xfId="16" applyNumberFormat="1" applyFont="1" applyFill="1" applyBorder="1" applyAlignment="1" applyProtection="1">
      <alignment horizontal="left" vertical="center" wrapText="1"/>
    </xf>
    <xf numFmtId="0" fontId="145"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6"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5" fillId="21" borderId="125" xfId="9" applyNumberFormat="1" applyFont="1" applyFill="1" applyBorder="1" applyAlignment="1" applyProtection="1">
      <alignment horizontal="left" vertical="center" wrapText="1"/>
    </xf>
    <xf numFmtId="0" fontId="255" fillId="21" borderId="126" xfId="9" applyNumberFormat="1" applyFont="1" applyFill="1" applyBorder="1" applyAlignment="1" applyProtection="1">
      <alignment horizontal="left" vertical="center" wrapText="1"/>
    </xf>
    <xf numFmtId="0" fontId="255" fillId="21" borderId="126" xfId="16" applyNumberFormat="1" applyFont="1" applyFill="1" applyBorder="1" applyAlignment="1" applyProtection="1">
      <alignment horizontal="left" vertical="center" wrapText="1"/>
    </xf>
    <xf numFmtId="0" fontId="255" fillId="21" borderId="135" xfId="16" applyNumberFormat="1" applyFont="1" applyFill="1" applyBorder="1" applyAlignment="1" applyProtection="1">
      <alignment horizontal="left" vertical="center" wrapText="1"/>
    </xf>
    <xf numFmtId="0" fontId="255"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6" fillId="21" borderId="0" xfId="9" applyNumberFormat="1" applyFont="1" applyFill="1" applyAlignment="1" applyProtection="1">
      <alignment horizontal="left" vertical="center"/>
    </xf>
    <xf numFmtId="0" fontId="145"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5" fillId="18" borderId="167" xfId="9" applyNumberFormat="1" applyFont="1" applyFill="1" applyBorder="1" applyAlignment="1" applyProtection="1">
      <alignment horizontal="left" vertical="center" wrapText="1"/>
    </xf>
    <xf numFmtId="0" fontId="145" fillId="18" borderId="168" xfId="9" applyNumberFormat="1" applyFont="1" applyFill="1" applyBorder="1" applyAlignment="1" applyProtection="1">
      <alignment horizontal="left" vertical="center" wrapText="1"/>
    </xf>
    <xf numFmtId="0" fontId="145" fillId="18" borderId="168" xfId="16" applyNumberFormat="1" applyFont="1" applyFill="1" applyBorder="1" applyAlignment="1" applyProtection="1">
      <alignment horizontal="left" vertical="center" wrapText="1"/>
    </xf>
    <xf numFmtId="0" fontId="145" fillId="18" borderId="169" xfId="16" applyNumberFormat="1" applyFont="1" applyFill="1" applyBorder="1" applyAlignment="1" applyProtection="1">
      <alignment horizontal="left" vertical="center" wrapText="1"/>
    </xf>
    <xf numFmtId="0" fontId="145"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6"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3"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8" fillId="6" borderId="18" xfId="0" applyNumberFormat="1" applyFont="1" applyFill="1" applyBorder="1" applyAlignment="1" applyProtection="1">
      <alignment horizontal="left" vertical="center"/>
    </xf>
    <xf numFmtId="0" fontId="248" fillId="6" borderId="40" xfId="0" applyNumberFormat="1" applyFont="1" applyFill="1" applyBorder="1" applyAlignment="1" applyProtection="1">
      <alignment horizontal="left" vertical="center"/>
    </xf>
    <xf numFmtId="0" fontId="248" fillId="6" borderId="17" xfId="0" applyNumberFormat="1" applyFont="1" applyFill="1" applyBorder="1" applyAlignment="1" applyProtection="1">
      <alignment horizontal="left" vertical="center"/>
    </xf>
    <xf numFmtId="0" fontId="248" fillId="6" borderId="62" xfId="0" applyNumberFormat="1" applyFont="1" applyFill="1" applyBorder="1" applyAlignment="1" applyProtection="1">
      <alignment horizontal="left" vertical="center"/>
    </xf>
    <xf numFmtId="0" fontId="248" fillId="6" borderId="0" xfId="0" applyNumberFormat="1" applyFont="1" applyFill="1" applyAlignment="1" applyProtection="1">
      <alignment horizontal="left" vertical="center"/>
    </xf>
    <xf numFmtId="0" fontId="257" fillId="6" borderId="47" xfId="0" applyNumberFormat="1" applyFont="1" applyFill="1" applyBorder="1" applyAlignment="1" applyProtection="1">
      <alignment vertical="center"/>
    </xf>
    <xf numFmtId="0" fontId="257" fillId="6" borderId="43" xfId="0" applyNumberFormat="1" applyFont="1" applyFill="1" applyBorder="1" applyAlignment="1" applyProtection="1">
      <alignment horizontal="right" vertical="center"/>
    </xf>
    <xf numFmtId="0" fontId="257" fillId="6" borderId="9" xfId="0" applyNumberFormat="1" applyFont="1" applyFill="1" applyBorder="1" applyAlignment="1" applyProtection="1">
      <alignment horizontal="left" vertical="center" wrapText="1"/>
    </xf>
    <xf numFmtId="0" fontId="258" fillId="6" borderId="19" xfId="0" applyNumberFormat="1" applyFont="1" applyFill="1" applyBorder="1" applyAlignment="1" applyProtection="1">
      <alignment horizontal="left" vertical="center"/>
    </xf>
    <xf numFmtId="0" fontId="256" fillId="6" borderId="28" xfId="0" applyNumberFormat="1" applyFont="1" applyFill="1" applyBorder="1" applyAlignment="1" applyProtection="1">
      <alignment horizontal="left" vertical="center"/>
    </xf>
    <xf numFmtId="0" fontId="258" fillId="6" borderId="18" xfId="0" applyNumberFormat="1" applyFont="1" applyFill="1" applyBorder="1" applyAlignment="1" applyProtection="1">
      <alignment horizontal="left" vertical="center"/>
    </xf>
    <xf numFmtId="0" fontId="257" fillId="6" borderId="1" xfId="0" applyNumberFormat="1" applyFont="1" applyFill="1" applyBorder="1" applyAlignment="1" applyProtection="1">
      <alignment horizontal="left" vertical="center" wrapText="1"/>
    </xf>
    <xf numFmtId="0" fontId="257" fillId="6" borderId="2" xfId="0" applyNumberFormat="1" applyFont="1" applyFill="1" applyBorder="1" applyAlignment="1" applyProtection="1">
      <alignment horizontal="left" vertical="center" wrapText="1"/>
    </xf>
    <xf numFmtId="0" fontId="258" fillId="6" borderId="0" xfId="0" applyNumberFormat="1" applyFont="1" applyFill="1" applyAlignment="1" applyProtection="1">
      <alignment horizontal="left" vertical="center"/>
    </xf>
    <xf numFmtId="0" fontId="256" fillId="6" borderId="32" xfId="0" applyNumberFormat="1" applyFont="1" applyFill="1" applyBorder="1" applyAlignment="1" applyProtection="1">
      <alignment horizontal="left" vertical="center"/>
    </xf>
    <xf numFmtId="0" fontId="256" fillId="6" borderId="33" xfId="0" applyNumberFormat="1" applyFont="1" applyFill="1" applyBorder="1" applyAlignment="1" applyProtection="1">
      <alignment horizontal="left" vertical="center"/>
    </xf>
    <xf numFmtId="0" fontId="257" fillId="6" borderId="40" xfId="0" applyNumberFormat="1" applyFont="1" applyFill="1" applyBorder="1" applyAlignment="1" applyProtection="1">
      <alignment horizontal="left" vertical="center" wrapText="1"/>
    </xf>
    <xf numFmtId="0" fontId="257" fillId="6" borderId="74" xfId="0" applyNumberFormat="1" applyFont="1" applyFill="1" applyBorder="1" applyAlignment="1" applyProtection="1">
      <alignment horizontal="left" vertical="center" wrapText="1"/>
    </xf>
    <xf numFmtId="0" fontId="257" fillId="6" borderId="32" xfId="0" applyNumberFormat="1" applyFont="1" applyFill="1" applyBorder="1" applyAlignment="1" applyProtection="1">
      <alignment horizontal="left" vertical="center" wrapText="1"/>
    </xf>
    <xf numFmtId="0" fontId="257" fillId="6" borderId="14" xfId="0" applyNumberFormat="1" applyFont="1" applyFill="1" applyBorder="1" applyAlignment="1" applyProtection="1">
      <alignment horizontal="left" vertical="center" wrapText="1"/>
    </xf>
    <xf numFmtId="0" fontId="257" fillId="6" borderId="1" xfId="18" applyNumberFormat="1" applyFont="1" applyFill="1" applyBorder="1" applyAlignment="1" applyProtection="1">
      <alignment horizontal="left" vertical="center" wrapText="1"/>
    </xf>
    <xf numFmtId="0" fontId="257" fillId="6" borderId="15" xfId="0" applyNumberFormat="1" applyFont="1" applyFill="1" applyBorder="1" applyAlignment="1" applyProtection="1">
      <alignment horizontal="left" vertical="center" wrapText="1"/>
    </xf>
    <xf numFmtId="0" fontId="257" fillId="6" borderId="13" xfId="0" applyNumberFormat="1" applyFont="1" applyFill="1" applyBorder="1" applyAlignment="1" applyProtection="1">
      <alignment horizontal="left" vertical="center" wrapText="1"/>
    </xf>
    <xf numFmtId="0" fontId="257" fillId="6" borderId="10" xfId="0" applyNumberFormat="1" applyFont="1" applyFill="1" applyBorder="1" applyAlignment="1" applyProtection="1">
      <alignment horizontal="left" vertical="center" wrapText="1"/>
    </xf>
    <xf numFmtId="0" fontId="257" fillId="6" borderId="24" xfId="0" applyNumberFormat="1" applyFont="1" applyFill="1" applyBorder="1" applyAlignment="1" applyProtection="1">
      <alignment horizontal="left" vertical="center" wrapText="1"/>
    </xf>
    <xf numFmtId="0" fontId="257" fillId="6" borderId="12" xfId="0" applyNumberFormat="1" applyFont="1" applyFill="1" applyBorder="1" applyAlignment="1" applyProtection="1">
      <alignment horizontal="left" vertical="center" wrapText="1"/>
    </xf>
    <xf numFmtId="0" fontId="257" fillId="6" borderId="49" xfId="0" applyNumberFormat="1" applyFont="1" applyFill="1" applyBorder="1" applyAlignment="1" applyProtection="1">
      <alignment horizontal="left" vertical="center" wrapText="1"/>
    </xf>
    <xf numFmtId="0" fontId="257" fillId="6" borderId="61" xfId="0" applyNumberFormat="1" applyFont="1" applyFill="1" applyBorder="1" applyAlignment="1" applyProtection="1">
      <alignment horizontal="left" vertical="center" wrapText="1"/>
    </xf>
    <xf numFmtId="0" fontId="257" fillId="6" borderId="6" xfId="0" applyNumberFormat="1" applyFont="1" applyFill="1" applyBorder="1" applyAlignment="1" applyProtection="1">
      <alignment horizontal="left" vertical="center" wrapText="1"/>
    </xf>
    <xf numFmtId="0" fontId="257" fillId="6" borderId="23" xfId="0" applyNumberFormat="1" applyFont="1" applyFill="1" applyBorder="1" applyAlignment="1" applyProtection="1">
      <alignment horizontal="left" vertical="center" wrapText="1"/>
    </xf>
    <xf numFmtId="0" fontId="257"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3" fillId="6" borderId="0" xfId="0" applyFont="1" applyFill="1" applyAlignment="1" applyProtection="1">
      <alignment horizontal="left" vertical="center"/>
    </xf>
    <xf numFmtId="0" fontId="113" fillId="6" borderId="29" xfId="0" applyFont="1" applyFill="1" applyBorder="1" applyAlignment="1" applyProtection="1">
      <alignment horizontal="left" vertical="center"/>
    </xf>
    <xf numFmtId="0" fontId="113" fillId="6" borderId="40" xfId="0" applyFont="1" applyFill="1" applyBorder="1" applyAlignment="1" applyProtection="1">
      <alignment horizontal="left" vertical="center" wrapText="1"/>
    </xf>
    <xf numFmtId="0" fontId="113"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wrapText="1"/>
    </xf>
    <xf numFmtId="0"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pplyProtection="1">
      <alignment horizontal="left" vertical="center" wrapText="1"/>
    </xf>
    <xf numFmtId="0"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pplyProtection="1">
      <alignment horizontal="left" vertical="center" wrapText="1"/>
    </xf>
    <xf numFmtId="0"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pplyProtection="1">
      <alignment horizontal="left" vertical="center" wrapText="1"/>
    </xf>
    <xf numFmtId="0"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pplyProtection="1">
      <alignment horizontal="left" vertical="center" wrapText="1"/>
    </xf>
    <xf numFmtId="0" fontId="260" fillId="6" borderId="25" xfId="0" applyFont="1" applyFill="1" applyBorder="1" applyAlignment="1" applyProtection="1">
      <alignment horizontal="left" vertical="center" wrapText="1"/>
    </xf>
    <xf numFmtId="0"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5"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6"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0" fontId="267" fillId="0" borderId="1" xfId="0" applyNumberFormat="1" applyFont="1" applyFill="1" applyBorder="1" applyAlignment="1">
      <alignment horizontal="left" vertical="center"/>
    </xf>
    <xf numFmtId="0"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5" fillId="6" borderId="60" xfId="0" applyNumberFormat="1" applyFont="1" applyFill="1" applyBorder="1" applyAlignment="1" applyProtection="1">
      <alignment horizontal="left" vertical="center"/>
    </xf>
    <xf numFmtId="0" fontId="115"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5" fillId="0" borderId="1" xfId="8" applyNumberFormat="1" applyFont="1" applyFill="1" applyBorder="1" applyAlignment="1" applyProtection="1">
      <alignment horizontal="left" vertical="center"/>
      <protection locked="0"/>
    </xf>
    <xf numFmtId="0" fontId="115" fillId="6" borderId="1" xfId="8" applyNumberFormat="1" applyFont="1" applyFill="1" applyBorder="1" applyAlignment="1" applyProtection="1">
      <alignment horizontal="left" vertical="center"/>
    </xf>
    <xf numFmtId="0" fontId="115"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1" fillId="6" borderId="51" xfId="0" applyNumberFormat="1" applyFont="1" applyFill="1" applyBorder="1" applyAlignment="1" applyProtection="1">
      <alignment horizontal="left" vertical="center"/>
    </xf>
    <xf numFmtId="0" fontId="206"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5"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5"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5"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5"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5" fillId="6" borderId="32" xfId="0" applyNumberFormat="1" applyFont="1" applyFill="1" applyBorder="1" applyAlignment="1" applyProtection="1">
      <alignment horizontal="left" vertical="center" wrapText="1"/>
    </xf>
    <xf numFmtId="0" fontId="115"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5" fillId="11" borderId="125" xfId="9" applyFont="1" applyFill="1" applyBorder="1" applyAlignment="1" applyProtection="1">
      <alignment horizontal="left" vertical="center" wrapText="1"/>
    </xf>
    <xf numFmtId="0" fontId="110"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8"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1"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NumberFormat="1" applyFont="1" applyAlignment="1" applyProtection="1">
      <alignment vertical="center"/>
    </xf>
    <xf numFmtId="2" fontId="49" fillId="12" borderId="0" xfId="0" applyNumberFormat="1" applyFont="1" applyFill="1" applyAlignment="1" applyProtection="1">
      <alignment vertical="center"/>
      <protection locked="0"/>
    </xf>
    <xf numFmtId="0" fontId="97" fillId="0" borderId="0" xfId="0" applyFont="1">
      <alignment vertical="center"/>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NumberFormat="1" applyFont="1" applyFill="1" applyBorder="1" applyAlignment="1">
      <alignment horizontal="center" vertical="center"/>
    </xf>
    <xf numFmtId="0" fontId="272" fillId="5" borderId="1" xfId="0" applyNumberFormat="1"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NumberFormat="1" applyFont="1" applyFill="1" applyBorder="1" applyAlignment="1">
      <alignment horizontal="center" vertical="center"/>
    </xf>
    <xf numFmtId="0" fontId="275" fillId="5" borderId="1" xfId="0" applyNumberFormat="1"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NumberFormat="1" applyFont="1" applyFill="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49" fontId="272" fillId="0" borderId="1" xfId="19" applyNumberFormat="1" applyFont="1" applyFill="1" applyBorder="1" applyAlignment="1">
      <alignment horizontal="center" vertical="center"/>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31" fontId="82" fillId="5" borderId="1" xfId="19" applyNumberFormat="1" applyFont="1" applyFill="1" applyBorder="1" applyAlignment="1" applyProtection="1">
      <alignment horizontal="center" vertical="center"/>
      <protection locked="0"/>
    </xf>
    <xf numFmtId="0" fontId="272" fillId="0" borderId="1" xfId="19" applyFont="1" applyFill="1" applyBorder="1" applyAlignment="1">
      <alignment horizontal="center" vertical="center"/>
    </xf>
    <xf numFmtId="0" fontId="272" fillId="0" borderId="1" xfId="19" applyNumberFormat="1" applyFont="1" applyFill="1" applyBorder="1" applyAlignment="1">
      <alignment horizontal="center" vertical="center"/>
    </xf>
    <xf numFmtId="0" fontId="82" fillId="22" borderId="1" xfId="19"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Fill="1" applyBorder="1" applyAlignment="1" applyProtection="1">
      <alignment horizontal="center" vertical="center" wrapText="1"/>
      <protection locked="0"/>
    </xf>
    <xf numFmtId="0" fontId="72" fillId="6" borderId="20" xfId="0" applyNumberFormat="1" applyFont="1" applyFill="1" applyBorder="1" applyAlignment="1" applyProtection="1">
      <alignment horizontal="center" vertical="center" wrapText="1"/>
    </xf>
    <xf numFmtId="0" fontId="72" fillId="6" borderId="21" xfId="0" applyNumberFormat="1" applyFont="1" applyFill="1" applyBorder="1" applyAlignment="1" applyProtection="1">
      <alignment horizontal="center" vertical="center" wrapText="1"/>
    </xf>
    <xf numFmtId="0" fontId="272" fillId="7" borderId="1" xfId="19" applyNumberFormat="1" applyFont="1" applyFill="1" applyBorder="1" applyAlignment="1">
      <alignment horizontal="center" vertical="center"/>
    </xf>
    <xf numFmtId="0" fontId="272" fillId="18" borderId="1" xfId="19" applyNumberFormat="1" applyFont="1" applyFill="1" applyBorder="1" applyAlignment="1">
      <alignment horizontal="center" vertical="center"/>
    </xf>
    <xf numFmtId="0" fontId="0" fillId="18" borderId="0" xfId="0" applyFill="1">
      <alignment vertical="center"/>
    </xf>
    <xf numFmtId="0" fontId="72" fillId="3" borderId="20" xfId="0" applyNumberFormat="1" applyFont="1" applyFill="1" applyBorder="1" applyAlignment="1" applyProtection="1">
      <alignment horizontal="right" vertical="center" wrapText="1"/>
      <protection locked="0"/>
    </xf>
    <xf numFmtId="0" fontId="72" fillId="3" borderId="51" xfId="0" applyNumberFormat="1" applyFont="1" applyFill="1" applyBorder="1" applyAlignment="1" applyProtection="1">
      <alignment horizontal="right" vertical="center" wrapText="1"/>
      <protection locked="0"/>
    </xf>
    <xf numFmtId="0" fontId="130" fillId="0" borderId="44" xfId="0" applyNumberFormat="1" applyFont="1" applyFill="1" applyBorder="1" applyAlignment="1" applyProtection="1">
      <alignment horizontal="center" vertical="center" wrapText="1"/>
      <protection locked="0"/>
    </xf>
    <xf numFmtId="0" fontId="96" fillId="0" borderId="44"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NumberFormat="1" applyFont="1" applyFill="1" applyBorder="1" applyAlignment="1" applyProtection="1">
      <alignment horizontal="center" vertical="center" wrapText="1"/>
      <protection locked="0"/>
    </xf>
    <xf numFmtId="0" fontId="96" fillId="0" borderId="54" xfId="0" applyNumberFormat="1" applyFont="1" applyFill="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pplyProtection="1">
      <alignment horizontal="center" vertical="center"/>
    </xf>
    <xf numFmtId="0" fontId="272" fillId="7" borderId="1" xfId="19"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NumberFormat="1"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pplyFill="1" applyAlignment="1">
      <alignment vertical="center"/>
    </xf>
    <xf numFmtId="14" fontId="286" fillId="0" borderId="0" xfId="0" applyNumberFormat="1" applyFont="1" applyFill="1" applyAlignme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NumberFormat="1" applyFont="1" applyFill="1" applyBorder="1" applyAlignment="1" applyProtection="1">
      <alignment horizontal="center" vertical="center" wrapText="1"/>
      <protection locked="0"/>
    </xf>
    <xf numFmtId="0" fontId="288" fillId="23" borderId="178" xfId="0" applyFont="1" applyFill="1" applyBorder="1" applyAlignment="1">
      <alignment horizontal="center" vertical="center" wrapText="1"/>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Alignment="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pplyProtection="1">
      <alignment horizontal="center" vertical="center"/>
    </xf>
    <xf numFmtId="10" fontId="49" fillId="9" borderId="24" xfId="0" applyNumberFormat="1" applyFont="1" applyFill="1" applyBorder="1" applyAlignment="1" applyProtection="1">
      <alignment horizontal="center" vertical="center"/>
    </xf>
    <xf numFmtId="181" fontId="54" fillId="9" borderId="24" xfId="0" applyNumberFormat="1" applyFont="1" applyFill="1" applyBorder="1" applyAlignment="1" applyProtection="1">
      <alignment horizontal="center" vertical="center"/>
    </xf>
    <xf numFmtId="179" fontId="54" fillId="9" borderId="24" xfId="0" applyNumberFormat="1" applyFont="1" applyFill="1" applyBorder="1" applyAlignment="1" applyProtection="1">
      <alignment horizontal="center" vertical="center"/>
    </xf>
    <xf numFmtId="0" fontId="293" fillId="0" borderId="0" xfId="20">
      <alignment vertical="center"/>
    </xf>
    <xf numFmtId="0" fontId="18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2" fillId="0" borderId="0" xfId="7" applyFont="1" applyAlignment="1" applyProtection="1">
      <alignment horizontal="left" vertical="center" wrapText="1"/>
    </xf>
    <xf numFmtId="0" fontId="19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27" fillId="0" borderId="0" xfId="0" applyFont="1" applyBorder="1" applyAlignment="1" applyProtection="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8" fillId="0" borderId="0" xfId="0" applyFont="1" applyAlignment="1" applyProtection="1">
      <alignment vertical="center" wrapText="1"/>
      <protection locked="0"/>
    </xf>
    <xf numFmtId="0" fontId="126"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8" fillId="6" borderId="60" xfId="0" applyNumberFormat="1"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Font="1" applyFill="1" applyBorder="1" applyAlignment="1" applyProtection="1">
      <alignment horizontal="left" vertical="center" wrapText="1"/>
    </xf>
    <xf numFmtId="0" fontId="131"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27" fillId="6" borderId="23" xfId="0" applyFont="1" applyFill="1" applyBorder="1" applyAlignment="1" applyProtection="1">
      <alignment horizontal="left" vertical="center"/>
    </xf>
    <xf numFmtId="0" fontId="127"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left" vertical="center" wrapText="1"/>
    </xf>
    <xf numFmtId="0" fontId="101" fillId="6" borderId="1" xfId="0" applyFont="1" applyFill="1" applyBorder="1" applyAlignment="1" applyProtection="1">
      <alignment horizontal="left" vertical="center" wrapText="1"/>
    </xf>
    <xf numFmtId="0" fontId="101" fillId="6" borderId="13" xfId="0" applyFont="1" applyFill="1" applyBorder="1" applyAlignment="1" applyProtection="1">
      <alignment horizontal="left" vertical="center" wrapText="1"/>
    </xf>
    <xf numFmtId="0" fontId="101"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pplyProtection="1">
      <alignment horizontal="center" vertical="center" wrapText="1"/>
    </xf>
    <xf numFmtId="0" fontId="128"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0" fillId="0" borderId="23"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1" fillId="6" borderId="13" xfId="0" applyFont="1" applyFill="1" applyBorder="1" applyAlignment="1" applyProtection="1">
      <alignment vertical="center" wrapText="1"/>
    </xf>
    <xf numFmtId="0" fontId="141"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109" fillId="6" borderId="1" xfId="0" applyNumberFormat="1" applyFont="1" applyFill="1" applyBorder="1" applyAlignment="1" applyProtection="1">
      <alignment horizontal="left" vertical="center"/>
    </xf>
    <xf numFmtId="0" fontId="109" fillId="6" borderId="13" xfId="0" applyNumberFormat="1" applyFont="1" applyFill="1" applyBorder="1" applyAlignment="1" applyProtection="1">
      <alignment horizontal="left" vertical="center"/>
    </xf>
    <xf numFmtId="0" fontId="109" fillId="6" borderId="2" xfId="0" applyNumberFormat="1" applyFont="1" applyFill="1" applyBorder="1" applyAlignment="1" applyProtection="1">
      <alignment horizontal="left" vertical="center"/>
    </xf>
    <xf numFmtId="0" fontId="109" fillId="6" borderId="15" xfId="0" applyNumberFormat="1" applyFont="1" applyFill="1" applyBorder="1" applyAlignment="1" applyProtection="1">
      <alignment horizontal="left" vertical="center"/>
    </xf>
    <xf numFmtId="0" fontId="109" fillId="6" borderId="17" xfId="0" applyNumberFormat="1" applyFont="1" applyFill="1" applyBorder="1" applyAlignment="1" applyProtection="1">
      <alignment horizontal="left" vertical="center"/>
    </xf>
    <xf numFmtId="0" fontId="109" fillId="6" borderId="74" xfId="0" applyNumberFormat="1" applyFont="1" applyFill="1" applyBorder="1" applyAlignment="1" applyProtection="1">
      <alignment horizontal="left" vertical="center"/>
    </xf>
    <xf numFmtId="0" fontId="109" fillId="6" borderId="40" xfId="0" applyNumberFormat="1" applyFont="1" applyFill="1" applyBorder="1" applyAlignment="1" applyProtection="1">
      <alignment horizontal="left" vertical="center"/>
    </xf>
    <xf numFmtId="0" fontId="109" fillId="6" borderId="14" xfId="0" applyNumberFormat="1" applyFont="1" applyFill="1" applyBorder="1" applyAlignment="1" applyProtection="1">
      <alignment horizontal="left" vertical="center"/>
    </xf>
    <xf numFmtId="0" fontId="109" fillId="6" borderId="12" xfId="0" applyNumberFormat="1" applyFont="1" applyFill="1" applyBorder="1" applyAlignment="1" applyProtection="1">
      <alignment horizontal="left" vertical="center"/>
    </xf>
    <xf numFmtId="0" fontId="109" fillId="6" borderId="6" xfId="0" applyNumberFormat="1" applyFont="1" applyFill="1" applyBorder="1" applyAlignment="1" applyProtection="1">
      <alignment horizontal="left" vertical="center"/>
    </xf>
    <xf numFmtId="0" fontId="109" fillId="6" borderId="23" xfId="0" applyNumberFormat="1" applyFont="1" applyFill="1" applyBorder="1" applyAlignment="1" applyProtection="1">
      <alignment horizontal="left" vertical="center"/>
    </xf>
    <xf numFmtId="0" fontId="109" fillId="6" borderId="25" xfId="0" applyNumberFormat="1" applyFont="1" applyFill="1" applyBorder="1" applyAlignment="1" applyProtection="1">
      <alignment horizontal="left" vertical="center"/>
    </xf>
    <xf numFmtId="0" fontId="256" fillId="6" borderId="6"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center" vertical="center"/>
    </xf>
    <xf numFmtId="0" fontId="256" fillId="6" borderId="56" xfId="0" applyNumberFormat="1" applyFont="1" applyFill="1" applyBorder="1" applyAlignment="1" applyProtection="1">
      <alignment horizontal="center" vertical="center"/>
    </xf>
    <xf numFmtId="0" fontId="123" fillId="6" borderId="0" xfId="0" applyFont="1" applyFill="1" applyAlignment="1" applyProtection="1">
      <alignment horizontal="left" vertical="center"/>
    </xf>
    <xf numFmtId="0" fontId="265" fillId="0" borderId="0" xfId="0" applyNumberFormat="1" applyFont="1" applyFill="1" applyAlignment="1">
      <alignment horizontal="center" vertical="center"/>
    </xf>
    <xf numFmtId="0" fontId="265" fillId="0" borderId="35" xfId="0" applyNumberFormat="1" applyFont="1" applyFill="1" applyBorder="1" applyAlignment="1">
      <alignment horizontal="center" vertical="center"/>
    </xf>
    <xf numFmtId="0" fontId="138"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45" fillId="11" borderId="131" xfId="9" applyFont="1" applyFill="1" applyBorder="1" applyAlignment="1" applyProtection="1">
      <alignment horizontal="left" vertical="center" wrapText="1"/>
    </xf>
    <xf numFmtId="0" fontId="145" fillId="11" borderId="125" xfId="9" applyFont="1" applyFill="1" applyBorder="1" applyAlignment="1" applyProtection="1">
      <alignment horizontal="left" vertical="center" wrapText="1"/>
    </xf>
    <xf numFmtId="0" fontId="145" fillId="11" borderId="127" xfId="9" applyFont="1" applyFill="1" applyBorder="1" applyAlignment="1" applyProtection="1">
      <alignment horizontal="left" vertical="center" wrapText="1"/>
    </xf>
    <xf numFmtId="0" fontId="138" fillId="0" borderId="0" xfId="9" applyFont="1" applyAlignment="1">
      <alignment horizontal="left" vertical="center"/>
    </xf>
    <xf numFmtId="0" fontId="104" fillId="0" borderId="0" xfId="9" applyFont="1" applyAlignment="1">
      <alignment horizontal="left" vertical="center"/>
    </xf>
    <xf numFmtId="0" fontId="143" fillId="0" borderId="0" xfId="9" applyFont="1" applyAlignment="1">
      <alignment horizontal="left" vertical="center"/>
    </xf>
    <xf numFmtId="0" fontId="145"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5"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5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39649</xdr:rowOff>
    </xdr:from>
    <xdr:to>
      <xdr:col>9</xdr:col>
      <xdr:colOff>464820</xdr:colOff>
      <xdr:row>48</xdr:row>
      <xdr:rowOff>56095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45989"/>
          <a:ext cx="6217920" cy="4954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491600</xdr:colOff>
      <xdr:row>21</xdr:row>
      <xdr:rowOff>83820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
          <a:ext cx="7806800" cy="3741420"/>
        </a:xfrm>
        <a:prstGeom prst="rect">
          <a:avLst/>
        </a:prstGeom>
      </xdr:spPr>
    </xdr:pic>
    <xdr:clientData/>
  </xdr:twoCellAnchor>
  <xdr:twoCellAnchor editAs="oneCell">
    <xdr:from>
      <xdr:col>12</xdr:col>
      <xdr:colOff>480060</xdr:colOff>
      <xdr:row>1</xdr:row>
      <xdr:rowOff>15240</xdr:rowOff>
    </xdr:from>
    <xdr:to>
      <xdr:col>24</xdr:col>
      <xdr:colOff>534370</xdr:colOff>
      <xdr:row>8</xdr:row>
      <xdr:rowOff>182699</xdr:rowOff>
    </xdr:to>
    <xdr:pic>
      <xdr:nvPicPr>
        <xdr:cNvPr id="3" name="图片 2"/>
        <xdr:cNvPicPr>
          <a:picLocks noChangeAspect="1"/>
        </xdr:cNvPicPr>
      </xdr:nvPicPr>
      <xdr:blipFill>
        <a:blip xmlns:r="http://schemas.openxmlformats.org/officeDocument/2006/relationships" r:embed="rId2"/>
        <a:stretch>
          <a:fillRect/>
        </a:stretch>
      </xdr:blipFill>
      <xdr:spPr>
        <a:xfrm>
          <a:off x="7795260" y="198120"/>
          <a:ext cx="7476190" cy="1447619"/>
        </a:xfrm>
        <a:prstGeom prst="rect">
          <a:avLst/>
        </a:prstGeom>
      </xdr:spPr>
    </xdr:pic>
    <xdr:clientData/>
  </xdr:twoCellAnchor>
  <xdr:twoCellAnchor editAs="oneCell">
    <xdr:from>
      <xdr:col>0</xdr:col>
      <xdr:colOff>0</xdr:colOff>
      <xdr:row>24</xdr:row>
      <xdr:rowOff>121920</xdr:rowOff>
    </xdr:from>
    <xdr:to>
      <xdr:col>12</xdr:col>
      <xdr:colOff>461008</xdr:colOff>
      <xdr:row>44</xdr:row>
      <xdr:rowOff>27895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511040"/>
          <a:ext cx="7776208" cy="3563575"/>
        </a:xfrm>
        <a:prstGeom prst="rect">
          <a:avLst/>
        </a:prstGeom>
      </xdr:spPr>
    </xdr:pic>
    <xdr:clientData/>
  </xdr:twoCellAnchor>
  <xdr:twoCellAnchor editAs="oneCell">
    <xdr:from>
      <xdr:col>13</xdr:col>
      <xdr:colOff>0</xdr:colOff>
      <xdr:row>25</xdr:row>
      <xdr:rowOff>0</xdr:rowOff>
    </xdr:from>
    <xdr:to>
      <xdr:col>24</xdr:col>
      <xdr:colOff>606768</xdr:colOff>
      <xdr:row>32</xdr:row>
      <xdr:rowOff>100792</xdr:rowOff>
    </xdr:to>
    <xdr:pic>
      <xdr:nvPicPr>
        <xdr:cNvPr id="5" name="图片 4"/>
        <xdr:cNvPicPr>
          <a:picLocks noChangeAspect="1"/>
        </xdr:cNvPicPr>
      </xdr:nvPicPr>
      <xdr:blipFill>
        <a:blip xmlns:r="http://schemas.openxmlformats.org/officeDocument/2006/relationships" r:embed="rId4"/>
        <a:stretch>
          <a:fillRect/>
        </a:stretch>
      </xdr:blipFill>
      <xdr:spPr>
        <a:xfrm>
          <a:off x="7924800" y="4572000"/>
          <a:ext cx="7419048" cy="1380952"/>
        </a:xfrm>
        <a:prstGeom prst="rect">
          <a:avLst/>
        </a:prstGeom>
      </xdr:spPr>
    </xdr:pic>
    <xdr:clientData/>
  </xdr:twoCellAnchor>
  <xdr:twoCellAnchor editAs="oneCell">
    <xdr:from>
      <xdr:col>0</xdr:col>
      <xdr:colOff>0</xdr:colOff>
      <xdr:row>47</xdr:row>
      <xdr:rowOff>92572</xdr:rowOff>
    </xdr:from>
    <xdr:to>
      <xdr:col>12</xdr:col>
      <xdr:colOff>426720</xdr:colOff>
      <xdr:row>67</xdr:row>
      <xdr:rowOff>117411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687932"/>
          <a:ext cx="7741920" cy="3682439"/>
        </a:xfrm>
        <a:prstGeom prst="rect">
          <a:avLst/>
        </a:prstGeom>
      </xdr:spPr>
    </xdr:pic>
    <xdr:clientData/>
  </xdr:twoCellAnchor>
  <xdr:twoCellAnchor editAs="oneCell">
    <xdr:from>
      <xdr:col>13</xdr:col>
      <xdr:colOff>0</xdr:colOff>
      <xdr:row>48</xdr:row>
      <xdr:rowOff>0</xdr:rowOff>
    </xdr:from>
    <xdr:to>
      <xdr:col>22</xdr:col>
      <xdr:colOff>454539</xdr:colOff>
      <xdr:row>57</xdr:row>
      <xdr:rowOff>58842</xdr:rowOff>
    </xdr:to>
    <xdr:pic>
      <xdr:nvPicPr>
        <xdr:cNvPr id="7" name="图片 6"/>
        <xdr:cNvPicPr>
          <a:picLocks noChangeAspect="1"/>
        </xdr:cNvPicPr>
      </xdr:nvPicPr>
      <xdr:blipFill>
        <a:blip xmlns:r="http://schemas.openxmlformats.org/officeDocument/2006/relationships" r:embed="rId6"/>
        <a:stretch>
          <a:fillRect/>
        </a:stretch>
      </xdr:blipFill>
      <xdr:spPr>
        <a:xfrm>
          <a:off x="7924800" y="8778240"/>
          <a:ext cx="6047619" cy="1704762"/>
        </a:xfrm>
        <a:prstGeom prst="rect">
          <a:avLst/>
        </a:prstGeom>
      </xdr:spPr>
    </xdr:pic>
    <xdr:clientData/>
  </xdr:twoCellAnchor>
  <xdr:twoCellAnchor editAs="oneCell">
    <xdr:from>
      <xdr:col>0</xdr:col>
      <xdr:colOff>0</xdr:colOff>
      <xdr:row>71</xdr:row>
      <xdr:rowOff>45720</xdr:rowOff>
    </xdr:from>
    <xdr:to>
      <xdr:col>13</xdr:col>
      <xdr:colOff>268814</xdr:colOff>
      <xdr:row>92</xdr:row>
      <xdr:rowOff>142171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3030200"/>
          <a:ext cx="8193614" cy="3936931"/>
        </a:xfrm>
        <a:prstGeom prst="rect">
          <a:avLst/>
        </a:prstGeom>
      </xdr:spPr>
    </xdr:pic>
    <xdr:clientData/>
  </xdr:twoCellAnchor>
  <xdr:twoCellAnchor editAs="oneCell">
    <xdr:from>
      <xdr:col>14</xdr:col>
      <xdr:colOff>0</xdr:colOff>
      <xdr:row>72</xdr:row>
      <xdr:rowOff>0</xdr:rowOff>
    </xdr:from>
    <xdr:to>
      <xdr:col>25</xdr:col>
      <xdr:colOff>416291</xdr:colOff>
      <xdr:row>78</xdr:row>
      <xdr:rowOff>83672</xdr:rowOff>
    </xdr:to>
    <xdr:pic>
      <xdr:nvPicPr>
        <xdr:cNvPr id="9" name="图片 8"/>
        <xdr:cNvPicPr>
          <a:picLocks noChangeAspect="1"/>
        </xdr:cNvPicPr>
      </xdr:nvPicPr>
      <xdr:blipFill>
        <a:blip xmlns:r="http://schemas.openxmlformats.org/officeDocument/2006/relationships" r:embed="rId8"/>
        <a:stretch>
          <a:fillRect/>
        </a:stretch>
      </xdr:blipFill>
      <xdr:spPr>
        <a:xfrm>
          <a:off x="8534400" y="13167360"/>
          <a:ext cx="7228571" cy="1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266700</xdr:colOff>
      <xdr:row>0</xdr:row>
      <xdr:rowOff>0</xdr:rowOff>
    </xdr:from>
    <xdr:to>
      <xdr:col>14</xdr:col>
      <xdr:colOff>129540</xdr:colOff>
      <xdr:row>21</xdr:row>
      <xdr:rowOff>154762</xdr:rowOff>
    </xdr:to>
    <xdr:pic>
      <xdr:nvPicPr>
        <xdr:cNvPr id="7" name="图片 6"/>
        <xdr:cNvPicPr>
          <a:picLocks noChangeAspect="1"/>
        </xdr:cNvPicPr>
      </xdr:nvPicPr>
      <xdr:blipFill>
        <a:blip xmlns:r="http://schemas.openxmlformats.org/officeDocument/2006/relationships" r:embed="rId1"/>
        <a:stretch>
          <a:fillRect/>
        </a:stretch>
      </xdr:blipFill>
      <xdr:spPr>
        <a:xfrm>
          <a:off x="1485900" y="0"/>
          <a:ext cx="7284720" cy="39952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hyperlink" Target="https://sf-item.taobao.com/sf_item/818813826840.htm?spm=a213w.7398504.paiList.5.35467920lsrv6U&amp;track_id=8c78d481-64f9-43bf-96cd-499efcdaa0c0" TargetMode="External"/><Relationship Id="rId2" Type="http://schemas.openxmlformats.org/officeDocument/2006/relationships/hyperlink" Target="https://sf-item.taobao.com/sf_item/820109481167.htm?spm=a213w.7398504.paiList.4.35467920lsrv6U&amp;track_id=8c78d481-64f9-43bf-96cd-499efcdaa0c0" TargetMode="External"/><Relationship Id="rId1" Type="http://schemas.openxmlformats.org/officeDocument/2006/relationships/hyperlink" Target="https://sf-item.taobao.com/sf_item/824613630164.htm?spm=a213w.7398504.paiList.1.21af5983tp0NAv&amp;track_id=2e7a1be7-a12a-41d6-bc08-8353cab20c5c" TargetMode="External"/><Relationship Id="rId5" Type="http://schemas.openxmlformats.org/officeDocument/2006/relationships/drawing" Target="../drawings/drawing2.xml"/><Relationship Id="rId4" Type="http://schemas.openxmlformats.org/officeDocument/2006/relationships/hyperlink" Target="https://sf-item.taobao.com/sf_item/841474755795.htm?spm=a213w.7398504.paiList.6.35467920lsrv6U&amp;track_id=8c78d481-64f9-43bf-96cd-499efcdaa0c0"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估价对象为北京市房地产，为所有。根据《国有土地使用证》[]，估价对象（分摊）出让国有建设用地使用权面积为0平方米，建筑面积为93.38平方米。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估价对象为北京市房地产,属开发建设的，该项目尚在开发建设中。根据《国有土地使用证》[]，估价对象（分摊）出让国有建设用地使用权面积为0平方米，规划建筑面积为93.38平方米。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2024年8月29日（评估专业人员实地查勘之日）</v>
      </c>
    </row>
    <row r="13" spans="1:2" s="1203" customFormat="1">
      <c r="A13" s="1201" t="s">
        <v>529</v>
      </c>
      <c r="B13" s="1202" t="str">
        <f>'预评函-1'!A18</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本次评估采用的主估价方法为比较法和收益法。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93.38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1" sqref="I11"/>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9" t="s">
        <v>4276</v>
      </c>
      <c r="C8" s="1547" t="s">
        <v>319</v>
      </c>
      <c r="F8" s="1548" t="s">
        <v>1027</v>
      </c>
      <c r="H8" s="1548" t="s">
        <v>2579</v>
      </c>
      <c r="I8" s="1548" t="s">
        <v>3344</v>
      </c>
    </row>
    <row r="9" spans="1:23">
      <c r="A9" s="1546" t="s">
        <v>1028</v>
      </c>
      <c r="B9" s="1546" t="s">
        <v>1029</v>
      </c>
      <c r="C9" s="1547" t="s">
        <v>320</v>
      </c>
      <c r="F9" s="1548" t="s">
        <v>1030</v>
      </c>
      <c r="H9" s="1548"/>
      <c r="I9" s="1551" t="s">
        <v>3345</v>
      </c>
    </row>
    <row r="10" spans="1:23">
      <c r="A10" s="1546" t="s">
        <v>1031</v>
      </c>
      <c r="B10" s="1546" t="s">
        <v>1032</v>
      </c>
      <c r="C10" s="1547" t="s">
        <v>321</v>
      </c>
      <c r="F10" s="1548" t="s">
        <v>2580</v>
      </c>
      <c r="I10" s="1551" t="s">
        <v>3346</v>
      </c>
    </row>
    <row r="11" spans="1:23">
      <c r="A11" s="1546" t="s">
        <v>1033</v>
      </c>
      <c r="B11" s="1546" t="s">
        <v>1034</v>
      </c>
      <c r="C11" s="1547" t="s">
        <v>322</v>
      </c>
      <c r="F11" s="1548" t="s">
        <v>13</v>
      </c>
      <c r="I11" s="1551" t="s">
        <v>3347</v>
      </c>
    </row>
    <row r="12" spans="1:23">
      <c r="A12" s="1546" t="s">
        <v>1035</v>
      </c>
      <c r="B12" s="1546" t="s">
        <v>1036</v>
      </c>
      <c r="C12" s="1547" t="s">
        <v>323</v>
      </c>
      <c r="I12" s="1551" t="s">
        <v>3348</v>
      </c>
    </row>
    <row r="13" spans="1:23">
      <c r="A13" s="1546" t="s">
        <v>1037</v>
      </c>
      <c r="B13" s="1546" t="s">
        <v>1038</v>
      </c>
      <c r="C13" s="1547" t="s">
        <v>324</v>
      </c>
      <c r="I13" s="1551" t="s">
        <v>3349</v>
      </c>
    </row>
    <row r="14" spans="1:23">
      <c r="A14" s="1546" t="s">
        <v>1039</v>
      </c>
      <c r="B14" s="1546" t="s">
        <v>1040</v>
      </c>
      <c r="C14" s="1548" t="s">
        <v>13</v>
      </c>
      <c r="I14" s="1551" t="s">
        <v>3350</v>
      </c>
    </row>
    <row r="15" spans="1:23">
      <c r="A15" s="1546" t="s">
        <v>1041</v>
      </c>
      <c r="B15" s="1546" t="s">
        <v>1042</v>
      </c>
      <c r="C15" s="1547"/>
      <c r="I15" s="1551" t="s">
        <v>3351</v>
      </c>
    </row>
    <row r="16" spans="1:23">
      <c r="A16" s="1546" t="s">
        <v>1043</v>
      </c>
      <c r="B16" s="1546" t="s">
        <v>312</v>
      </c>
      <c r="C16" s="1547"/>
    </row>
    <row r="17" spans="1:3">
      <c r="A17" s="1546" t="s">
        <v>1044</v>
      </c>
      <c r="B17" s="1546" t="s">
        <v>2292</v>
      </c>
      <c r="C17" s="1547"/>
    </row>
    <row r="18" spans="1:3">
      <c r="A18" s="1546" t="s">
        <v>1045</v>
      </c>
      <c r="B18" s="1546" t="s">
        <v>2435</v>
      </c>
      <c r="C18" s="1547"/>
    </row>
    <row r="19" spans="1:3">
      <c r="A19" s="1546" t="s">
        <v>1046</v>
      </c>
      <c r="B19" s="1546" t="s">
        <v>313</v>
      </c>
      <c r="C19" s="1547"/>
    </row>
    <row r="20" spans="1:3">
      <c r="A20" s="1546" t="s">
        <v>1047</v>
      </c>
      <c r="B20" s="1546" t="s">
        <v>4278</v>
      </c>
      <c r="C20" s="1547"/>
    </row>
    <row r="21" spans="1:3">
      <c r="A21" s="1546" t="s">
        <v>1048</v>
      </c>
      <c r="B21" s="1546" t="s">
        <v>4301</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6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9"/>
      <c r="B54" s="1554" t="s">
        <v>385</v>
      </c>
      <c r="C54" s="1551" t="s">
        <v>583</v>
      </c>
    </row>
    <row r="55" spans="1:4">
      <c r="A55" s="3669"/>
      <c r="B55" s="1554" t="s">
        <v>386</v>
      </c>
      <c r="C55" s="1551" t="s">
        <v>584</v>
      </c>
    </row>
    <row r="56" spans="1:4">
      <c r="A56" s="3669"/>
      <c r="B56" s="1554" t="s">
        <v>387</v>
      </c>
      <c r="C56" s="1551" t="s">
        <v>588</v>
      </c>
    </row>
    <row r="57" spans="1:4">
      <c r="A57" s="366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670" t="s">
        <v>2582</v>
      </c>
      <c r="J2" s="3670"/>
      <c r="K2" s="3670"/>
      <c r="L2" s="3670"/>
      <c r="M2" s="3670"/>
      <c r="N2" s="3670"/>
      <c r="O2" s="3670"/>
      <c r="P2" s="3670"/>
      <c r="Q2" s="3670"/>
      <c r="R2" s="3670"/>
    </row>
    <row r="3" spans="1:18">
      <c r="A3" s="3019" t="s">
        <v>2503</v>
      </c>
      <c r="B3" s="3020">
        <v>42825</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68392</v>
      </c>
      <c r="C5" s="3022">
        <f>ROUNDDOWN(MIN((B5-B3)/365,A5),2)</f>
        <v>40</v>
      </c>
      <c r="D5" s="3024">
        <f>IF(ISERROR(ROUND(POWER(1+E5,A5-C5)*(POWER(1+E5,C5)-1)/(POWER(1+E5,A5)-1),3)),0,ROUND(POWER(1+E5,A5-C5)*(POWER(1+E5,C5)-1)/(POWER(1+E5,A5)-1),4))</f>
        <v>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f>B5</f>
        <v>68392</v>
      </c>
      <c r="C6" s="3022">
        <f>ROUNDDOWN(MIN((B6-B3)/365,A6),2)</f>
        <v>50</v>
      </c>
      <c r="D6" s="3024">
        <f>IF(ISERROR(ROUND(POWER(1+E6,A6-C6)*(POWER(1+E6,C6)-1)/(POWER(1+E6,A6)-1),3)),0,ROUND(POWER(1+E6,A6-C6)*(POWER(1+E6,C6)-1)/(POWER(1+E6,A6)-1),4))</f>
        <v>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f>B5</f>
        <v>68392</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2167</v>
      </c>
      <c r="B1" s="3679" t="str">
        <f>IF(B10="北京市","北京市",C10)&amp;F10&amp;IF(结果表!G1="在建","出让国有建设用地使用权及在建建筑物",IF(结果表!G1="土地","出让国有建设用地使用权",))&amp;B9&amp;"预评估"</f>
        <v>北京市房地产市场价值预评估</v>
      </c>
      <c r="C1" s="3680"/>
      <c r="D1" s="3680"/>
      <c r="E1" s="3680"/>
      <c r="F1" s="3680"/>
      <c r="G1" s="3680"/>
      <c r="H1" s="3680"/>
      <c r="I1" s="368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2168</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2">
        <v>45533</v>
      </c>
      <c r="C3" s="2373" t="s">
        <v>2170</v>
      </c>
      <c r="D3" s="2372">
        <v>45533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8" thickBot="1">
      <c r="A4" s="1090" t="s">
        <v>2171</v>
      </c>
      <c r="B4" s="2374" t="s">
        <v>3381</v>
      </c>
      <c r="C4" s="2375">
        <f ca="1">SUMIF(注册房地产估价师,B4,估价师及机构信息!B3:B24)</f>
        <v>1120060040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陈颖（注册号：1120060040)、（注册号：0)</v>
      </c>
      <c r="L4" s="2368"/>
      <c r="M4" s="2368"/>
      <c r="N4" s="2369"/>
      <c r="O4" s="1576"/>
      <c r="P4" s="2369"/>
      <c r="Q4" s="2369"/>
      <c r="R4" s="2369"/>
      <c r="S4" s="1682"/>
      <c r="T4" s="1745"/>
      <c r="U4" s="1745"/>
      <c r="V4" s="1745"/>
      <c r="W4" s="1745"/>
      <c r="X4" s="1745"/>
      <c r="Y4" s="1745"/>
      <c r="Z4" s="1745"/>
      <c r="AA4" s="1745"/>
      <c r="AB4" s="1745"/>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682" t="s">
        <v>2176</v>
      </c>
      <c r="E8" s="2390"/>
      <c r="F8" s="2391"/>
      <c r="G8" s="2662"/>
      <c r="H8" s="2662"/>
      <c r="I8" s="2662"/>
      <c r="J8" s="2438"/>
      <c r="K8" s="2613"/>
      <c r="L8" s="2612"/>
      <c r="M8" s="2612"/>
      <c r="N8" s="2438"/>
      <c r="O8" s="2449"/>
      <c r="P8" s="2438"/>
      <c r="Q8" s="2438"/>
      <c r="R8" s="2438"/>
    </row>
    <row r="9" spans="1:30" ht="13.8" thickBot="1">
      <c r="A9" s="2392" t="s">
        <v>2177</v>
      </c>
      <c r="B9" s="2393" t="s">
        <v>3382</v>
      </c>
      <c r="C9" s="2394"/>
      <c r="D9" s="3683"/>
      <c r="E9" s="2393"/>
      <c r="F9" s="2395"/>
      <c r="G9" s="2664"/>
      <c r="H9" s="2664"/>
      <c r="I9" s="2664"/>
      <c r="J9" s="2438"/>
      <c r="K9" s="2615"/>
      <c r="L9" s="2612"/>
      <c r="M9" s="2612"/>
      <c r="N9" s="2438"/>
      <c r="O9" s="2449"/>
      <c r="P9" s="2438"/>
      <c r="Q9" s="2438"/>
      <c r="R9" s="2438"/>
    </row>
    <row r="10" spans="1:30" ht="13.8"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3384</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5"/>
    </row>
    <row r="13" spans="1:30">
      <c r="A13" s="3422" t="s">
        <v>4387</v>
      </c>
      <c r="B13" s="2406" t="s">
        <v>2189</v>
      </c>
      <c r="C13" s="856">
        <v>61811</v>
      </c>
      <c r="D13" s="856"/>
      <c r="E13" s="856"/>
      <c r="F13" s="856"/>
      <c r="G13" s="856"/>
      <c r="H13" s="856"/>
      <c r="I13" s="856"/>
      <c r="J13" s="3061"/>
      <c r="K13" s="2612"/>
      <c r="L13" s="2612"/>
      <c r="M13" s="2438"/>
      <c r="N13" s="2449"/>
      <c r="O13" s="2438"/>
      <c r="P13" s="2438"/>
      <c r="Q13" s="2438"/>
      <c r="AD13" s="1745"/>
    </row>
    <row r="14" spans="1:30">
      <c r="A14" s="1081"/>
      <c r="B14" s="2406" t="s">
        <v>2190</v>
      </c>
      <c r="C14" s="2407">
        <v>70</v>
      </c>
      <c r="D14" s="2407"/>
      <c r="E14" s="2407"/>
      <c r="F14" s="2407"/>
      <c r="G14" s="2407"/>
      <c r="H14" s="2407"/>
      <c r="I14" s="2407"/>
      <c r="J14" s="3062"/>
      <c r="K14" s="2612"/>
      <c r="L14" s="2612"/>
      <c r="M14" s="2438"/>
      <c r="N14" s="2449"/>
      <c r="O14" s="2438"/>
      <c r="P14" s="2438"/>
      <c r="Q14" s="2438"/>
      <c r="AD14" s="1745"/>
    </row>
    <row r="15" spans="1:30">
      <c r="A15" s="320"/>
      <c r="B15" s="2408" t="s">
        <v>2191</v>
      </c>
      <c r="C15" s="2409">
        <f>IF(A13="出让",IF(C13="","",ROUNDDOWN(MIN((C13-$D$3)/365,C14),2)),C14)</f>
        <v>44.59</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2192</v>
      </c>
      <c r="B16" s="3689"/>
      <c r="C16" s="3690"/>
      <c r="D16" s="3691"/>
      <c r="E16" s="2412" t="s">
        <v>2193</v>
      </c>
      <c r="F16" s="3692"/>
      <c r="G16" s="3693"/>
      <c r="H16" s="3693"/>
      <c r="I16" s="3694"/>
      <c r="J16" s="2438"/>
      <c r="K16" s="2616"/>
      <c r="L16" s="2450"/>
      <c r="M16" s="2450"/>
      <c r="N16" s="2508"/>
      <c r="O16" s="2450"/>
      <c r="P16" s="2508"/>
      <c r="Q16" s="2438"/>
      <c r="R16" s="2438"/>
    </row>
    <row r="17" spans="1:28">
      <c r="A17" s="313" t="s">
        <v>2194</v>
      </c>
      <c r="B17" s="302" t="s">
        <v>2195</v>
      </c>
      <c r="C17" s="8">
        <f>'数据-汇总表'!E3</f>
        <v>93.38</v>
      </c>
      <c r="D17" s="2321" t="s">
        <v>2196</v>
      </c>
      <c r="E17" s="3695" t="s">
        <v>2197</v>
      </c>
      <c r="F17" s="3696"/>
      <c r="G17" s="3696"/>
      <c r="H17" s="3696"/>
      <c r="I17" s="3697"/>
      <c r="J17" s="2438"/>
      <c r="K17" s="2617"/>
      <c r="L17" s="2450"/>
      <c r="M17" s="2450"/>
      <c r="N17" s="2508"/>
      <c r="O17" s="2450"/>
      <c r="P17" s="2508"/>
      <c r="Q17" s="2438"/>
      <c r="R17" s="2438"/>
      <c r="S17" s="2438"/>
      <c r="T17" s="2438"/>
      <c r="U17" s="2438"/>
      <c r="V17" s="2438"/>
    </row>
    <row r="18" spans="1:28" ht="24.6" thickBot="1">
      <c r="A18" s="2413" t="s">
        <v>2198</v>
      </c>
      <c r="B18" s="1090" t="s">
        <v>2199</v>
      </c>
      <c r="C18" s="2414">
        <f>'数据-汇总表'!D3</f>
        <v>0</v>
      </c>
      <c r="D18" s="1092" t="s">
        <v>2200</v>
      </c>
      <c r="E18" s="3698" t="s">
        <v>2201</v>
      </c>
      <c r="F18" s="3699"/>
      <c r="G18" s="3699"/>
      <c r="H18" s="3699"/>
      <c r="I18" s="3700"/>
      <c r="J18" s="2438"/>
      <c r="K18" s="2617"/>
      <c r="L18" s="2450"/>
      <c r="M18" s="2450"/>
      <c r="N18" s="2508"/>
      <c r="O18" s="2450"/>
      <c r="P18" s="2508"/>
      <c r="Q18" s="2438"/>
      <c r="R18" s="2438"/>
      <c r="S18" s="2438"/>
      <c r="T18" s="2438"/>
      <c r="U18" s="2438"/>
      <c r="V18" s="2438"/>
    </row>
    <row r="19" spans="1:28" ht="37.200000000000003" thickTop="1" thickBot="1">
      <c r="A19" s="327" t="s">
        <v>1054</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685" t="s">
        <v>2205</v>
      </c>
      <c r="C20" s="3686"/>
      <c r="D20" s="3687" t="s">
        <v>2206</v>
      </c>
      <c r="E20" s="3688"/>
      <c r="F20" s="2646" t="s">
        <v>1055</v>
      </c>
      <c r="G20" s="2663"/>
      <c r="H20" s="2663"/>
      <c r="I20" s="2663"/>
      <c r="J20" s="2438"/>
      <c r="K20" s="368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36.6" thickBot="1">
      <c r="A21" s="2631"/>
      <c r="B21" s="2632" t="s">
        <v>2208</v>
      </c>
      <c r="C21" s="2633" t="s">
        <v>1056</v>
      </c>
      <c r="D21" s="1568" t="s">
        <v>2209</v>
      </c>
      <c r="E21" s="2634" t="s">
        <v>1056</v>
      </c>
      <c r="F21" s="2647"/>
      <c r="G21" s="2663"/>
      <c r="H21" s="2663"/>
      <c r="I21" s="2663"/>
      <c r="J21" s="2438"/>
      <c r="K21" s="368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36.6" thickBot="1">
      <c r="A22" s="2631"/>
      <c r="B22" s="2635" t="s">
        <v>2210</v>
      </c>
      <c r="C22" s="2633" t="s">
        <v>1057</v>
      </c>
      <c r="D22" s="2662"/>
      <c r="E22" s="2662"/>
      <c r="F22" s="2662"/>
      <c r="G22" s="2663"/>
      <c r="H22" s="2663"/>
      <c r="I22" s="2663"/>
      <c r="J22" s="2438"/>
      <c r="K22" s="368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67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67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67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673"/>
      <c r="B30" s="302" t="s">
        <v>2217</v>
      </c>
      <c r="C30" s="3674"/>
      <c r="D30" s="3675"/>
      <c r="E30" s="2663"/>
      <c r="F30" s="2663"/>
      <c r="G30" s="2663"/>
      <c r="H30" s="2663"/>
      <c r="I30" s="2663"/>
      <c r="J30" s="2438"/>
      <c r="K30" s="2615"/>
      <c r="L30" s="2612"/>
      <c r="M30" s="2612"/>
      <c r="N30" s="2438"/>
      <c r="O30" s="2449"/>
      <c r="P30" s="2438"/>
      <c r="Q30" s="2438"/>
      <c r="R30" s="2438"/>
      <c r="S30" s="2438"/>
      <c r="T30" s="2438"/>
      <c r="U30" s="2438"/>
      <c r="V30" s="2438"/>
    </row>
    <row r="31" spans="1:28">
      <c r="A31" s="3676" t="s">
        <v>2218</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67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67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671" t="s">
        <v>2227</v>
      </c>
      <c r="T34" s="2427" t="str">
        <f>NUMBERSTRING(7-K34,1)&amp;"通"</f>
        <v>七通</v>
      </c>
      <c r="U34" s="2438"/>
      <c r="V34" s="2438"/>
    </row>
    <row r="35" spans="1:30">
      <c r="A35" s="2428"/>
      <c r="B35" s="3678" t="s">
        <v>2228</v>
      </c>
      <c r="C35" s="3678"/>
      <c r="D35" s="3678"/>
      <c r="E35" s="367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71"/>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2232</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4" sqref="J3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93.38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93.38</v>
      </c>
      <c r="H5" s="13">
        <f t="shared" ref="H5:AT5" si="0">SUM(H13:H656)</f>
        <v>93.38</v>
      </c>
      <c r="I5" s="13">
        <f t="shared" si="0"/>
        <v>93.38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93.38</v>
      </c>
      <c r="BA5" s="15">
        <f t="shared" si="1"/>
        <v>93.38</v>
      </c>
      <c r="BB5" s="15">
        <f t="shared" si="1"/>
        <v>93.38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3385</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3386</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3387</v>
      </c>
      <c r="E13" s="13">
        <f>IF($C$3="是",ROUND($A$3*G13/$B$3,2),ROUND($A$3*(G13-AT13)/$B$3,2))</f>
        <v>0</v>
      </c>
      <c r="F13" s="29"/>
      <c r="G13" s="30">
        <f>H13+AC13+AT13</f>
        <v>93.38</v>
      </c>
      <c r="H13" s="17">
        <f>SUMIF(I$12:AB$12,"总值",I13:AB13)</f>
        <v>93.38</v>
      </c>
      <c r="I13" s="1626">
        <v>93.38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93.38</v>
      </c>
      <c r="BA13" s="13">
        <f>SUM(BB13:BK13)</f>
        <v>93.38</v>
      </c>
      <c r="BB13" s="13">
        <f>IF($D13="是",I13-J13,0)</f>
        <v>93.38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710" t="s">
        <v>1130</v>
      </c>
      <c r="B2" s="3710"/>
      <c r="C2" s="3710"/>
      <c r="D2" s="796" t="s">
        <v>1106</v>
      </c>
      <c r="E2" s="1639" t="s">
        <v>1107</v>
      </c>
      <c r="F2" s="2658"/>
      <c r="G2" s="2649"/>
      <c r="H2" s="2650"/>
      <c r="I2" s="2324" t="s">
        <v>1131</v>
      </c>
      <c r="J2" s="2658"/>
      <c r="K2" s="2658"/>
      <c r="L2" s="2658"/>
      <c r="M2" s="2658"/>
      <c r="N2" s="2660"/>
      <c r="O2" s="2658"/>
      <c r="P2" s="2658"/>
    </row>
    <row r="3" spans="1:16" ht="15" thickBot="1">
      <c r="A3" s="3711" t="s">
        <v>1104</v>
      </c>
      <c r="B3" s="3711"/>
      <c r="C3" s="3711"/>
      <c r="D3" s="43">
        <f>'数据-基础表'!AY6</f>
        <v>0</v>
      </c>
      <c r="E3" s="43">
        <f>'数据-基础表'!AZ5</f>
        <v>93.38</v>
      </c>
      <c r="F3" s="2658"/>
      <c r="G3" s="1145"/>
      <c r="H3" s="1026" t="s">
        <v>1105</v>
      </c>
      <c r="I3" s="855" t="e">
        <f>ROUND('数据-基础表'!B3/'数据-基础表'!A3,2)</f>
        <v>#DIV/0!</v>
      </c>
      <c r="J3" s="2658"/>
      <c r="K3" s="2658"/>
      <c r="L3" s="2658"/>
      <c r="M3" s="2658"/>
      <c r="N3" s="2660"/>
      <c r="O3" s="2658"/>
      <c r="P3" s="2658"/>
    </row>
    <row r="4" spans="1:16" ht="14.4">
      <c r="A4" s="3712"/>
      <c r="B4" s="3713"/>
      <c r="C4" s="3714"/>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715" t="s">
        <v>1109</v>
      </c>
      <c r="C5" s="3715"/>
      <c r="D5" s="45">
        <f>ROUND($D$3*E5/$E$3,2)</f>
        <v>0</v>
      </c>
      <c r="E5" s="46">
        <f>SUMIF('数据-基础表'!$11:$11,"住宅",'数据-基础表'!$5:$5)</f>
        <v>93.38</v>
      </c>
      <c r="F5" s="2658"/>
      <c r="G5" s="1145"/>
      <c r="H5" s="1026" t="s">
        <v>1105</v>
      </c>
      <c r="I5" s="855" t="e">
        <f>ROUND(E31/D31,2)</f>
        <v>#DIV/0!</v>
      </c>
      <c r="J5" s="2658"/>
      <c r="K5" s="2658"/>
      <c r="L5" s="2658"/>
      <c r="M5" s="2658"/>
      <c r="N5" s="2658"/>
      <c r="O5" s="2658"/>
      <c r="P5" s="2658"/>
    </row>
    <row r="6" spans="1:16" ht="15" thickBot="1">
      <c r="A6" s="1644"/>
      <c r="B6" s="3715" t="s">
        <v>1110</v>
      </c>
      <c r="C6" s="3715"/>
      <c r="D6" s="45">
        <f>ROUND($D$3*E6/$E$3,2)</f>
        <v>0</v>
      </c>
      <c r="E6" s="46">
        <f>E3-E5</f>
        <v>0</v>
      </c>
      <c r="F6" s="2658"/>
      <c r="G6" s="2652" t="s">
        <v>1111</v>
      </c>
      <c r="H6" s="1146" t="s">
        <v>1112</v>
      </c>
      <c r="I6" s="2653" t="e">
        <f>ROUND(F31/D31,2)</f>
        <v>#DIV/0!</v>
      </c>
      <c r="J6" s="2658"/>
      <c r="K6" s="2658"/>
      <c r="L6" s="2658"/>
      <c r="M6" s="2658"/>
      <c r="N6" s="2658"/>
      <c r="O6" s="2658"/>
      <c r="P6" s="2658"/>
    </row>
    <row r="7" spans="1:16" ht="15" thickBot="1">
      <c r="A7" s="3707"/>
      <c r="B7" s="3708"/>
      <c r="C7" s="3709"/>
      <c r="D7" s="1641" t="s">
        <v>1106</v>
      </c>
      <c r="E7" s="1645" t="s">
        <v>1113</v>
      </c>
      <c r="F7" s="2658"/>
      <c r="G7" s="2654" t="s">
        <v>1114</v>
      </c>
      <c r="H7" s="2655"/>
      <c r="I7" s="2656"/>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93.38</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93.38</v>
      </c>
      <c r="F16" s="2658"/>
      <c r="G16" s="2659"/>
      <c r="H16" s="1648" t="s">
        <v>1134</v>
      </c>
      <c r="I16" s="1649"/>
      <c r="J16" s="1139"/>
      <c r="K16" s="3704" t="s">
        <v>1134</v>
      </c>
      <c r="L16" s="3705"/>
      <c r="M16" s="3705"/>
      <c r="N16" s="3705"/>
      <c r="O16" s="3705"/>
      <c r="P16" s="3706"/>
    </row>
    <row r="17" spans="1:19" ht="14.4">
      <c r="A17" s="1650" t="s">
        <v>1135</v>
      </c>
      <c r="B17" s="1651" t="s">
        <v>1136</v>
      </c>
      <c r="C17" s="1652" t="s">
        <v>1137</v>
      </c>
      <c r="D17" s="1653" t="s">
        <v>1125</v>
      </c>
      <c r="E17" s="1654" t="s">
        <v>1126</v>
      </c>
      <c r="F17" s="1655"/>
      <c r="G17" s="1656"/>
      <c r="H17" s="1657" t="s">
        <v>1138</v>
      </c>
      <c r="I17" s="1658" t="s">
        <v>1123</v>
      </c>
      <c r="J17" s="1139"/>
      <c r="K17" s="3701" t="s">
        <v>1139</v>
      </c>
      <c r="L17" s="3702"/>
      <c r="M17" s="3703"/>
      <c r="N17" s="3701" t="s">
        <v>1140</v>
      </c>
      <c r="O17" s="3702"/>
      <c r="P17" s="3703"/>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6" t="s">
        <v>3388</v>
      </c>
      <c r="D19" s="45">
        <f>ROUND($D$3*E19/$E$3,2)</f>
        <v>0</v>
      </c>
      <c r="E19" s="53">
        <f t="shared" ref="E19:E26" si="1">SUM(F19:G19)</f>
        <v>93.38</v>
      </c>
      <c r="F19" s="2794">
        <f>'数据-基础表'!I13</f>
        <v>93.38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93.38</v>
      </c>
    </row>
    <row r="20" spans="1:19" ht="14.4">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93.38</v>
      </c>
      <c r="F27" s="1140">
        <f>IF(SUM(F19:F26)=E8,SUM(F19:F26),"地上面积有误")</f>
        <v>93.38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93.38</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93.38</v>
      </c>
      <c r="F31" s="677">
        <f>F27+F30</f>
        <v>93.38</v>
      </c>
      <c r="G31" s="678">
        <f>G27+G30</f>
        <v>0</v>
      </c>
      <c r="H31" s="2658"/>
      <c r="I31" s="2658"/>
      <c r="J31" s="2658"/>
      <c r="K31" s="2658"/>
      <c r="L31" s="2658"/>
      <c r="M31" s="2658"/>
      <c r="N31" s="2658"/>
      <c r="O31" s="2658"/>
      <c r="P31" s="2658"/>
    </row>
    <row r="32" spans="1:19" ht="14.4">
      <c r="A32" s="1643"/>
      <c r="B32" s="1643" t="s">
        <v>1158</v>
      </c>
      <c r="C32" s="1643"/>
      <c r="D32" s="1643"/>
      <c r="E32" s="1053">
        <f>SUMIF(C19:C26,"*住宅*",E19:E26)</f>
        <v>93.38</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M27" sqref="M27"/>
    </sheetView>
  </sheetViews>
  <sheetFormatPr defaultColWidth="12.6640625" defaultRowHeight="21.75" customHeight="1"/>
  <cols>
    <col min="1" max="2" width="12.6640625" style="1753"/>
    <col min="3" max="4" width="12.6640625" style="1753" customWidth="1"/>
    <col min="5" max="5" width="12.6640625" style="1753"/>
    <col min="6" max="6" width="20.44140625" style="1753" customWidth="1"/>
    <col min="7" max="7" width="13.6640625" style="1753" customWidth="1"/>
    <col min="8"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3386</v>
      </c>
      <c r="D1" s="1747"/>
      <c r="E1" s="1747"/>
      <c r="F1" s="1749" t="s">
        <v>1262</v>
      </c>
      <c r="G1" s="1561" t="s">
        <v>4277</v>
      </c>
      <c r="H1" s="1750" t="str">
        <f>IF(G1="现房","——","估价对象范围")</f>
        <v>——</v>
      </c>
      <c r="I1" s="1751"/>
    </row>
    <row r="2" spans="1:12" ht="21.75" customHeight="1" thickBot="1">
      <c r="A2" s="3750" t="str">
        <f>项目基本情况!S2</f>
        <v>北京市房地产</v>
      </c>
      <c r="B2" s="3751"/>
      <c r="C2" s="3751"/>
      <c r="D2" s="3751"/>
      <c r="E2" s="3751"/>
      <c r="F2" s="3751"/>
      <c r="G2" s="3751"/>
      <c r="H2" s="3751"/>
      <c r="I2" s="3752"/>
    </row>
    <row r="3" spans="1:12" ht="13.2">
      <c r="A3" s="3754" t="s">
        <v>1263</v>
      </c>
      <c r="B3" s="3755"/>
      <c r="C3" s="3755"/>
      <c r="D3" s="3755"/>
      <c r="E3" s="3755"/>
      <c r="F3" s="3755"/>
      <c r="G3" s="3755"/>
      <c r="H3" s="3755"/>
      <c r="I3" s="3755"/>
    </row>
    <row r="4" spans="1:12" ht="14.4">
      <c r="A4" s="1754" t="s">
        <v>1264</v>
      </c>
      <c r="B4" s="1755" t="s">
        <v>1265</v>
      </c>
      <c r="C4" s="1756" t="s">
        <v>4357</v>
      </c>
      <c r="D4" s="1756" t="s">
        <v>4300</v>
      </c>
      <c r="E4" s="3756" t="s">
        <v>1266</v>
      </c>
      <c r="F4" s="3757"/>
      <c r="G4" s="3757"/>
      <c r="H4" s="3757"/>
      <c r="I4" s="375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730" t="s">
        <v>1267</v>
      </c>
      <c r="B5" s="3717">
        <v>25</v>
      </c>
      <c r="C5" s="3733">
        <v>80</v>
      </c>
      <c r="D5" s="3753">
        <f>100-C5</f>
        <v>20</v>
      </c>
      <c r="E5" s="131" t="s">
        <v>1268</v>
      </c>
      <c r="F5" s="1757"/>
      <c r="G5" s="1757"/>
      <c r="H5" s="1757"/>
      <c r="I5" s="1373"/>
    </row>
    <row r="6" spans="1:12" ht="13.2">
      <c r="A6" s="3730"/>
      <c r="B6" s="3717"/>
      <c r="C6" s="3734"/>
      <c r="D6" s="3753"/>
      <c r="E6" s="131" t="s">
        <v>1269</v>
      </c>
      <c r="F6" s="1757"/>
      <c r="G6" s="1757"/>
      <c r="H6" s="1757"/>
      <c r="I6" s="1373"/>
    </row>
    <row r="7" spans="1:12" ht="13.2">
      <c r="A7" s="3730"/>
      <c r="B7" s="3717"/>
      <c r="C7" s="3735"/>
      <c r="D7" s="3753"/>
      <c r="E7" s="131" t="s">
        <v>1270</v>
      </c>
      <c r="F7" s="1757"/>
      <c r="G7" s="1757"/>
      <c r="H7" s="1757"/>
      <c r="I7" s="1373"/>
    </row>
    <row r="8" spans="1:12" ht="13.2">
      <c r="A8" s="3730" t="s">
        <v>1271</v>
      </c>
      <c r="B8" s="3717">
        <v>15</v>
      </c>
      <c r="C8" s="3733"/>
      <c r="D8" s="3753"/>
      <c r="E8" s="131" t="s">
        <v>1272</v>
      </c>
      <c r="F8" s="1757"/>
      <c r="G8" s="1757"/>
      <c r="H8" s="1757"/>
      <c r="I8" s="1373"/>
    </row>
    <row r="9" spans="1:12" ht="13.2">
      <c r="A9" s="3730"/>
      <c r="B9" s="3717"/>
      <c r="C9" s="3735"/>
      <c r="D9" s="3753"/>
      <c r="E9" s="131" t="s">
        <v>1273</v>
      </c>
      <c r="F9" s="1757"/>
      <c r="G9" s="1757"/>
      <c r="H9" s="1757"/>
      <c r="I9" s="1373"/>
    </row>
    <row r="10" spans="1:12" ht="13.2">
      <c r="A10" s="3730" t="s">
        <v>1274</v>
      </c>
      <c r="B10" s="3717">
        <v>15</v>
      </c>
      <c r="C10" s="3733"/>
      <c r="D10" s="3753"/>
      <c r="E10" s="131" t="s">
        <v>1275</v>
      </c>
      <c r="F10" s="1757"/>
      <c r="G10" s="1757"/>
      <c r="H10" s="1757"/>
      <c r="I10" s="1373"/>
    </row>
    <row r="11" spans="1:12" ht="13.2">
      <c r="A11" s="3730"/>
      <c r="B11" s="3717"/>
      <c r="C11" s="3735"/>
      <c r="D11" s="3753"/>
      <c r="E11" s="131" t="s">
        <v>1276</v>
      </c>
      <c r="F11" s="1757"/>
      <c r="G11" s="1757"/>
      <c r="H11" s="1757"/>
      <c r="I11" s="1373"/>
    </row>
    <row r="12" spans="1:12" ht="13.2">
      <c r="A12" s="3730" t="s">
        <v>1277</v>
      </c>
      <c r="B12" s="3717">
        <v>15</v>
      </c>
      <c r="C12" s="3733"/>
      <c r="D12" s="3753"/>
      <c r="E12" s="131" t="s">
        <v>1278</v>
      </c>
      <c r="F12" s="1757"/>
      <c r="G12" s="1757"/>
      <c r="H12" s="1757"/>
      <c r="I12" s="1373"/>
    </row>
    <row r="13" spans="1:12" ht="13.2">
      <c r="A13" s="3730"/>
      <c r="B13" s="3717"/>
      <c r="C13" s="3735"/>
      <c r="D13" s="3753"/>
      <c r="E13" s="131" t="s">
        <v>1279</v>
      </c>
      <c r="F13" s="1757"/>
      <c r="G13" s="1757"/>
      <c r="H13" s="1757"/>
      <c r="I13" s="1373"/>
    </row>
    <row r="14" spans="1:12" ht="13.2">
      <c r="A14" s="3730" t="s">
        <v>1280</v>
      </c>
      <c r="B14" s="3717">
        <v>30</v>
      </c>
      <c r="C14" s="3733"/>
      <c r="D14" s="3753"/>
      <c r="E14" s="131" t="s">
        <v>1281</v>
      </c>
      <c r="F14" s="1757"/>
      <c r="G14" s="1757"/>
      <c r="H14" s="1757"/>
      <c r="I14" s="1373"/>
    </row>
    <row r="15" spans="1:12" ht="13.2">
      <c r="A15" s="3730"/>
      <c r="B15" s="3717"/>
      <c r="C15" s="3734"/>
      <c r="D15" s="3753"/>
      <c r="E15" s="131" t="s">
        <v>1282</v>
      </c>
      <c r="F15" s="1757"/>
      <c r="G15" s="1757"/>
      <c r="H15" s="1757"/>
      <c r="I15" s="1373"/>
    </row>
    <row r="16" spans="1:12" ht="13.2">
      <c r="A16" s="3730"/>
      <c r="B16" s="3717"/>
      <c r="C16" s="3735"/>
      <c r="D16" s="3753"/>
      <c r="E16" s="131" t="s">
        <v>1283</v>
      </c>
      <c r="F16" s="1757"/>
      <c r="G16" s="1757"/>
      <c r="H16" s="1757"/>
      <c r="I16" s="1373"/>
    </row>
    <row r="17" spans="1:36" ht="14.4">
      <c r="A17" s="1758" t="s">
        <v>1284</v>
      </c>
      <c r="B17" s="56"/>
      <c r="C17" s="132">
        <f>SUM(C5:C16)</f>
        <v>80</v>
      </c>
      <c r="D17" s="132">
        <f>SUM(D5:D16)</f>
        <v>20</v>
      </c>
      <c r="E17" s="129"/>
      <c r="F17" s="129"/>
      <c r="G17" s="129"/>
      <c r="H17" s="129"/>
      <c r="I17" s="129"/>
      <c r="K17" s="302"/>
      <c r="L17" s="302" t="s">
        <v>1285</v>
      </c>
      <c r="M17" s="302" t="s">
        <v>1286</v>
      </c>
    </row>
    <row r="18" spans="1:36" ht="31.95" customHeight="1" thickBot="1">
      <c r="A18" s="1759" t="s">
        <v>1287</v>
      </c>
      <c r="B18" s="1760"/>
      <c r="C18" s="133">
        <f>ROUND(C17/SUM(C17:D17),2)</f>
        <v>0.8</v>
      </c>
      <c r="D18" s="133">
        <f>1-C18</f>
        <v>0.19999999999999996</v>
      </c>
      <c r="E18" s="3740" t="s">
        <v>2130</v>
      </c>
      <c r="F18" s="3741"/>
      <c r="G18" s="3741"/>
      <c r="H18" s="3741"/>
      <c r="I18" s="3741"/>
      <c r="K18" s="302" t="s">
        <v>1288</v>
      </c>
      <c r="L18" s="302">
        <f>IF(C1="",'数据-汇总表'!E3,SUMIF(项目类型,C1,'数据-汇总表'!E17:E26)+SUMIF(项目类型,C1,'数据-汇总表'!I17:I26))</f>
        <v>93.38</v>
      </c>
      <c r="M18" s="302">
        <f>IF(C1="",'数据-汇总表'!E3,SUMIF(项目类型,C1,'数据-汇总表'!E17:E26))</f>
        <v>93.38</v>
      </c>
    </row>
    <row r="19" spans="1:36" ht="14.4">
      <c r="A19" s="1761" t="s">
        <v>1289</v>
      </c>
      <c r="B19" s="1762" t="s">
        <v>1290</v>
      </c>
      <c r="C19" s="134">
        <f ca="1">SUMIF(INDIRECT("'"&amp;C4&amp;"'"&amp;"!A:A"),结果表!B19,INDIRECT("'"&amp;C4&amp;"'"&amp;"!B:B"))</f>
        <v>182.54859999999999</v>
      </c>
      <c r="D19" s="135">
        <f ca="1">SUMIF(INDIRECT("'"&amp;D4&amp;"'"&amp;"!A:A"),结果表!B19,INDIRECT("'"&amp;D4&amp;"'"&amp;"!B:B"))</f>
        <v>33.2928</v>
      </c>
      <c r="E19" s="1761" t="s">
        <v>1291</v>
      </c>
      <c r="F19" s="1762" t="s">
        <v>1290</v>
      </c>
      <c r="G19" s="136">
        <f ca="1">ROUND(C19*$C$18+D19*$D$18,0)</f>
        <v>153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19549</v>
      </c>
      <c r="D20" s="138">
        <f ca="1">SUMIF(INDIRECT("'"&amp;D4&amp;"'"&amp;"!A:A"),结果表!B20,INDIRECT("'"&amp;D4&amp;"'"&amp;"!B:B"))</f>
        <v>3565</v>
      </c>
      <c r="E20" s="1764"/>
      <c r="F20" s="1026" t="s">
        <v>1294</v>
      </c>
      <c r="G20" s="139">
        <f ca="1">ROUND(C20*$C$18+D20*$D$18,0)</f>
        <v>16352</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4.4831254805843903</v>
      </c>
      <c r="E22" s="129"/>
      <c r="F22" s="129" t="s">
        <v>4307</v>
      </c>
      <c r="G22" s="129">
        <f ca="1">G20</f>
        <v>16352</v>
      </c>
      <c r="H22" s="129"/>
      <c r="I22" s="129"/>
    </row>
    <row r="23" spans="1:36" ht="13.8" thickBot="1">
      <c r="A23" s="1747"/>
      <c r="B23" s="1747"/>
      <c r="C23" s="1747"/>
      <c r="D23" s="1747"/>
      <c r="E23" s="129"/>
      <c r="F23" s="129" t="s">
        <v>4308</v>
      </c>
      <c r="G23" s="129">
        <f ca="1">ROUND(G22*'数据-汇总表'!E19,0)</f>
        <v>1526950</v>
      </c>
      <c r="H23" s="129"/>
      <c r="I23" s="129"/>
    </row>
    <row r="24" spans="1:36" ht="30" customHeight="1">
      <c r="A24" s="3724" t="s">
        <v>1298</v>
      </c>
      <c r="B24" s="1762" t="s">
        <v>1290</v>
      </c>
      <c r="C24" s="136">
        <f>IF(B30=0,0,D30)</f>
        <v>0</v>
      </c>
      <c r="D24" s="1769"/>
      <c r="E24" s="129"/>
      <c r="F24" s="129" t="s">
        <v>4309</v>
      </c>
      <c r="G24" s="129">
        <f>ROUND(15.6*'数据-汇总表'!E19,0)</f>
        <v>1457</v>
      </c>
      <c r="H24" s="129"/>
      <c r="I24" s="129"/>
    </row>
    <row r="25" spans="1:36" ht="14.4">
      <c r="A25" s="3725"/>
      <c r="B25" s="1026" t="s">
        <v>1294</v>
      </c>
      <c r="C25" s="141">
        <f>IF(B30=0,0,C30)</f>
        <v>0</v>
      </c>
      <c r="D25" s="1770"/>
      <c r="E25" s="129"/>
      <c r="F25" s="129" t="s">
        <v>4310</v>
      </c>
      <c r="G25" s="129">
        <f ca="1">G23-G24</f>
        <v>1525493</v>
      </c>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1304</v>
      </c>
      <c r="B32" s="1774"/>
      <c r="C32" s="144">
        <f ca="1">IF(D32="总价",G19-C24,G20-C25)</f>
        <v>16352</v>
      </c>
      <c r="D32" s="1775"/>
      <c r="E32" s="129"/>
      <c r="F32" s="129"/>
      <c r="G32" s="129"/>
      <c r="H32" s="129"/>
      <c r="I32" s="129"/>
    </row>
    <row r="33" spans="1:15" ht="14.4">
      <c r="A33" s="786" t="s">
        <v>1305</v>
      </c>
      <c r="B33" s="1776"/>
      <c r="C33" s="1777"/>
      <c r="D33" s="1778"/>
      <c r="E33" s="1779" t="s">
        <v>1306</v>
      </c>
      <c r="F33" s="1780" t="str">
        <f>IF(D32="楼面单价","取值（单价）","取值（总价）")</f>
        <v>取值（总价）</v>
      </c>
      <c r="G33" s="129"/>
      <c r="H33" s="129"/>
      <c r="I33" s="129"/>
    </row>
    <row r="34" spans="1:15" ht="14.4">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 thickBot="1">
      <c r="A36" s="3744" t="s">
        <v>1311</v>
      </c>
      <c r="B36" s="1787" t="s">
        <v>1312</v>
      </c>
      <c r="C36" s="145"/>
      <c r="D36" s="1788"/>
      <c r="E36" s="1789"/>
      <c r="F36" s="1790"/>
      <c r="G36" s="129"/>
      <c r="H36" s="129"/>
      <c r="I36" s="129"/>
    </row>
    <row r="37" spans="1:15" ht="15" thickBot="1">
      <c r="A37" s="3745"/>
      <c r="B37" s="1674" t="s">
        <v>1313</v>
      </c>
      <c r="C37" s="147"/>
      <c r="D37" s="1139"/>
      <c r="E37" s="1139"/>
      <c r="F37" s="1790"/>
      <c r="G37" s="129"/>
      <c r="H37" s="129"/>
      <c r="I37" s="129"/>
    </row>
    <row r="38" spans="1:15" ht="15" thickBot="1">
      <c r="A38" s="3746"/>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21" t="s">
        <v>1325</v>
      </c>
      <c r="B45" s="3722"/>
      <c r="C45" s="3723"/>
      <c r="D45" s="155" t="e">
        <f ca="1">ROUND(H101*F45,0)</f>
        <v>#REF!</v>
      </c>
      <c r="E45" s="156" t="s">
        <v>1326</v>
      </c>
      <c r="F45" s="157">
        <v>1</v>
      </c>
      <c r="G45" s="158" t="s">
        <v>1327</v>
      </c>
      <c r="H45" s="129"/>
      <c r="I45" s="129"/>
      <c r="J45" s="3799" t="s">
        <v>1328</v>
      </c>
      <c r="K45" s="3799"/>
      <c r="L45" s="3799"/>
      <c r="M45" s="3799"/>
      <c r="N45" s="3799"/>
      <c r="O45" s="3799"/>
    </row>
    <row r="46" spans="1:15" ht="14.25" customHeight="1">
      <c r="A46" s="3718" t="s">
        <v>1329</v>
      </c>
      <c r="B46" s="3719"/>
      <c r="C46" s="3719"/>
      <c r="D46" s="3719"/>
      <c r="E46" s="3719"/>
      <c r="F46" s="3719"/>
      <c r="G46" s="3720"/>
      <c r="H46" s="1806"/>
      <c r="I46" s="159"/>
      <c r="J46" s="2522">
        <v>1</v>
      </c>
      <c r="K46" s="3780" t="s">
        <v>1330</v>
      </c>
      <c r="L46" s="3780"/>
      <c r="M46" s="3800"/>
      <c r="N46" s="3800"/>
      <c r="O46" s="3800"/>
    </row>
    <row r="47" spans="1:15" ht="12" customHeight="1">
      <c r="A47" s="160" t="s">
        <v>1331</v>
      </c>
      <c r="B47" s="161"/>
      <c r="C47" s="162"/>
      <c r="D47" s="1087" t="s">
        <v>1332</v>
      </c>
      <c r="E47" s="302" t="s">
        <v>1333</v>
      </c>
      <c r="F47" s="163" t="s">
        <v>1334</v>
      </c>
      <c r="G47" s="2545" t="s">
        <v>1335</v>
      </c>
      <c r="H47" s="2546"/>
      <c r="I47" s="159"/>
      <c r="J47" s="2522">
        <v>2</v>
      </c>
      <c r="K47" s="3780" t="s">
        <v>1336</v>
      </c>
      <c r="L47" s="3780"/>
      <c r="M47" s="3801">
        <f>'数据-取费表'!B2</f>
        <v>45533</v>
      </c>
      <c r="N47" s="3801"/>
      <c r="O47" s="3801"/>
    </row>
    <row r="48" spans="1:15" ht="26.4">
      <c r="A48" s="3749" t="s">
        <v>1337</v>
      </c>
      <c r="B48" s="3732"/>
      <c r="C48" s="373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6"/>
      <c r="J48" s="2522">
        <v>3</v>
      </c>
      <c r="K48" s="3780" t="s">
        <v>1339</v>
      </c>
      <c r="L48" s="3780"/>
      <c r="M48" s="3802" t="e">
        <f ca="1">H101</f>
        <v>#REF!</v>
      </c>
      <c r="N48" s="3802"/>
      <c r="O48" s="3802"/>
    </row>
    <row r="49" spans="1:35" ht="25.5" customHeight="1">
      <c r="A49" s="2332" t="s">
        <v>1340</v>
      </c>
      <c r="B49" s="3716" t="s">
        <v>1341</v>
      </c>
      <c r="C49" s="3716"/>
      <c r="D49" s="1590">
        <v>0</v>
      </c>
      <c r="E49" s="324" t="s">
        <v>1342</v>
      </c>
      <c r="F49" s="2423" t="s">
        <v>28</v>
      </c>
      <c r="G49" s="3786"/>
      <c r="H49" s="2309" t="s">
        <v>2133</v>
      </c>
      <c r="I49" s="2310"/>
      <c r="J49" s="2522">
        <v>4</v>
      </c>
      <c r="K49" s="3780" t="str">
        <f>IF(项目基本情况!E8="房地产抵押价值","房地产抵押价值","抵押担保权已注销时的房地产抵押价值")</f>
        <v>抵押担保权已注销时的房地产抵押价值</v>
      </c>
      <c r="L49" s="3780"/>
      <c r="M49" s="3802" t="str">
        <f>IF(项目基本情况!E8="房地产抵押价值",H107,H109)</f>
        <v>——</v>
      </c>
      <c r="N49" s="3802"/>
      <c r="O49" s="3802"/>
    </row>
    <row r="50" spans="1:35" ht="25.5" customHeight="1">
      <c r="A50" s="2550"/>
      <c r="B50" s="3716" t="s">
        <v>1343</v>
      </c>
      <c r="C50" s="3716"/>
      <c r="D50" s="2551"/>
      <c r="E50" s="332"/>
      <c r="F50" s="2423"/>
      <c r="G50" s="3787"/>
      <c r="H50" s="2311" t="s">
        <v>2134</v>
      </c>
      <c r="I50" s="2310"/>
      <c r="J50" s="3799" t="s">
        <v>1344</v>
      </c>
      <c r="K50" s="3799"/>
      <c r="L50" s="3799"/>
      <c r="M50" s="3799"/>
      <c r="N50" s="3799"/>
      <c r="O50" s="3799"/>
    </row>
    <row r="51" spans="1:35" ht="20.399999999999999" customHeight="1">
      <c r="A51" s="2552"/>
      <c r="B51" s="3716" t="s">
        <v>1345</v>
      </c>
      <c r="C51" s="3716"/>
      <c r="D51" s="1087"/>
      <c r="E51" s="327"/>
      <c r="F51" s="2423"/>
      <c r="G51" s="3788"/>
      <c r="H51" s="2311" t="s">
        <v>2135</v>
      </c>
      <c r="I51" s="2310"/>
      <c r="J51" s="2523" t="s">
        <v>1346</v>
      </c>
      <c r="K51" s="3780" t="s">
        <v>1347</v>
      </c>
      <c r="L51" s="3780"/>
      <c r="M51" s="2523" t="s">
        <v>1348</v>
      </c>
      <c r="N51" s="2523" t="s">
        <v>1349</v>
      </c>
      <c r="O51" s="2523" t="s">
        <v>1350</v>
      </c>
    </row>
    <row r="52" spans="1:35" ht="24" customHeight="1">
      <c r="A52" s="2334" t="s">
        <v>1351</v>
      </c>
      <c r="B52" s="3716" t="s">
        <v>1352</v>
      </c>
      <c r="C52" s="3716"/>
      <c r="D52" s="1087" t="e">
        <f ca="1">ROUND(D45*'数据-取费表'!B41/(1+'数据-取费表'!C42),0)</f>
        <v>#REF!</v>
      </c>
      <c r="E52" s="2333" t="s">
        <v>1353</v>
      </c>
      <c r="F52" s="2553">
        <f>'数据-取费表'!B41</f>
        <v>5.5000000000000007E-2</v>
      </c>
      <c r="G52" s="2554"/>
      <c r="H52" s="2543"/>
      <c r="I52" s="1807"/>
      <c r="J52" s="2522">
        <v>1</v>
      </c>
      <c r="K52" s="3781" t="s">
        <v>1354</v>
      </c>
      <c r="L52" s="3781"/>
      <c r="M52" s="2524" t="b">
        <f>D48</f>
        <v>0</v>
      </c>
      <c r="N52" s="2522" t="str">
        <f>E48</f>
        <v>销售额×税（费）率</v>
      </c>
      <c r="O52" s="2525">
        <f>F48</f>
        <v>5.5000000000000007E-2</v>
      </c>
    </row>
    <row r="53" spans="1:35" ht="12" customHeight="1">
      <c r="A53" s="2334" t="s">
        <v>1355</v>
      </c>
      <c r="B53" s="3742" t="s">
        <v>2290</v>
      </c>
      <c r="C53" s="3743"/>
      <c r="D53" s="1087" t="e">
        <f ca="1">ROUND(D45*'数据-取费表'!B41/(1+'数据-取费表'!C42),0)</f>
        <v>#REF!</v>
      </c>
      <c r="E53" s="2333" t="s">
        <v>1353</v>
      </c>
      <c r="F53" s="2553">
        <f>'数据-取费表'!B41</f>
        <v>5.5000000000000007E-2</v>
      </c>
      <c r="G53" s="2554"/>
      <c r="H53" s="2543"/>
      <c r="I53" s="1807"/>
      <c r="J53" s="2522">
        <v>2</v>
      </c>
      <c r="K53" s="3781" t="s">
        <v>1356</v>
      </c>
      <c r="L53" s="3781"/>
      <c r="M53" s="2524" t="e">
        <f t="shared" ref="M53:O54" ca="1" si="0">D55</f>
        <v>#REF!</v>
      </c>
      <c r="N53" s="2522" t="str">
        <f t="shared" si="0"/>
        <v>销售额×税（费）率</v>
      </c>
      <c r="O53" s="2525" t="str">
        <f t="shared" si="0"/>
        <v>免征</v>
      </c>
    </row>
    <row r="54" spans="1:35" ht="12" customHeight="1">
      <c r="A54" s="2334" t="s">
        <v>1357</v>
      </c>
      <c r="B54" s="3742" t="s">
        <v>2291</v>
      </c>
      <c r="C54" s="3743"/>
      <c r="D54" s="1087" t="e">
        <f ca="1">C68</f>
        <v>#REF!</v>
      </c>
      <c r="E54" s="327" t="s">
        <v>1358</v>
      </c>
      <c r="F54" s="2553">
        <f>'数据-取费表'!B41</f>
        <v>5.5000000000000007E-2</v>
      </c>
      <c r="G54" s="2554"/>
      <c r="H54" s="2555"/>
      <c r="I54" s="1807"/>
      <c r="J54" s="2522">
        <v>3</v>
      </c>
      <c r="K54" s="3781" t="s">
        <v>1359</v>
      </c>
      <c r="L54" s="3781"/>
      <c r="M54" s="2524" t="e">
        <f t="shared" ca="1" si="0"/>
        <v>#REF!</v>
      </c>
      <c r="N54" s="2522" t="str">
        <f t="shared" si="0"/>
        <v>增值额×税（费）率</v>
      </c>
      <c r="O54" s="2526" t="str">
        <f t="shared" si="0"/>
        <v>免征</v>
      </c>
    </row>
    <row r="55" spans="1:35" ht="24" customHeight="1">
      <c r="A55" s="3731" t="s">
        <v>1360</v>
      </c>
      <c r="B55" s="3732"/>
      <c r="C55" s="3732"/>
      <c r="D55" s="2323" t="e">
        <f ca="1">IF(H55="个人住宅",0,ROUND(D45*I55,0))</f>
        <v>#REF!</v>
      </c>
      <c r="E55" s="2333" t="s">
        <v>1361</v>
      </c>
      <c r="F55" s="2553" t="str">
        <f>IF(H55="正常",I55,"免征")</f>
        <v>免征</v>
      </c>
      <c r="G55" s="2554"/>
      <c r="H55" s="2549"/>
      <c r="I55" s="165">
        <f>'数据-取费表'!B49</f>
        <v>5.0000000000000001E-4</v>
      </c>
      <c r="J55" s="2522">
        <f>IF(H59="非个人房产","",4)</f>
        <v>4</v>
      </c>
      <c r="K55" s="3781" t="str">
        <f>IF(H59="非个人房产","——","个人所得税")</f>
        <v>个人所得税</v>
      </c>
      <c r="L55" s="3781"/>
      <c r="M55" s="2527" t="e">
        <f ca="1">D59</f>
        <v>#REF!</v>
      </c>
      <c r="N55" s="2039" t="str">
        <f>E59</f>
        <v>差额计税</v>
      </c>
      <c r="O55" s="2528">
        <f>F59</f>
        <v>0.01</v>
      </c>
    </row>
    <row r="56" spans="1:35" ht="25.2">
      <c r="A56" s="3731" t="s">
        <v>1362</v>
      </c>
      <c r="B56" s="3732"/>
      <c r="C56" s="3732"/>
      <c r="D56" s="2323" t="e">
        <f ca="1">IF(H56="个人住宅",D57,D58)</f>
        <v>#REF!</v>
      </c>
      <c r="E56" s="2333" t="s">
        <v>1363</v>
      </c>
      <c r="F56" s="2553" t="str">
        <f>IF(H56="正常",F58,"免征")</f>
        <v>免征</v>
      </c>
      <c r="G56" s="2556" t="s">
        <v>1364</v>
      </c>
      <c r="H56" s="2557"/>
      <c r="I56" s="1808"/>
      <c r="J56" s="2522" t="str">
        <f>IF(项目基本情况!K6="上海银行",IF(J55="",4,J55+1),"")</f>
        <v/>
      </c>
      <c r="K56" s="3804" t="str">
        <f>IF(项目基本情况!K6="上海银行","其他处置费用","")</f>
        <v/>
      </c>
      <c r="L56" s="3805"/>
      <c r="M56" s="2524" t="str">
        <f>IF(项目基本情况!K6="上海银行",M69,"")</f>
        <v/>
      </c>
      <c r="N56" s="3804" t="str">
        <f>IF(项目基本情况!K6="上海银行","包含处置中涉及的律师、诉讼、拍卖、评估等费用","")</f>
        <v/>
      </c>
      <c r="O56" s="3807"/>
    </row>
    <row r="57" spans="1:35" ht="13.2">
      <c r="A57" s="2334" t="s">
        <v>1340</v>
      </c>
      <c r="B57" s="3742" t="s">
        <v>1365</v>
      </c>
      <c r="C57" s="3743"/>
      <c r="D57" s="1590">
        <v>0</v>
      </c>
      <c r="E57" s="324" t="s">
        <v>1342</v>
      </c>
      <c r="F57" s="302"/>
      <c r="G57" s="2554"/>
      <c r="H57" s="2558"/>
      <c r="I57" s="1808"/>
      <c r="J57" s="3781">
        <f>IF(AND(J55="",J56=""),4,IF(项目基本情况!K6="上海银行",结果表!J56+1,结果表!J55+1))</f>
        <v>5</v>
      </c>
      <c r="K57" s="3781" t="s">
        <v>1366</v>
      </c>
      <c r="L57" s="2529" t="s">
        <v>1367</v>
      </c>
      <c r="M57" s="2530"/>
      <c r="N57" s="2531">
        <f ca="1">SUMIF(M52:M56,"&lt;9e307")</f>
        <v>0</v>
      </c>
      <c r="O57" s="2532"/>
      <c r="P57" s="2689" t="e">
        <f ca="1">N57/M49</f>
        <v>#VALUE!</v>
      </c>
    </row>
    <row r="58" spans="1:35" ht="25.2">
      <c r="A58" s="2334" t="s">
        <v>1351</v>
      </c>
      <c r="B58" s="3742" t="s">
        <v>1368</v>
      </c>
      <c r="C58" s="3716"/>
      <c r="D58" s="2323" t="e">
        <f ca="1">IF(H58="转让取得",C81,C97)</f>
        <v>#REF!</v>
      </c>
      <c r="E58" s="2333" t="s">
        <v>1363</v>
      </c>
      <c r="F58" s="302" t="s">
        <v>28</v>
      </c>
      <c r="G58" s="2554"/>
      <c r="H58" s="2557"/>
      <c r="I58" s="1808"/>
      <c r="J58" s="3781"/>
      <c r="K58" s="3781"/>
      <c r="L58" s="2529" t="s">
        <v>1369</v>
      </c>
      <c r="M58" s="2533"/>
      <c r="N58" s="2534" t="str">
        <f ca="1">NUMBERSTRING(INT(N57*10000),2)&amp;"元整"</f>
        <v>零元整</v>
      </c>
      <c r="O58" s="2535"/>
    </row>
    <row r="59" spans="1:35" ht="24.6" thickBot="1">
      <c r="A59" s="3784" t="s">
        <v>1370</v>
      </c>
      <c r="B59" s="3785"/>
      <c r="C59" s="378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2136</v>
      </c>
      <c r="J59" s="3782">
        <f>J57+1</f>
        <v>6</v>
      </c>
      <c r="K59" s="3781" t="s">
        <v>1371</v>
      </c>
      <c r="L59" s="2522" t="s">
        <v>1367</v>
      </c>
      <c r="M59" s="2536"/>
      <c r="N59" s="2537" t="e">
        <f ca="1">M49-N57</f>
        <v>#VALUE!</v>
      </c>
      <c r="O59" s="2538"/>
    </row>
    <row r="60" spans="1:35" ht="12" customHeight="1">
      <c r="A60" s="1809"/>
      <c r="B60" s="1747"/>
      <c r="C60" s="1747"/>
      <c r="D60" s="1747"/>
      <c r="E60" s="1578"/>
      <c r="F60" s="1808"/>
      <c r="G60" s="1808"/>
      <c r="H60" s="1810"/>
      <c r="I60" s="129"/>
      <c r="J60" s="3783"/>
      <c r="K60" s="3781"/>
      <c r="L60" s="2529" t="s">
        <v>1369</v>
      </c>
      <c r="M60" s="2533"/>
      <c r="N60" s="2534" t="e">
        <f ca="1">NUMBERSTRING(INT(N59*10000),2)&amp;"元整"</f>
        <v>#VALUE!</v>
      </c>
      <c r="O60" s="2535"/>
    </row>
    <row r="61" spans="1:35" ht="13.8" thickBot="1">
      <c r="A61" s="3729" t="s">
        <v>1372</v>
      </c>
      <c r="B61" s="3729"/>
      <c r="C61" s="3729"/>
      <c r="D61" s="3729"/>
      <c r="E61" s="3729"/>
      <c r="F61" s="1808"/>
      <c r="G61" s="1808"/>
      <c r="H61" s="1810"/>
      <c r="I61" s="129"/>
      <c r="J61" s="2522">
        <f>J59+1</f>
        <v>7</v>
      </c>
      <c r="K61" s="3781" t="s">
        <v>1373</v>
      </c>
      <c r="L61" s="3781"/>
      <c r="M61" s="2539"/>
      <c r="N61" s="2540" t="e">
        <f ca="1">ROUND(N59*10000/'数据-汇总表'!E3,0)</f>
        <v>#VALUE!</v>
      </c>
      <c r="O61" s="2541"/>
    </row>
    <row r="62" spans="1:35" ht="13.2">
      <c r="A62" s="3747" t="s">
        <v>1374</v>
      </c>
      <c r="B62" s="3748"/>
      <c r="C62" s="2020"/>
      <c r="D62" s="2020" t="s">
        <v>1375</v>
      </c>
      <c r="E62" s="166" t="s">
        <v>1376</v>
      </c>
      <c r="F62" s="1808"/>
      <c r="G62" s="1808"/>
      <c r="H62" s="1810"/>
      <c r="I62" s="129"/>
    </row>
    <row r="63" spans="1:35" ht="13.2">
      <c r="A63" s="173" t="s">
        <v>330</v>
      </c>
      <c r="B63" s="167" t="s">
        <v>1377</v>
      </c>
      <c r="C63" s="2563" t="e">
        <f ca="1">ROUND((C64+C65)/(1+'数据-取费表'!C42),0)</f>
        <v>#REF!</v>
      </c>
      <c r="D63" s="167"/>
      <c r="E63" s="168"/>
      <c r="F63" s="1808"/>
      <c r="G63" s="1808"/>
      <c r="H63" s="1810"/>
      <c r="I63" s="129"/>
      <c r="J63" s="3806" t="s">
        <v>1378</v>
      </c>
      <c r="K63" s="1332" t="s">
        <v>1379</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1380</v>
      </c>
      <c r="C64" s="2564" t="e">
        <f ca="1">D45</f>
        <v>#REF!</v>
      </c>
      <c r="D64" s="170" t="s">
        <v>26</v>
      </c>
      <c r="E64" s="172"/>
      <c r="F64" s="1808"/>
      <c r="G64" s="1808"/>
      <c r="H64" s="1810"/>
      <c r="I64" s="129"/>
      <c r="J64" s="3806"/>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1382</v>
      </c>
      <c r="Z64" s="1752"/>
      <c r="AI64" s="1753"/>
    </row>
    <row r="65" spans="1:35" ht="14.25" customHeight="1">
      <c r="A65" s="169" t="s">
        <v>326</v>
      </c>
      <c r="B65" s="170" t="s">
        <v>1383</v>
      </c>
      <c r="C65" s="2565"/>
      <c r="D65" s="170"/>
      <c r="E65" s="172"/>
      <c r="F65" s="1808"/>
      <c r="G65" s="1808"/>
      <c r="H65" s="1810"/>
      <c r="I65" s="129"/>
      <c r="J65" s="3806"/>
      <c r="K65" s="1332" t="s">
        <v>1384</v>
      </c>
      <c r="L65" s="1332" t="e">
        <f>IF(M49&gt;1000,M49*0.1%,IF(AND(M49&gt;500,M49&lt;=1000),M49*0.5%,IF(AND(M49&gt;50,M49&lt;=500),M49*1%,IF(AND(M49&gt;1,M49&lt;=50),M49*1.5%))))</f>
        <v>#VALUE!</v>
      </c>
      <c r="M65" s="302" t="e">
        <f t="shared" si="1"/>
        <v>#VALUE!</v>
      </c>
      <c r="N65" s="2543" t="s">
        <v>1382</v>
      </c>
      <c r="Z65" s="1752"/>
      <c r="AI65" s="1753"/>
    </row>
    <row r="66" spans="1:35" ht="14.25" customHeight="1">
      <c r="A66" s="173" t="s">
        <v>327</v>
      </c>
      <c r="B66" s="174" t="s">
        <v>1385</v>
      </c>
      <c r="C66" s="2566"/>
      <c r="D66" s="174" t="s">
        <v>26</v>
      </c>
      <c r="E66" s="1338" t="s">
        <v>671</v>
      </c>
      <c r="F66" s="1808"/>
      <c r="G66" s="1808"/>
      <c r="H66" s="1810"/>
      <c r="I66" s="129"/>
      <c r="J66" s="3806"/>
      <c r="K66" s="1332" t="s">
        <v>1386</v>
      </c>
      <c r="L66" s="1332" t="e">
        <f>M49*0.5%</f>
        <v>#VALUE!</v>
      </c>
      <c r="M66" s="302" t="e">
        <f>IF(L66&gt;0.5,0.5,ROUND(L66,0))</f>
        <v>#VALUE!</v>
      </c>
      <c r="N66" s="2543" t="s">
        <v>1387</v>
      </c>
      <c r="Z66" s="1752"/>
      <c r="AI66" s="1753"/>
    </row>
    <row r="67" spans="1:35" ht="14.25" customHeight="1">
      <c r="A67" s="173" t="s">
        <v>328</v>
      </c>
      <c r="B67" s="174" t="s">
        <v>1388</v>
      </c>
      <c r="C67" s="2567" t="e">
        <f ca="1">C63-C66</f>
        <v>#REF!</v>
      </c>
      <c r="D67" s="170" t="s">
        <v>26</v>
      </c>
      <c r="E67" s="172"/>
      <c r="F67" s="1808"/>
      <c r="G67" s="1808"/>
      <c r="H67" s="1810"/>
      <c r="I67" s="129"/>
      <c r="J67" s="3806"/>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1390</v>
      </c>
      <c r="C68" s="2568" t="e">
        <f ca="1">IF(C67&lt;=0,0,ROUND(C67*D68,0))</f>
        <v>#REF!</v>
      </c>
      <c r="D68" s="2569">
        <f>'数据-取费表'!B41</f>
        <v>5.5000000000000007E-2</v>
      </c>
      <c r="E68" s="178"/>
      <c r="F68" s="1808"/>
      <c r="G68" s="1808"/>
      <c r="H68" s="1810"/>
      <c r="I68" s="129"/>
      <c r="J68" s="3806"/>
      <c r="K68" s="1332" t="s">
        <v>1391</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806"/>
      <c r="K69" s="1332" t="s">
        <v>1392</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68" t="s">
        <v>1393</v>
      </c>
      <c r="B70" s="3769"/>
      <c r="C70" s="3769"/>
      <c r="D70" s="3769"/>
      <c r="E70" s="3769"/>
      <c r="F70" s="3769"/>
      <c r="G70" s="3769"/>
      <c r="H70" s="376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47" t="s">
        <v>1374</v>
      </c>
      <c r="B71" s="3748"/>
      <c r="C71" s="2020"/>
      <c r="D71" s="2020"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742" t="s">
        <v>1401</v>
      </c>
      <c r="F76" s="3716"/>
      <c r="G76" s="3716"/>
      <c r="H76" s="376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t="e">
        <f ca="1">ROUND(D45*D78/(1+'数据-取费表'!C42),0)</f>
        <v>#REF!</v>
      </c>
      <c r="D78" s="2576">
        <f>'数据-取费表'!B43</f>
        <v>5.000000000000001E-3</v>
      </c>
      <c r="E78" s="3726" t="s">
        <v>1405</v>
      </c>
      <c r="F78" s="3727"/>
      <c r="G78" s="3727"/>
      <c r="H78" s="37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68" t="s">
        <v>1409</v>
      </c>
      <c r="B83" s="3769"/>
      <c r="C83" s="3769"/>
      <c r="D83" s="3769"/>
      <c r="E83" s="3769"/>
      <c r="F83" s="3769"/>
      <c r="G83" s="3769"/>
      <c r="H83" s="376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47" t="s">
        <v>1374</v>
      </c>
      <c r="B84" s="3748"/>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6"/>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6"/>
      <c r="G90" s="3808" t="s">
        <v>2128</v>
      </c>
      <c r="H90" s="3809"/>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726" t="s">
        <v>1418</v>
      </c>
      <c r="F91" s="3727"/>
      <c r="G91" s="372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726" t="s">
        <v>1421</v>
      </c>
      <c r="F92" s="3727"/>
      <c r="G92" s="3727"/>
      <c r="H92" s="3736"/>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t="e">
        <f ca="1">ROUND(D45*D93/(1+'数据-取费表'!C42),0)</f>
        <v>#REF!</v>
      </c>
      <c r="D93" s="2576">
        <f>'数据-取费表'!B43</f>
        <v>5.000000000000001E-3</v>
      </c>
      <c r="E93" s="3726" t="s">
        <v>1405</v>
      </c>
      <c r="F93" s="3727"/>
      <c r="G93" s="3727"/>
      <c r="H93" s="37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737" t="s">
        <v>1425</v>
      </c>
      <c r="F94" s="3738"/>
      <c r="G94" s="3738"/>
      <c r="H94" s="37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712" t="s">
        <v>1427</v>
      </c>
      <c r="B100" s="3713"/>
      <c r="C100" s="3713"/>
      <c r="D100" s="3728"/>
      <c r="E100" s="3713" t="s">
        <v>1428</v>
      </c>
      <c r="F100" s="3713"/>
      <c r="G100" s="3713"/>
      <c r="H100" s="3728"/>
      <c r="I100" s="129"/>
    </row>
    <row r="101" spans="1:35" ht="18.75" customHeight="1">
      <c r="A101" s="3789" t="s">
        <v>1429</v>
      </c>
      <c r="B101" s="3790"/>
      <c r="C101" s="2584" t="str">
        <f>C4</f>
        <v>比较法-住宅</v>
      </c>
      <c r="D101" s="2585" t="str">
        <f>D4</f>
        <v>收益法3.31</v>
      </c>
      <c r="E101" s="3803" t="s">
        <v>1430</v>
      </c>
      <c r="F101" s="3760"/>
      <c r="G101" s="1827" t="s">
        <v>1431</v>
      </c>
      <c r="H101" s="2594" t="e">
        <f ca="1">H118</f>
        <v>#REF!</v>
      </c>
      <c r="I101" s="129"/>
    </row>
    <row r="102" spans="1:35" ht="18.75" customHeight="1">
      <c r="A102" s="3762" t="s">
        <v>1432</v>
      </c>
      <c r="B102" s="2583" t="s">
        <v>1431</v>
      </c>
      <c r="C102" s="2584">
        <f ca="1">IF(D32="楼面单价",ROUND(C19,0),C19)</f>
        <v>182.54859999999999</v>
      </c>
      <c r="D102" s="2585">
        <f ca="1">IF(D32="楼面单价",ROUND(D19,0),D19)</f>
        <v>33.2928</v>
      </c>
      <c r="E102" s="3803"/>
      <c r="F102" s="3760"/>
      <c r="G102" s="1827" t="s">
        <v>1433</v>
      </c>
      <c r="H102" s="2554" t="e">
        <f ca="1">I118</f>
        <v>#REF!</v>
      </c>
      <c r="I102" s="129"/>
    </row>
    <row r="103" spans="1:35" ht="42.75" customHeight="1">
      <c r="A103" s="3762"/>
      <c r="B103" s="2583" t="s">
        <v>1433</v>
      </c>
      <c r="C103" s="2586">
        <f ca="1">C20</f>
        <v>19549</v>
      </c>
      <c r="D103" s="2587">
        <f ca="1">D20</f>
        <v>3565</v>
      </c>
      <c r="E103" s="3797" t="s">
        <v>1434</v>
      </c>
      <c r="F103" s="3798"/>
      <c r="G103" s="1828" t="s">
        <v>1435</v>
      </c>
      <c r="H103" s="2594">
        <f>IF(D36="正常操作",H104+H105+H106,H105+H106)</f>
        <v>0</v>
      </c>
      <c r="I103" s="129"/>
    </row>
    <row r="104" spans="1:35" ht="18.75" customHeight="1">
      <c r="A104" s="3762" t="s">
        <v>1436</v>
      </c>
      <c r="B104" s="2588" t="s">
        <v>1431</v>
      </c>
      <c r="C104" s="2589" t="e">
        <f ca="1">H118</f>
        <v>#REF!</v>
      </c>
      <c r="D104" s="2590"/>
      <c r="E104" s="1674" t="s">
        <v>1437</v>
      </c>
      <c r="F104" s="1666"/>
      <c r="G104" s="1828" t="s">
        <v>1435</v>
      </c>
      <c r="H104" s="2595">
        <f>IF(D36="同一抵押权人同一抵押物续贷",C36&amp;"（续贷，未扣减，详见特别提示）",C36)</f>
        <v>0</v>
      </c>
      <c r="I104" s="129"/>
    </row>
    <row r="105" spans="1:35" ht="18.75" customHeight="1" thickBot="1">
      <c r="A105" s="3763"/>
      <c r="B105" s="2591" t="s">
        <v>1433</v>
      </c>
      <c r="C105" s="2592" t="e">
        <f ca="1">I118</f>
        <v>#REF!</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759" t="str">
        <f>IF(项目基本情况!E8="已注销","——","3.房地产抵押价值")</f>
        <v>3.房地产抵押价值</v>
      </c>
      <c r="F107" s="3760"/>
      <c r="G107" s="1827" t="s">
        <v>1431</v>
      </c>
      <c r="H107" s="2594" t="e">
        <f ca="1">IF(E107="——","——",H101-H103)</f>
        <v>#REF!</v>
      </c>
      <c r="I107" s="129"/>
    </row>
    <row r="108" spans="1:35" ht="18.75" customHeight="1">
      <c r="A108" s="129"/>
      <c r="B108" s="129"/>
      <c r="C108" s="129"/>
      <c r="D108" s="129"/>
      <c r="E108" s="3759"/>
      <c r="F108" s="3760"/>
      <c r="G108" s="1827" t="s">
        <v>1433</v>
      </c>
      <c r="H108" s="2554">
        <f ca="1">IF(H107=H101,H102,ROUND(H107*10000/'数据-汇总表'!E3,0))</f>
        <v>0</v>
      </c>
      <c r="I108" s="129"/>
    </row>
    <row r="109" spans="1:35" ht="18.75" customHeight="1">
      <c r="A109" s="129"/>
      <c r="B109" s="129"/>
      <c r="C109" s="129"/>
      <c r="D109" s="129"/>
      <c r="E109" s="3759" t="str">
        <f>IF(项目基本情况!E8="已注销及未注销","4.抵押担保权已注销时的房地产抵押价值",IF(项目基本情况!E8="已注销","3.抵押担保权已注销时的房地产抵押价值","——"))</f>
        <v>——</v>
      </c>
      <c r="F109" s="3760"/>
      <c r="G109" s="1827" t="s">
        <v>1431</v>
      </c>
      <c r="H109" s="2597" t="str">
        <f>IF(E109="——","——",H101-H105-H106)</f>
        <v>——</v>
      </c>
      <c r="I109" s="129"/>
    </row>
    <row r="110" spans="1:35" ht="18.75" customHeight="1">
      <c r="A110" s="129"/>
      <c r="B110" s="129"/>
      <c r="C110" s="129"/>
      <c r="D110" s="129"/>
      <c r="E110" s="3759"/>
      <c r="F110" s="3760"/>
      <c r="G110" s="1827" t="s">
        <v>1433</v>
      </c>
      <c r="H110" s="2554" t="str">
        <f>IF(H109="——","——",ROUND(H109*10000/'数据-汇总表'!E3,0))</f>
        <v>——</v>
      </c>
      <c r="I110" s="129"/>
    </row>
    <row r="111" spans="1:35" ht="18.75" customHeight="1">
      <c r="A111" s="129"/>
      <c r="B111" s="129"/>
      <c r="C111" s="129"/>
      <c r="D111" s="129"/>
      <c r="E111" s="3791" t="str">
        <f>IF(项目基本情况!E9="抵押净值",IF(OR(项目基本情况!E8="已注销",项目基本情况!E8="房地产抵押价值"),"4.抵押净值","5.抵押净值"),"——")</f>
        <v>——</v>
      </c>
      <c r="F111" s="3761"/>
      <c r="G111" s="1827" t="s">
        <v>1431</v>
      </c>
      <c r="H111" s="2594" t="str">
        <f>IF(E111="——","——",N59)</f>
        <v>——</v>
      </c>
      <c r="I111" s="129"/>
    </row>
    <row r="112" spans="1:35" ht="18.75" customHeight="1" thickBot="1">
      <c r="A112" s="129"/>
      <c r="B112" s="129"/>
      <c r="C112" s="129"/>
      <c r="D112" s="129"/>
      <c r="E112" s="3792"/>
      <c r="F112" s="3793"/>
      <c r="G112" s="1830" t="s">
        <v>1433</v>
      </c>
      <c r="H112" s="2598" t="str">
        <f>IF(E111="——","——",N61)</f>
        <v>——</v>
      </c>
      <c r="I112" s="129"/>
    </row>
    <row r="113" spans="1:27" ht="18.75" customHeight="1">
      <c r="A113" s="129"/>
      <c r="B113" s="129"/>
      <c r="C113" s="129"/>
      <c r="D113" s="129"/>
      <c r="E113" s="3764" t="s">
        <v>1439</v>
      </c>
      <c r="F113" s="3764"/>
      <c r="G113" s="3764"/>
      <c r="H113" s="3764"/>
      <c r="I113" s="129"/>
    </row>
    <row r="114" spans="1:27" ht="3.75" customHeight="1">
      <c r="A114" s="1747"/>
      <c r="B114" s="1747"/>
      <c r="C114" s="1747"/>
      <c r="D114" s="1747"/>
      <c r="E114" s="1809"/>
      <c r="F114" s="1809"/>
      <c r="G114" s="1809"/>
      <c r="H114" s="1809"/>
      <c r="I114" s="1747"/>
    </row>
    <row r="115" spans="1:27" ht="18.75" customHeight="1">
      <c r="A115" s="3774" t="s">
        <v>1441</v>
      </c>
      <c r="B115" s="3775"/>
      <c r="C115" s="3775"/>
      <c r="D115" s="3775"/>
      <c r="E115" s="3775"/>
      <c r="F115" s="3775"/>
      <c r="G115" s="3775"/>
      <c r="H115" s="3775"/>
      <c r="I115" s="3776"/>
    </row>
    <row r="116" spans="1:27" ht="27" customHeight="1">
      <c r="A116" s="3730" t="s">
        <v>1442</v>
      </c>
      <c r="B116" s="3765" t="s">
        <v>1443</v>
      </c>
      <c r="C116" s="3765" t="s">
        <v>1444</v>
      </c>
      <c r="D116" s="3778" t="s">
        <v>1445</v>
      </c>
      <c r="E116" s="3779"/>
      <c r="F116" s="3773" t="s">
        <v>1446</v>
      </c>
      <c r="G116" s="3773"/>
      <c r="H116" s="3730" t="s">
        <v>1447</v>
      </c>
      <c r="I116" s="3730"/>
    </row>
    <row r="117" spans="1:27" ht="18.75" customHeight="1">
      <c r="A117" s="3730"/>
      <c r="B117" s="3766"/>
      <c r="C117" s="3766"/>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93.38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730" t="s">
        <v>1451</v>
      </c>
      <c r="B119" s="3730"/>
      <c r="C119" s="3730"/>
      <c r="D119" s="3770" t="e">
        <f ca="1">NUMBERSTRING(INT(D118*10000),2)&amp;"元整"</f>
        <v>#REF!</v>
      </c>
      <c r="E119" s="3772"/>
      <c r="F119" s="3770" t="e">
        <f ca="1">NUMBERSTRING(INT(F118*10000),2)&amp;"元整"</f>
        <v>#REF!</v>
      </c>
      <c r="G119" s="3772"/>
      <c r="H119" s="3770" t="e">
        <f ca="1">NUMBERSTRING(INT(H118*10000),2)&amp;"元整"</f>
        <v>#REF!</v>
      </c>
      <c r="I119" s="3772"/>
    </row>
    <row r="120" spans="1:27" ht="18.75" customHeight="1">
      <c r="A120" s="3794" t="str">
        <f>IF(项目基本情况!B9="房地产市场价值","",MID(E103,3,LEN(E103)-2))</f>
        <v/>
      </c>
      <c r="B120" s="3795"/>
      <c r="C120" s="3796"/>
      <c r="D120" s="3794">
        <f>H103</f>
        <v>0</v>
      </c>
      <c r="E120" s="3795"/>
      <c r="F120" s="3795"/>
      <c r="G120" s="3795"/>
      <c r="H120" s="3795"/>
      <c r="I120" s="379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70" t="s">
        <v>1451</v>
      </c>
      <c r="B121" s="3771"/>
      <c r="C121" s="3772"/>
      <c r="D121" s="3770" t="str">
        <f>IF(D120=0,"零元整",NUMBERSTRING(INT(D120*10000),2)&amp;"元整")</f>
        <v>零元整</v>
      </c>
      <c r="E121" s="3771"/>
      <c r="F121" s="3771"/>
      <c r="G121" s="3771"/>
      <c r="H121" s="3771"/>
      <c r="I121" s="3772"/>
      <c r="AA121" s="725"/>
    </row>
    <row r="122" spans="1:27" ht="18.75" customHeight="1">
      <c r="A122" s="3761" t="str">
        <f>IF(项目基本情况!B9="房地产市场价值","",MID(E107,3,LEN(E107)-2))</f>
        <v/>
      </c>
      <c r="B122" s="3761"/>
      <c r="C122" s="3761"/>
      <c r="D122" s="3794" t="e">
        <f ca="1">H107</f>
        <v>#REF!</v>
      </c>
      <c r="E122" s="3795"/>
      <c r="F122" s="3795"/>
      <c r="G122" s="3795"/>
      <c r="H122" s="3795"/>
      <c r="I122" s="3796"/>
      <c r="AA122" s="725"/>
    </row>
    <row r="123" spans="1:27" ht="18.75" customHeight="1">
      <c r="A123" s="3730" t="s">
        <v>1451</v>
      </c>
      <c r="B123" s="3730"/>
      <c r="C123" s="3730"/>
      <c r="D123" s="3770" t="e">
        <f ca="1">NUMBERSTRING(INT(D122*10000),2)&amp;"元整"</f>
        <v>#REF!</v>
      </c>
      <c r="E123" s="3771"/>
      <c r="F123" s="3771"/>
      <c r="G123" s="3771"/>
      <c r="H123" s="3771"/>
      <c r="I123" s="3772"/>
      <c r="AA123" s="725"/>
    </row>
    <row r="124" spans="1:27" ht="18.75" customHeight="1">
      <c r="A124" s="3761" t="str">
        <f>IF(项目基本情况!B9="房地产市场价值","",MID(E109,3,LEN(E109)-2))</f>
        <v/>
      </c>
      <c r="B124" s="3761"/>
      <c r="C124" s="3761"/>
      <c r="D124" s="3794" t="str">
        <f>H109</f>
        <v>——</v>
      </c>
      <c r="E124" s="3795"/>
      <c r="F124" s="3795"/>
      <c r="G124" s="3795"/>
      <c r="H124" s="3795"/>
      <c r="I124" s="3796"/>
      <c r="AA124" s="725"/>
    </row>
    <row r="125" spans="1:27" ht="18.75" customHeight="1">
      <c r="A125" s="3730" t="s">
        <v>1451</v>
      </c>
      <c r="B125" s="3730"/>
      <c r="C125" s="3730"/>
      <c r="D125" s="3770" t="e">
        <f>NUMBERSTRING(INT(D124*10000),2)&amp;"元整"</f>
        <v>#VALUE!</v>
      </c>
      <c r="E125" s="3771"/>
      <c r="F125" s="3771"/>
      <c r="G125" s="3771"/>
      <c r="H125" s="3771"/>
      <c r="I125" s="3772"/>
      <c r="AA125" s="725"/>
    </row>
    <row r="126" spans="1:27" ht="18.75" customHeight="1">
      <c r="A126" s="3761" t="str">
        <f>IF(项目基本情况!B9="房地产市场价值","",MID(E111,3,LEN(E111)-2))</f>
        <v/>
      </c>
      <c r="B126" s="3761"/>
      <c r="C126" s="3761"/>
      <c r="D126" s="3794" t="str">
        <f>H111</f>
        <v>——</v>
      </c>
      <c r="E126" s="3795"/>
      <c r="F126" s="3795"/>
      <c r="G126" s="3795"/>
      <c r="H126" s="3795"/>
      <c r="I126" s="3796"/>
      <c r="AA126" s="725"/>
    </row>
    <row r="127" spans="1:27" ht="18.75" customHeight="1">
      <c r="A127" s="3730" t="s">
        <v>1451</v>
      </c>
      <c r="B127" s="3730"/>
      <c r="C127" s="3730"/>
      <c r="D127" s="3770" t="e">
        <f>NUMBERSTRING(INT(D126*10000),2)&amp;"元整"</f>
        <v>#VALUE!</v>
      </c>
      <c r="E127" s="3771"/>
      <c r="F127" s="3771"/>
      <c r="G127" s="3771"/>
      <c r="H127" s="3771"/>
      <c r="I127" s="3772"/>
      <c r="AA127" s="725"/>
    </row>
    <row r="128" spans="1:27" ht="21.75" customHeight="1">
      <c r="A128" s="3777" t="s">
        <v>1452</v>
      </c>
      <c r="B128" s="3777"/>
      <c r="C128" s="3777"/>
      <c r="D128" s="3777"/>
      <c r="E128" s="3777"/>
      <c r="F128" s="3777"/>
      <c r="G128" s="3777"/>
      <c r="H128" s="3777"/>
      <c r="I128" s="3777"/>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90">
    <cfRule type="expression" dxfId="192" priority="3" stopIfTrue="1">
      <formula>$H$88&lt;&gt;"仅含出让金"</formula>
    </cfRule>
  </conditionalFormatting>
  <conditionalFormatting sqref="C91">
    <cfRule type="expression" dxfId="191" priority="2" stopIfTrue="1">
      <formula>$H$91="由企业提供"</formula>
    </cfRule>
  </conditionalFormatting>
  <conditionalFormatting sqref="E36">
    <cfRule type="expression" dxfId="19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Y33" sqref="Y33"/>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777343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1160</v>
      </c>
      <c r="B2" s="1045">
        <f>项目基本情况!D3</f>
        <v>45533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3386</v>
      </c>
      <c r="D6" s="858">
        <f>SUMIF(项目基本情况!C$12:I$12,C6,项目基本情况!C$14:I$14)</f>
        <v>70</v>
      </c>
      <c r="E6" s="857">
        <f>IF(B6="","",SUMIF(项目基本情况!C$12:I$12,C6,项目基本情况!C$13:I$13))</f>
        <v>61811</v>
      </c>
      <c r="F6" s="64">
        <f>SUMIF(项目基本情况!C$12:I$12,C6,项目基本情况!C$15:I$15)</f>
        <v>44.59</v>
      </c>
      <c r="G6" s="65">
        <f>IF(ISERROR(ROUND(POWER(1+H6,D6-F6)*(POWER(1+H6,F6)-1)/(POWER(1+H6,D6)-1),3)),0,ROUND(POWER(1+H6,D6-F6)*(POWER(1+H6,F6)-1)/(POWER(1+H6,D6)-1),3))</f>
        <v>0.88300000000000001</v>
      </c>
      <c r="H6" s="732">
        <v>0.04</v>
      </c>
      <c r="I6" s="732">
        <v>0.04</v>
      </c>
      <c r="J6" s="66">
        <v>6.5000000000000002E-2</v>
      </c>
      <c r="K6" s="1030">
        <f>SUMIF('数据-汇总表'!C$19:C$33,A6,'数据-汇总表'!E$19:E$33)</f>
        <v>93.38</v>
      </c>
      <c r="L6" s="733">
        <v>2800</v>
      </c>
      <c r="M6" s="67">
        <f t="shared" ref="M6:M14" si="0">ROUND(K6*L6/10000,0)</f>
        <v>26</v>
      </c>
      <c r="N6" s="731">
        <f>N21</f>
        <v>0.65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1500</v>
      </c>
      <c r="V6" s="70">
        <v>0.02</v>
      </c>
      <c r="W6" s="70">
        <v>0.1</v>
      </c>
      <c r="X6" s="1040"/>
      <c r="Y6" s="71">
        <f>N6</f>
        <v>0.65</v>
      </c>
      <c r="Z6" s="72"/>
      <c r="AA6" s="66"/>
      <c r="AB6" s="66"/>
      <c r="AC6" s="1040"/>
      <c r="AD6" s="73"/>
      <c r="AE6" s="1041">
        <f ca="1">IF(AN6="",0,SUMIF(INDIRECT("'"&amp;AN6&amp;"'"&amp;"!E:E"),$AE$5,INDIRECT("'"&amp;AN6&amp;"'"&amp;"!F:F")))</f>
        <v>44.59</v>
      </c>
      <c r="AF6" s="1348"/>
      <c r="AG6" s="138">
        <f>IF(AF6="",0,AE6-AF6)</f>
        <v>0</v>
      </c>
      <c r="AH6" s="74">
        <v>1</v>
      </c>
      <c r="AI6" s="76">
        <v>12</v>
      </c>
      <c r="AJ6" s="77"/>
      <c r="AK6" s="78">
        <v>0.01</v>
      </c>
      <c r="AL6" s="79">
        <v>1E-3</v>
      </c>
      <c r="AM6" s="80">
        <v>0.01</v>
      </c>
      <c r="AN6" s="1715" t="s">
        <v>4300</v>
      </c>
      <c r="AO6" s="52">
        <f ca="1">SUMIF(INDIRECT("'"&amp;AN6&amp;"'"&amp;"!A:A"),"总价",INDIRECT("'"&amp;AN6&amp;"'"&amp;"!B:B"))</f>
        <v>33.2928</v>
      </c>
      <c r="AP6" s="1716">
        <f>IF(C6="住宅",K6*L6,0)</f>
        <v>261464</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0.88300000000000001</v>
      </c>
      <c r="H16" s="90">
        <f>ROUND(SUMPRODUCT(H6:H13,K6:K13)/SUMPRODUCT((H6:H13&gt;0)*(K6:K13)),3)</f>
        <v>0.04</v>
      </c>
      <c r="I16" s="91"/>
      <c r="J16" s="91"/>
      <c r="K16" s="92">
        <f>SUM(K6:K15)</f>
        <v>93.38</v>
      </c>
      <c r="L16" s="93">
        <f>ROUND(M16*10000/SUM(K6:K14),0)</f>
        <v>2784</v>
      </c>
      <c r="M16" s="93">
        <f>SUM(M6:M14)</f>
        <v>26</v>
      </c>
      <c r="N16" s="94">
        <f>ROUND(SUMPRODUCT(M6:M14,N6:N14)/M16,3)</f>
        <v>0.65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1210</v>
      </c>
      <c r="B19" s="103">
        <v>0</v>
      </c>
      <c r="C19" s="2798" t="s">
        <v>2304</v>
      </c>
      <c r="D19" s="2675"/>
      <c r="E19" s="2672"/>
      <c r="F19" s="2672"/>
      <c r="G19" s="2672"/>
      <c r="H19" s="2672"/>
      <c r="I19" s="2672"/>
      <c r="J19" s="2672"/>
      <c r="K19" s="2671"/>
      <c r="L19" s="2671"/>
      <c r="M19" s="2670"/>
      <c r="N19" s="3448">
        <f>1-(2024-1999)/50</f>
        <v>0.5</v>
      </c>
      <c r="O19" s="2670">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1211</v>
      </c>
      <c r="B20" s="104">
        <v>1</v>
      </c>
      <c r="C20" s="2799" t="s">
        <v>2302</v>
      </c>
      <c r="D20" s="2675"/>
      <c r="E20" s="2672"/>
      <c r="F20" s="2672"/>
      <c r="G20" s="2672"/>
      <c r="H20" s="2672"/>
      <c r="I20" s="2672"/>
      <c r="J20" s="2672"/>
      <c r="K20" s="2671"/>
      <c r="L20" s="2671"/>
      <c r="M20" s="2670"/>
      <c r="N20" s="2670">
        <v>0.8</v>
      </c>
      <c r="O20" s="2670">
        <f>1-O19</f>
        <v>0.5</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1212</v>
      </c>
      <c r="B21" s="104">
        <v>1</v>
      </c>
      <c r="C21" s="2672"/>
      <c r="D21" s="2675"/>
      <c r="E21" s="2672"/>
      <c r="F21" s="2672"/>
      <c r="G21" s="2672"/>
      <c r="H21" s="2672"/>
      <c r="I21" s="2672"/>
      <c r="J21" s="2672"/>
      <c r="K21" s="2671"/>
      <c r="L21" s="2671"/>
      <c r="M21" s="2670"/>
      <c r="N21" s="3448">
        <f>N19*O19+N20*O20</f>
        <v>0.65</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1213</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1214</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1219</v>
      </c>
      <c r="B27" s="107">
        <v>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v>80</v>
      </c>
      <c r="C29" s="2801" t="s">
        <v>2293</v>
      </c>
      <c r="D29" s="2678"/>
      <c r="E29" s="2660"/>
      <c r="F29" s="2660"/>
      <c r="G29" s="3621" t="s">
        <v>4373</v>
      </c>
      <c r="H29" s="2672"/>
      <c r="I29" s="2672"/>
      <c r="J29" s="2672"/>
      <c r="K29" s="2671"/>
      <c r="L29" s="2671"/>
      <c r="M29" s="2670"/>
      <c r="N29" s="2670"/>
      <c r="O29" s="3622" t="s">
        <v>4374</v>
      </c>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9"/>
      <c r="D30" s="2678"/>
      <c r="E30" s="2660"/>
      <c r="F30" s="2660"/>
      <c r="G30" s="3623" t="s">
        <v>4375</v>
      </c>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0.05</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1229</v>
      </c>
      <c r="B37" s="115">
        <v>0.01</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1230</v>
      </c>
      <c r="B38" s="113">
        <v>0.01</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4313</v>
      </c>
      <c r="B40" s="1078">
        <f ca="1">IF(A40="利息：取LPR",存贷款利率!G1,存贷款利率!G1+C40)</f>
        <v>4.3500000000000004E-2</v>
      </c>
      <c r="C40" s="2813">
        <v>8.9999999999999993E-3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1235</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1236</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1237</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1239</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1244</v>
      </c>
      <c r="B53" s="1738" t="s">
        <v>29</v>
      </c>
      <c r="C53" s="2660" t="s">
        <v>1245</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1246</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1247</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1248</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1249</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1250</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1251</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810" t="s">
        <v>2285</v>
      </c>
      <c r="B1" s="3811"/>
      <c r="C1" s="3811"/>
      <c r="D1" s="3811"/>
      <c r="E1" s="3811"/>
      <c r="F1" s="3811"/>
      <c r="G1" s="381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7.200000000000003">
      <c r="A4" s="2441"/>
      <c r="B4" s="323" t="s">
        <v>2253</v>
      </c>
      <c r="C4" s="2467" t="s">
        <v>2254</v>
      </c>
      <c r="D4" s="2464"/>
      <c r="E4" s="2468"/>
      <c r="F4" s="1373" t="s">
        <v>2255</v>
      </c>
      <c r="G4" s="2469" t="s">
        <v>2256</v>
      </c>
      <c r="H4" s="799"/>
      <c r="I4" s="799"/>
      <c r="J4" s="799"/>
      <c r="K4" s="799"/>
      <c r="L4" s="799"/>
      <c r="M4" s="799"/>
      <c r="N4" s="799"/>
      <c r="O4" s="799"/>
      <c r="P4" s="799"/>
      <c r="Q4" s="799"/>
      <c r="R4" s="799"/>
    </row>
    <row r="5" spans="1:29" ht="37.200000000000003">
      <c r="A5" s="2441"/>
      <c r="B5" s="323" t="s">
        <v>2257</v>
      </c>
      <c r="C5" s="2467" t="s">
        <v>2258</v>
      </c>
      <c r="D5" s="2464"/>
      <c r="E5" s="2468"/>
      <c r="F5" s="323" t="s">
        <v>2259</v>
      </c>
      <c r="G5" s="2469" t="s">
        <v>2260</v>
      </c>
      <c r="H5" s="799"/>
      <c r="I5" s="799"/>
      <c r="J5" s="799"/>
      <c r="K5" s="799"/>
      <c r="L5" s="799"/>
      <c r="M5" s="799"/>
      <c r="N5" s="799"/>
      <c r="O5" s="799"/>
      <c r="P5" s="799"/>
      <c r="Q5" s="799"/>
      <c r="R5" s="799"/>
    </row>
    <row r="6" spans="1:29" ht="48">
      <c r="A6" s="2441"/>
      <c r="B6" s="323" t="s">
        <v>2261</v>
      </c>
      <c r="C6" s="2469" t="s">
        <v>2256</v>
      </c>
      <c r="D6" s="2464"/>
      <c r="E6" s="2468"/>
      <c r="F6" s="323" t="s">
        <v>2262</v>
      </c>
      <c r="G6" s="2469" t="s">
        <v>2263</v>
      </c>
      <c r="H6" s="799"/>
      <c r="I6" s="799"/>
      <c r="J6" s="799"/>
      <c r="K6" s="799"/>
      <c r="L6" s="799"/>
      <c r="M6" s="799"/>
      <c r="N6" s="799"/>
      <c r="O6" s="799"/>
      <c r="P6" s="799"/>
      <c r="Q6" s="799"/>
      <c r="R6" s="799"/>
    </row>
    <row r="7" spans="1:29" ht="36.6"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ht="24">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4.4"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4.4"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3449" t="s">
        <v>4302</v>
      </c>
      <c r="B1">
        <f>'数据-汇总表'!E3</f>
        <v>93.38</v>
      </c>
    </row>
    <row r="2" spans="1:7">
      <c r="A2" s="3449" t="s">
        <v>4294</v>
      </c>
      <c r="B2" s="3449" t="s">
        <v>4295</v>
      </c>
      <c r="C2" s="3449" t="s">
        <v>4297</v>
      </c>
      <c r="D2" s="3449" t="s">
        <v>4296</v>
      </c>
      <c r="E2" s="3449" t="s">
        <v>4298</v>
      </c>
      <c r="F2" s="3449" t="s">
        <v>4299</v>
      </c>
      <c r="G2" s="3449" t="s">
        <v>4303</v>
      </c>
    </row>
    <row r="3" spans="1:7">
      <c r="A3" s="3566">
        <v>42825</v>
      </c>
      <c r="B3">
        <f>'比较法-住宅'!C49</f>
        <v>19549</v>
      </c>
      <c r="C3">
        <v>0.8</v>
      </c>
      <c r="D3">
        <f ca="1">收益法3.31!C43</f>
        <v>3565</v>
      </c>
      <c r="E3">
        <f>1-C3</f>
        <v>0.19999999999999996</v>
      </c>
      <c r="F3">
        <f ca="1">ROUND((B3*C3+D3*E3),0)</f>
        <v>16352</v>
      </c>
      <c r="G3">
        <f ca="1">B1*F3/10000</f>
        <v>152.694976</v>
      </c>
    </row>
    <row r="4" spans="1:7">
      <c r="A4" s="3566">
        <v>43100</v>
      </c>
      <c r="B4">
        <f>'比较法-住宅12.31'!C49</f>
        <v>70061</v>
      </c>
      <c r="C4">
        <f>C3</f>
        <v>0.8</v>
      </c>
      <c r="D4">
        <f ca="1">收益法12.31!B3</f>
        <v>3676</v>
      </c>
      <c r="E4">
        <f>E3</f>
        <v>0.19999999999999996</v>
      </c>
      <c r="F4">
        <f ca="1">ROUND((B4*C4+D4*E4),0)</f>
        <v>56784</v>
      </c>
      <c r="G4">
        <f ca="1">B1*F4/10000</f>
        <v>530.24899200000004</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130</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13922</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80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80</v>
      </c>
      <c r="D8" s="222"/>
      <c r="E8" s="220"/>
      <c r="F8" s="221"/>
      <c r="G8" s="1856"/>
    </row>
    <row r="9" spans="1:9" s="214" customFormat="1" ht="13.5" customHeight="1">
      <c r="A9" s="779" t="s">
        <v>355</v>
      </c>
      <c r="B9" s="224" t="s">
        <v>1477</v>
      </c>
      <c r="C9" s="225">
        <f ca="1">ROUND(D9*E9/10000,0)</f>
        <v>1</v>
      </c>
      <c r="D9" s="845">
        <f ca="1">IF(B1="",'数据-汇总表'!E5,IF(INDIRECT("'数据-取费表'!c"&amp;$G$1)="住宅",INDIRECT("'数据-取费表'!k"&amp;$G$1),0))</f>
        <v>93.38</v>
      </c>
      <c r="E9" s="225">
        <f>'数据-取费表'!B27</f>
        <v>80</v>
      </c>
      <c r="F9" s="221"/>
      <c r="G9" s="1857"/>
      <c r="H9" s="1137"/>
      <c r="I9" s="1858"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0</v>
      </c>
      <c r="E10" s="225">
        <f>'数据-取费表'!B28</f>
        <v>80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2</v>
      </c>
      <c r="D19" s="849">
        <f ca="1">D9+D10</f>
        <v>93.38</v>
      </c>
      <c r="E19" s="211">
        <f>'数据-取费表'!B31</f>
        <v>200</v>
      </c>
      <c r="F19" s="231"/>
      <c r="G19" s="1856"/>
    </row>
    <row r="20" spans="1:7" s="214" customFormat="1" ht="13.5" customHeight="1">
      <c r="A20" s="255" t="s">
        <v>1492</v>
      </c>
      <c r="B20" s="210" t="s">
        <v>1493</v>
      </c>
      <c r="C20" s="232">
        <f ca="1">ROUND((C5+C19)*F20,0)</f>
        <v>1</v>
      </c>
      <c r="D20" s="232"/>
      <c r="E20" s="232"/>
      <c r="F20" s="233">
        <f>'数据-取费表'!B37</f>
        <v>0.01</v>
      </c>
      <c r="G20" s="234" t="s">
        <v>1494</v>
      </c>
    </row>
    <row r="21" spans="1:7" s="214" customFormat="1" ht="13.5" customHeight="1">
      <c r="A21" s="255" t="s">
        <v>1495</v>
      </c>
      <c r="B21" s="210" t="s">
        <v>1496</v>
      </c>
      <c r="C21" s="235">
        <f>F21</f>
        <v>0.01</v>
      </c>
      <c r="D21" s="236" t="s">
        <v>1497</v>
      </c>
      <c r="E21" s="232"/>
      <c r="F21" s="233">
        <f>'数据-取费表'!B38</f>
        <v>0.01</v>
      </c>
      <c r="G21" s="234" t="s">
        <v>1498</v>
      </c>
    </row>
    <row r="22" spans="1:7" s="214" customFormat="1" ht="13.5" customHeight="1">
      <c r="A22" s="255" t="s">
        <v>1499</v>
      </c>
      <c r="B22" s="210" t="s">
        <v>1500</v>
      </c>
      <c r="C22" s="1104">
        <f ca="1">ROUND(SUM(C23:C25),0)</f>
        <v>3</v>
      </c>
      <c r="D22" s="235">
        <f ca="1">C26</f>
        <v>2.0000000000000001E-4</v>
      </c>
      <c r="E22" s="236" t="s">
        <v>1497</v>
      </c>
      <c r="F22" s="237">
        <f ca="1">'数据-取费表'!B40</f>
        <v>4.3500000000000004E-2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3</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6.4">
      <c r="A27" s="255" t="s">
        <v>1511</v>
      </c>
      <c r="B27" s="244" t="s">
        <v>1512</v>
      </c>
      <c r="C27" s="245">
        <f ca="1">C28</f>
        <v>12</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12</v>
      </c>
      <c r="D28" s="235"/>
      <c r="E28" s="236"/>
      <c r="F28" s="246"/>
      <c r="G28" s="247"/>
    </row>
    <row r="29" spans="1:7" s="214" customFormat="1" ht="13.5" customHeight="1">
      <c r="A29" s="780" t="s">
        <v>347</v>
      </c>
      <c r="B29" s="248" t="s">
        <v>1516</v>
      </c>
      <c r="C29" s="238">
        <f ca="1">ROUND(C21*F27*'数据-取费表'!B21/'数据-取费表'!B20,4)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105</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30</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1529</v>
      </c>
    </row>
    <row r="37" spans="1:7" s="258" customFormat="1" ht="13.5" customHeight="1">
      <c r="A37" s="780" t="s">
        <v>353</v>
      </c>
      <c r="B37" s="215" t="s">
        <v>1530</v>
      </c>
      <c r="C37" s="249">
        <f ca="1">ROUND(E37*D37*F34/10000,0)</f>
        <v>2</v>
      </c>
      <c r="D37" s="217">
        <f ca="1">D19</f>
        <v>93.38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1</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1</v>
      </c>
      <c r="D42" s="238"/>
      <c r="E42" s="238"/>
      <c r="F42" s="239"/>
      <c r="G42" s="3812" t="s">
        <v>1543</v>
      </c>
    </row>
    <row r="43" spans="1:7" ht="13.5" customHeight="1">
      <c r="A43" s="780" t="s">
        <v>347</v>
      </c>
      <c r="B43" s="215" t="s">
        <v>1544</v>
      </c>
      <c r="C43" s="238">
        <f ca="1">ROUND(IF('数据-取费表'!B22&lt;=1,C39*F22*'数据-取费表'!B21/2,C39*(POWER((1+F22),'数据-取费表'!B21/2)-1)),0)</f>
        <v>0</v>
      </c>
      <c r="D43" s="238"/>
      <c r="E43" s="238"/>
      <c r="F43" s="239"/>
      <c r="G43" s="3813"/>
    </row>
    <row r="44" spans="1:7" ht="13.5" customHeight="1">
      <c r="A44" s="780" t="s">
        <v>348</v>
      </c>
      <c r="B44" s="215" t="s">
        <v>1545</v>
      </c>
      <c r="C44" s="238">
        <f ca="1">ROUND(IF('数据-取费表'!B22&lt;=1,C40*F22*'数据-取费表'!B21/2,C40*(POWER((1+F22),'数据-取费表'!B21/2)-1)),4)</f>
        <v>2.0000000000000001E-4</v>
      </c>
      <c r="D44" s="238"/>
      <c r="E44" s="238"/>
      <c r="F44" s="239"/>
      <c r="G44" s="3814"/>
    </row>
    <row r="45" spans="1:7" s="214" customFormat="1" ht="13.5" customHeight="1">
      <c r="A45" s="255" t="s">
        <v>1546</v>
      </c>
      <c r="B45" s="244" t="s">
        <v>1512</v>
      </c>
      <c r="C45" s="245">
        <f ca="1">C46</f>
        <v>5</v>
      </c>
      <c r="D45" s="235">
        <f ca="1">C47</f>
        <v>1.5E-3</v>
      </c>
      <c r="E45" s="236" t="s">
        <v>1538</v>
      </c>
      <c r="F45" s="246">
        <f ca="1">F27</f>
        <v>0.15</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38</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25</v>
      </c>
      <c r="D51" s="232"/>
      <c r="E51" s="232"/>
      <c r="F51" s="264"/>
      <c r="G51" s="234" t="s">
        <v>1559</v>
      </c>
    </row>
    <row r="52" spans="1:7" s="208" customFormat="1" ht="16.8" thickBot="1">
      <c r="A52" s="265" t="s">
        <v>1560</v>
      </c>
      <c r="B52" s="266"/>
      <c r="C52" s="267">
        <f ca="1">C31+C51</f>
        <v>130</v>
      </c>
      <c r="D52" s="266"/>
      <c r="E52" s="266"/>
      <c r="F52" s="266"/>
      <c r="G52" s="268"/>
    </row>
    <row r="55" spans="1:7" ht="15">
      <c r="B55" s="270" t="s">
        <v>1561</v>
      </c>
      <c r="C55" s="271"/>
    </row>
    <row r="56" spans="1:7">
      <c r="B56" s="273" t="s">
        <v>802</v>
      </c>
      <c r="C56" s="275">
        <f ca="1">1-C57</f>
        <v>0.80800000000000005</v>
      </c>
    </row>
    <row r="57" spans="1:7">
      <c r="B57" s="273" t="s">
        <v>803</v>
      </c>
      <c r="C57" s="274">
        <f ca="1">ROUND(C51/C52,3)</f>
        <v>0.192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629" t="str">
        <f>项目基本情况!B1</f>
        <v>北京市房地产市场价值预评估</v>
      </c>
      <c r="C37" s="3629"/>
      <c r="D37" s="3629"/>
      <c r="E37" s="3629"/>
      <c r="F37" s="3629"/>
      <c r="G37" s="3629"/>
      <c r="H37" s="3629"/>
      <c r="I37" s="362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5"/>
      <c r="F1" s="2805"/>
      <c r="G1" s="2670"/>
      <c r="H1" s="2805"/>
      <c r="I1" s="2805"/>
      <c r="J1" s="2805"/>
      <c r="K1" s="2806">
        <f>MATCH(C1,'数据-取费表'!A6:A16,0)+5</f>
        <v>7</v>
      </c>
    </row>
    <row r="2" spans="1:33" ht="18" customHeight="1">
      <c r="A2" s="201" t="s">
        <v>1461</v>
      </c>
      <c r="B2" s="204">
        <f ca="1">C32</f>
        <v>89</v>
      </c>
      <c r="C2" s="276" t="s">
        <v>1594</v>
      </c>
      <c r="D2" s="276"/>
      <c r="E2" s="2805"/>
      <c r="F2" s="2805"/>
      <c r="G2" s="2805"/>
      <c r="H2" s="2805"/>
      <c r="I2" s="2805"/>
      <c r="J2" s="2805"/>
      <c r="K2" s="2805"/>
    </row>
    <row r="3" spans="1:33" ht="18" customHeight="1" thickBot="1">
      <c r="A3" s="203" t="s">
        <v>1463</v>
      </c>
      <c r="B3" s="204">
        <f ca="1">ROUND(B2*10000/IF(C1="",'数据-汇总表'!E3,INDIRECT("'数据-取费表'!K"&amp;$K$1)),0)</f>
        <v>9531</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0.05</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93.38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93.38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-79</v>
      </c>
      <c r="D18" s="846"/>
      <c r="E18" s="21"/>
      <c r="F18" s="804"/>
      <c r="G18" s="1862"/>
      <c r="H18" s="1187"/>
      <c r="I18" s="1863" t="s">
        <v>1624</v>
      </c>
      <c r="J18" s="807"/>
      <c r="K18" s="808"/>
    </row>
    <row r="19" spans="1:33" s="803" customFormat="1" ht="13.5" customHeight="1">
      <c r="A19" s="800" t="s">
        <v>360</v>
      </c>
      <c r="B19" s="801" t="s">
        <v>1625</v>
      </c>
      <c r="C19" s="21">
        <f ca="1">ROUND(D19*E19/10000,0)</f>
        <v>1</v>
      </c>
      <c r="D19" s="846">
        <f ca="1">IF(C1="",'数据-汇总表'!E5,IF(INDIRECT("'数据-取费表'!c"&amp;$K$1)="住宅",INDIRECT("'数据-取费表'!k"&amp;$K$1),0))</f>
        <v>93.38</v>
      </c>
      <c r="E19" s="21">
        <f>'数据-取费表'!B27</f>
        <v>80</v>
      </c>
      <c r="F19" s="804"/>
      <c r="G19" s="12"/>
      <c r="H19" s="1189"/>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0</v>
      </c>
      <c r="E20" s="21">
        <f>'数据-取费表'!B28</f>
        <v>80</v>
      </c>
      <c r="F20" s="804"/>
      <c r="G20" s="12"/>
      <c r="H20" s="809"/>
      <c r="I20" s="809"/>
      <c r="J20" s="809"/>
      <c r="K20" s="810"/>
    </row>
    <row r="21" spans="1:33" s="803" customFormat="1" ht="13.5" customHeight="1">
      <c r="A21" s="790" t="s">
        <v>357</v>
      </c>
      <c r="B21" s="813" t="s">
        <v>1627</v>
      </c>
      <c r="C21" s="814">
        <f ca="1">C16+C17+C18</f>
        <v>-79</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0.01</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0.01</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4.3500000000000004E-2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-12</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-12</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89</v>
      </c>
      <c r="D32" s="829"/>
      <c r="E32" s="829"/>
      <c r="F32" s="829"/>
      <c r="G32" s="831" t="s">
        <v>1649</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7" t="s">
        <v>694</v>
      </c>
      <c r="C6" s="1074">
        <f ca="1">ROUND(F6*F8*F7*(1-F9)/10000,0)</f>
        <v>0</v>
      </c>
      <c r="D6" s="155" t="s">
        <v>2108</v>
      </c>
      <c r="E6" s="302" t="s">
        <v>696</v>
      </c>
      <c r="F6" s="303">
        <f ca="1">INDIRECT("'数据-取费表'!u"&amp;$G$1)</f>
        <v>0</v>
      </c>
      <c r="G6" s="1384"/>
      <c r="H6" s="1069" t="s">
        <v>398</v>
      </c>
      <c r="I6" s="3817" t="s">
        <v>694</v>
      </c>
      <c r="J6" s="301">
        <f ca="1">ROUND(M6*M8*M7*(1-M9)/10000,0)</f>
        <v>0</v>
      </c>
      <c r="K6" s="155" t="s">
        <v>2107</v>
      </c>
      <c r="L6" s="302" t="s">
        <v>696</v>
      </c>
      <c r="M6" s="303">
        <f ca="1">INDIRECT("'数据-取费表'!z"&amp;$G$1)</f>
        <v>0</v>
      </c>
    </row>
    <row r="7" spans="1:37" ht="18" customHeight="1">
      <c r="A7" s="1073"/>
      <c r="B7" s="3818"/>
      <c r="C7" s="1075"/>
      <c r="D7" s="307"/>
      <c r="E7" s="1076" t="s">
        <v>697</v>
      </c>
      <c r="F7" s="303">
        <f ca="1">IF(INDIRECT("'数据-取费表'!ah"&amp;$G$1)="",INDIRECT("'数据-取费表'!k"&amp;$G$1),INDIRECT("'数据-取费表'!ah"&amp;$G$1))</f>
        <v>0</v>
      </c>
      <c r="G7" s="1384"/>
      <c r="H7" s="304"/>
      <c r="I7" s="3818"/>
      <c r="J7" s="306"/>
      <c r="K7" s="307"/>
      <c r="L7" s="302" t="s">
        <v>697</v>
      </c>
      <c r="M7" s="303">
        <f ca="1">F7</f>
        <v>0</v>
      </c>
    </row>
    <row r="8" spans="1:37" ht="18" customHeight="1">
      <c r="A8" s="304"/>
      <c r="B8" s="3818"/>
      <c r="C8" s="306"/>
      <c r="D8" s="307"/>
      <c r="E8" s="302" t="s">
        <v>698</v>
      </c>
      <c r="F8" s="303">
        <f ca="1">INDIRECT("'数据-取费表'!ai"&amp;$G$1)</f>
        <v>0</v>
      </c>
      <c r="G8" s="1384"/>
      <c r="H8" s="304"/>
      <c r="I8" s="3818"/>
      <c r="J8" s="306"/>
      <c r="K8" s="307"/>
      <c r="L8" s="302" t="s">
        <v>698</v>
      </c>
      <c r="M8" s="303">
        <f ca="1">INDIRECT("'数据-取费表'!ai"&amp;$G$1)</f>
        <v>0</v>
      </c>
    </row>
    <row r="9" spans="1:37" ht="18" customHeight="1">
      <c r="A9" s="304"/>
      <c r="B9" s="3819"/>
      <c r="C9" s="306"/>
      <c r="D9" s="307"/>
      <c r="E9" s="302" t="s">
        <v>699</v>
      </c>
      <c r="F9" s="312">
        <f ca="1">INDIRECT("'数据-取费表'!w"&amp;$G$1)</f>
        <v>0</v>
      </c>
      <c r="G9" s="1384"/>
      <c r="H9" s="304"/>
      <c r="I9" s="381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2309</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7">
        <f ca="1">IF(M47="住宅",IF(D1="——",MAX(J51,L48),MAX(J51,L48-'数据-取费表'!B24)),IF(D1="——",MIN(J51,L48),MIN(J51,L48-'数据-取费表'!B24)))</f>
        <v>0</v>
      </c>
      <c r="K53" s="3815" t="s">
        <v>837</v>
      </c>
      <c r="L53" s="3816"/>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89" priority="56">
      <formula>$L$48&gt;$J$51</formula>
    </cfRule>
  </conditionalFormatting>
  <conditionalFormatting sqref="I55 I60">
    <cfRule type="expression" dxfId="188" priority="57">
      <formula>$J$51&gt;$L$48</formula>
    </cfRule>
  </conditionalFormatting>
  <conditionalFormatting sqref="C11">
    <cfRule type="expression" dxfId="187" priority="3">
      <formula>$F$10="自定义"</formula>
    </cfRule>
  </conditionalFormatting>
  <conditionalFormatting sqref="J11">
    <cfRule type="expression" dxfId="186" priority="2">
      <formula>$M$10="自定义"</formula>
    </cfRule>
  </conditionalFormatting>
  <conditionalFormatting sqref="C54">
    <cfRule type="expression" dxfId="18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F87" sqref="F87"/>
    </sheetView>
  </sheetViews>
  <sheetFormatPr defaultColWidth="9" defaultRowHeight="13.8"/>
  <cols>
    <col min="1" max="1" width="10.44140625" style="357" customWidth="1"/>
    <col min="2" max="3" width="15.77734375" style="357" customWidth="1"/>
    <col min="4" max="4" width="19.664062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t="s">
        <v>4358</v>
      </c>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182.54859999999999</v>
      </c>
      <c r="C2" s="1881" t="s">
        <v>43</v>
      </c>
      <c r="D2" s="1115">
        <f ca="1">IF(E1="项目模式",SUMIF(INDIRECT("'"&amp;F2&amp;"'"&amp;"!A:A"),"承租人权益价值",INDIRECT("'"&amp;F2&amp;"'"&amp;"!c:c")),SUMIF(INDIRECT("'"&amp;F2&amp;"'"&amp;"!A:A"),"承租人权益价值（单套）",INDIRECT("'"&amp;F2&amp;"'"&amp;"!c:c")))</f>
        <v>0</v>
      </c>
      <c r="E2" s="1882" t="s">
        <v>1663</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19549</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48" t="s">
        <v>1667</v>
      </c>
      <c r="S4" s="3849"/>
      <c r="T4" s="3848" t="s">
        <v>1668</v>
      </c>
      <c r="U4" s="3849"/>
      <c r="V4" s="3854" t="s">
        <v>1669</v>
      </c>
      <c r="W4" s="3854"/>
      <c r="X4" s="1355"/>
      <c r="Y4" s="3848" t="s">
        <v>1671</v>
      </c>
      <c r="Z4" s="3849"/>
      <c r="AA4" s="3835" t="s">
        <v>1667</v>
      </c>
      <c r="AB4" s="3835" t="s">
        <v>1668</v>
      </c>
      <c r="AC4" s="3835" t="s">
        <v>1669</v>
      </c>
    </row>
    <row r="5" spans="1:29">
      <c r="A5" s="358"/>
      <c r="B5" s="359"/>
      <c r="C5" s="3862" t="s">
        <v>4343</v>
      </c>
      <c r="D5" s="3858"/>
      <c r="E5" s="3865" t="str">
        <f>C5</f>
        <v>园丁小区</v>
      </c>
      <c r="F5" s="3866"/>
      <c r="G5" s="3857" t="str">
        <f>Sheet3!C15</f>
        <v>金乡居民西小区</v>
      </c>
      <c r="H5" s="3858"/>
      <c r="I5" s="3857" t="str">
        <f>Sheet3!C17</f>
        <v>春曦园</v>
      </c>
      <c r="J5" s="3858"/>
      <c r="K5" s="1890"/>
      <c r="L5" s="2714"/>
      <c r="M5" s="2715"/>
      <c r="N5" s="2715"/>
      <c r="O5" s="2715"/>
      <c r="P5" s="3844"/>
      <c r="Q5" s="3845"/>
      <c r="R5" s="3850"/>
      <c r="S5" s="3851"/>
      <c r="T5" s="3850"/>
      <c r="U5" s="3851"/>
      <c r="V5" s="3854"/>
      <c r="W5" s="3854"/>
      <c r="X5" s="1355"/>
      <c r="Y5" s="3850"/>
      <c r="Z5" s="3851"/>
      <c r="AA5" s="3836"/>
      <c r="AB5" s="3836"/>
      <c r="AC5" s="3836"/>
    </row>
    <row r="6" spans="1:29" ht="15" thickBot="1">
      <c r="A6" s="360"/>
      <c r="B6" s="361"/>
      <c r="C6" s="3855" t="s">
        <v>1676</v>
      </c>
      <c r="D6" s="3856"/>
      <c r="E6" s="3863" t="s">
        <v>1676</v>
      </c>
      <c r="F6" s="3864"/>
      <c r="G6" s="3855" t="s">
        <v>1676</v>
      </c>
      <c r="H6" s="3856"/>
      <c r="I6" s="3855" t="s">
        <v>1676</v>
      </c>
      <c r="J6" s="3856"/>
      <c r="K6" s="1890" t="s">
        <v>1677</v>
      </c>
      <c r="L6" s="2714"/>
      <c r="M6" s="2715"/>
      <c r="N6" s="2715"/>
      <c r="O6" s="2715"/>
      <c r="P6" s="3846"/>
      <c r="Q6" s="3847"/>
      <c r="R6" s="3850"/>
      <c r="S6" s="3851"/>
      <c r="T6" s="3852"/>
      <c r="U6" s="3853"/>
      <c r="V6" s="3854"/>
      <c r="W6" s="3854"/>
      <c r="X6" s="1355"/>
      <c r="Y6" s="3852"/>
      <c r="Z6" s="3853"/>
      <c r="AA6" s="3837"/>
      <c r="AB6" s="3837"/>
      <c r="AC6" s="3837"/>
    </row>
    <row r="7" spans="1:29" s="108" customFormat="1" ht="15" thickBot="1">
      <c r="A7" s="362" t="s">
        <v>1678</v>
      </c>
      <c r="B7" s="363"/>
      <c r="C7" s="364">
        <f>'数据-取费表'!B2</f>
        <v>45533</v>
      </c>
      <c r="D7" s="365">
        <v>100</v>
      </c>
      <c r="E7" s="366">
        <f>C7</f>
        <v>45533</v>
      </c>
      <c r="F7" s="367">
        <f>SUMIF(58:58,YEAR(E7)&amp;"-"&amp;MONTH(E7),59:59)</f>
        <v>100</v>
      </c>
      <c r="G7" s="366">
        <f>Sheet3!Q15</f>
        <v>45441</v>
      </c>
      <c r="H7" s="365">
        <f>SUMIF(58:58,YEAR(G7)&amp;"-"&amp;MONTH(G7),59:59)</f>
        <v>100.5</v>
      </c>
      <c r="I7" s="366">
        <f>Sheet3!Q17</f>
        <v>45360</v>
      </c>
      <c r="J7" s="365">
        <f>SUMIF(58:58,YEAR(I7)&amp;"-"&amp;MONTH(I7),59:59)</f>
        <v>100.5</v>
      </c>
      <c r="K7" s="1891"/>
      <c r="L7" s="2716"/>
      <c r="M7" s="2717"/>
      <c r="N7" s="2717"/>
      <c r="O7" s="2717"/>
      <c r="P7" s="3859" t="s">
        <v>1679</v>
      </c>
      <c r="Q7" s="3861"/>
      <c r="R7" s="701" t="s">
        <v>20</v>
      </c>
      <c r="S7" s="702">
        <f t="shared" ref="S7:S15" si="0">F7</f>
        <v>100</v>
      </c>
      <c r="T7" s="701" t="s">
        <v>20</v>
      </c>
      <c r="U7" s="702">
        <f t="shared" ref="U7:U15" si="1">H7</f>
        <v>100.5</v>
      </c>
      <c r="V7" s="701" t="s">
        <v>20</v>
      </c>
      <c r="W7" s="702">
        <f t="shared" ref="W7:W15" si="2">J7</f>
        <v>100.5</v>
      </c>
      <c r="X7" s="703"/>
      <c r="Y7" s="3859" t="s">
        <v>1679</v>
      </c>
      <c r="Z7" s="3860"/>
      <c r="AA7" s="704">
        <f>D7/F7</f>
        <v>1</v>
      </c>
      <c r="AB7" s="704">
        <f>D7/H7</f>
        <v>0.99502487562189057</v>
      </c>
      <c r="AC7" s="704">
        <f>D7/J7</f>
        <v>0.99502487562189057</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59" t="s">
        <v>1682</v>
      </c>
      <c r="Q8" s="3860"/>
      <c r="R8" s="701" t="s">
        <v>20</v>
      </c>
      <c r="S8" s="702">
        <f t="shared" si="0"/>
        <v>100</v>
      </c>
      <c r="T8" s="701" t="s">
        <v>20</v>
      </c>
      <c r="U8" s="702">
        <f t="shared" si="1"/>
        <v>100</v>
      </c>
      <c r="V8" s="701" t="s">
        <v>20</v>
      </c>
      <c r="W8" s="702">
        <f t="shared" si="2"/>
        <v>100</v>
      </c>
      <c r="X8" s="703"/>
      <c r="Y8" s="3859" t="s">
        <v>1682</v>
      </c>
      <c r="Z8" s="3860"/>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4"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704">
        <f t="shared" si="5"/>
        <v>1</v>
      </c>
    </row>
    <row r="10" spans="1:29" s="378" customFormat="1" ht="28.8" hidden="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4"/>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hidden="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4"/>
      <c r="Q11" s="1343" t="str">
        <f t="shared" si="6"/>
        <v>容积率</v>
      </c>
      <c r="R11" s="701" t="s">
        <v>18</v>
      </c>
      <c r="S11" s="702">
        <f t="shared" si="0"/>
        <v>100</v>
      </c>
      <c r="T11" s="701" t="s">
        <v>18</v>
      </c>
      <c r="U11" s="702">
        <f t="shared" si="1"/>
        <v>100</v>
      </c>
      <c r="V11" s="701" t="s">
        <v>18</v>
      </c>
      <c r="W11" s="702">
        <f t="shared" si="2"/>
        <v>100</v>
      </c>
      <c r="X11" s="703"/>
      <c r="Y11" s="3717"/>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4"/>
      <c r="Q12" s="1343">
        <f t="shared" si="6"/>
        <v>111</v>
      </c>
      <c r="R12" s="701" t="s">
        <v>18</v>
      </c>
      <c r="S12" s="702">
        <f t="shared" si="0"/>
        <v>100</v>
      </c>
      <c r="T12" s="701" t="s">
        <v>18</v>
      </c>
      <c r="U12" s="702">
        <f t="shared" si="1"/>
        <v>100</v>
      </c>
      <c r="V12" s="701" t="s">
        <v>18</v>
      </c>
      <c r="W12" s="702">
        <f t="shared" si="2"/>
        <v>100</v>
      </c>
      <c r="X12" s="703"/>
      <c r="Y12" s="371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4"/>
      <c r="Q13" s="1343">
        <f t="shared" si="6"/>
        <v>111</v>
      </c>
      <c r="R13" s="701" t="s">
        <v>18</v>
      </c>
      <c r="S13" s="702">
        <f t="shared" si="0"/>
        <v>100</v>
      </c>
      <c r="T13" s="701" t="s">
        <v>18</v>
      </c>
      <c r="U13" s="702">
        <f t="shared" si="1"/>
        <v>100</v>
      </c>
      <c r="V13" s="701" t="s">
        <v>18</v>
      </c>
      <c r="W13" s="702">
        <f t="shared" si="2"/>
        <v>100</v>
      </c>
      <c r="X13" s="703"/>
      <c r="Y13" s="3717"/>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4"/>
      <c r="Q14" s="1343">
        <f t="shared" si="6"/>
        <v>111</v>
      </c>
      <c r="R14" s="701" t="s">
        <v>18</v>
      </c>
      <c r="S14" s="702">
        <f t="shared" si="0"/>
        <v>100</v>
      </c>
      <c r="T14" s="701" t="s">
        <v>18</v>
      </c>
      <c r="U14" s="702">
        <f t="shared" si="1"/>
        <v>100</v>
      </c>
      <c r="V14" s="701" t="s">
        <v>18</v>
      </c>
      <c r="W14" s="702">
        <f t="shared" si="2"/>
        <v>100</v>
      </c>
      <c r="X14" s="703"/>
      <c r="Y14" s="3717"/>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32" t="s">
        <v>1690</v>
      </c>
      <c r="Q15" s="1352" t="str">
        <f t="shared" si="6"/>
        <v>居住社区成熟度</v>
      </c>
      <c r="R15" s="705" t="s">
        <v>18</v>
      </c>
      <c r="S15" s="706">
        <f t="shared" si="0"/>
        <v>100</v>
      </c>
      <c r="T15" s="705" t="s">
        <v>18</v>
      </c>
      <c r="U15" s="706">
        <f t="shared" si="1"/>
        <v>100</v>
      </c>
      <c r="V15" s="705" t="s">
        <v>18</v>
      </c>
      <c r="W15" s="706">
        <f t="shared" si="2"/>
        <v>100</v>
      </c>
      <c r="X15" s="1355"/>
      <c r="Y15" s="3825" t="s">
        <v>1690</v>
      </c>
      <c r="Z15" s="1356" t="str">
        <f t="shared" si="7"/>
        <v>居住社区成熟度</v>
      </c>
      <c r="AA15" s="1353">
        <f t="shared" si="3"/>
        <v>1</v>
      </c>
      <c r="AB15" s="1353">
        <f t="shared" si="4"/>
        <v>1</v>
      </c>
      <c r="AC15" s="1353">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33"/>
      <c r="Q16" s="1352"/>
      <c r="R16" s="705"/>
      <c r="S16" s="706"/>
      <c r="T16" s="705"/>
      <c r="U16" s="706"/>
      <c r="V16" s="705"/>
      <c r="W16" s="706"/>
      <c r="X16" s="1355"/>
      <c r="Y16" s="3826"/>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33"/>
      <c r="Q17" s="1352" t="str">
        <f>B17</f>
        <v>交通便捷度</v>
      </c>
      <c r="R17" s="705" t="s">
        <v>18</v>
      </c>
      <c r="S17" s="706">
        <f>F17</f>
        <v>100</v>
      </c>
      <c r="T17" s="705" t="s">
        <v>18</v>
      </c>
      <c r="U17" s="706">
        <f>H17</f>
        <v>100</v>
      </c>
      <c r="V17" s="705" t="s">
        <v>18</v>
      </c>
      <c r="W17" s="706">
        <f>J17</f>
        <v>100</v>
      </c>
      <c r="X17" s="1355"/>
      <c r="Y17" s="3826"/>
      <c r="Z17" s="1356" t="str">
        <f>Q17</f>
        <v>交通便捷度</v>
      </c>
      <c r="AA17" s="1353">
        <f t="shared" si="3"/>
        <v>1</v>
      </c>
      <c r="AB17" s="1353">
        <f t="shared" si="4"/>
        <v>1</v>
      </c>
      <c r="AC17" s="1353">
        <f t="shared" si="5"/>
        <v>1</v>
      </c>
    </row>
    <row r="18" spans="1:29" ht="15">
      <c r="A18" s="379"/>
      <c r="B18" s="407"/>
      <c r="C18" s="1901" t="s">
        <v>4272</v>
      </c>
      <c r="D18" s="401"/>
      <c r="E18" s="1901" t="s">
        <v>4272</v>
      </c>
      <c r="F18" s="401"/>
      <c r="G18" s="1901" t="s">
        <v>4272</v>
      </c>
      <c r="H18" s="399"/>
      <c r="I18" s="1901" t="s">
        <v>4272</v>
      </c>
      <c r="J18" s="399"/>
      <c r="K18" s="1899"/>
      <c r="L18" s="2721"/>
      <c r="M18" s="2715"/>
      <c r="N18" s="2715"/>
      <c r="O18" s="2715"/>
      <c r="P18" s="3833"/>
      <c r="Q18" s="1352"/>
      <c r="R18" s="705"/>
      <c r="S18" s="706"/>
      <c r="T18" s="705"/>
      <c r="U18" s="706"/>
      <c r="V18" s="705"/>
      <c r="W18" s="706"/>
      <c r="X18" s="1355"/>
      <c r="Y18" s="3826"/>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33"/>
      <c r="Q19" s="1352" t="str">
        <f>B19</f>
        <v>公共配套设施</v>
      </c>
      <c r="R19" s="705" t="s">
        <v>18</v>
      </c>
      <c r="S19" s="706">
        <f>F19</f>
        <v>100</v>
      </c>
      <c r="T19" s="705" t="s">
        <v>18</v>
      </c>
      <c r="U19" s="706">
        <f>H19</f>
        <v>100</v>
      </c>
      <c r="V19" s="705" t="s">
        <v>18</v>
      </c>
      <c r="W19" s="706">
        <f>J19</f>
        <v>100</v>
      </c>
      <c r="X19" s="1355"/>
      <c r="Y19" s="3826"/>
      <c r="Z19" s="1356" t="str">
        <f>Q19</f>
        <v>公共配套设施</v>
      </c>
      <c r="AA19" s="1353">
        <f t="shared" si="3"/>
        <v>1</v>
      </c>
      <c r="AB19" s="1353">
        <f t="shared" si="4"/>
        <v>1</v>
      </c>
      <c r="AC19" s="1353">
        <f t="shared" si="5"/>
        <v>1</v>
      </c>
    </row>
    <row r="20" spans="1:29" ht="15">
      <c r="A20" s="379"/>
      <c r="B20" s="407"/>
      <c r="C20" s="398" t="s">
        <v>3600</v>
      </c>
      <c r="D20" s="399"/>
      <c r="E20" s="398" t="s">
        <v>3600</v>
      </c>
      <c r="F20" s="399"/>
      <c r="G20" s="398" t="s">
        <v>3600</v>
      </c>
      <c r="H20" s="399"/>
      <c r="I20" s="398" t="s">
        <v>3600</v>
      </c>
      <c r="J20" s="399"/>
      <c r="K20" s="1899"/>
      <c r="L20" s="2721"/>
      <c r="M20" s="2715"/>
      <c r="N20" s="2715"/>
      <c r="O20" s="2715"/>
      <c r="P20" s="3833"/>
      <c r="Q20" s="1352"/>
      <c r="R20" s="705"/>
      <c r="S20" s="706"/>
      <c r="T20" s="705"/>
      <c r="U20" s="706"/>
      <c r="V20" s="705"/>
      <c r="W20" s="706"/>
      <c r="X20" s="1355"/>
      <c r="Y20" s="3826"/>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33"/>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353">
        <f t="shared" ref="AC21" si="10">D21/J21</f>
        <v>1</v>
      </c>
    </row>
    <row r="22" spans="1:29" ht="15">
      <c r="A22" s="379"/>
      <c r="B22" s="1131"/>
      <c r="C22" s="1901" t="s">
        <v>3601</v>
      </c>
      <c r="D22" s="399"/>
      <c r="E22" s="1901" t="s">
        <v>3601</v>
      </c>
      <c r="F22" s="399"/>
      <c r="G22" s="1901" t="s">
        <v>3601</v>
      </c>
      <c r="H22" s="399"/>
      <c r="I22" s="1901" t="s">
        <v>3601</v>
      </c>
      <c r="J22" s="399"/>
      <c r="K22" s="1905"/>
      <c r="L22" s="2721"/>
      <c r="M22" s="2715"/>
      <c r="N22" s="2715"/>
      <c r="O22" s="2715"/>
      <c r="P22" s="3833"/>
      <c r="Q22" s="1352"/>
      <c r="R22" s="705"/>
      <c r="S22" s="706"/>
      <c r="T22" s="705"/>
      <c r="U22" s="706"/>
      <c r="V22" s="705"/>
      <c r="W22" s="706"/>
      <c r="X22" s="1355"/>
      <c r="Y22" s="3826"/>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33"/>
      <c r="Q23" s="1352" t="str">
        <f>B23</f>
        <v>自然及人文环境</v>
      </c>
      <c r="R23" s="705" t="s">
        <v>18</v>
      </c>
      <c r="S23" s="706">
        <f>F23</f>
        <v>100</v>
      </c>
      <c r="T23" s="705" t="s">
        <v>18</v>
      </c>
      <c r="U23" s="706">
        <f>H23</f>
        <v>100</v>
      </c>
      <c r="V23" s="705" t="s">
        <v>18</v>
      </c>
      <c r="W23" s="706">
        <f>J23</f>
        <v>100</v>
      </c>
      <c r="X23" s="1355"/>
      <c r="Y23" s="3826"/>
      <c r="Z23" s="1356" t="str">
        <f>Q23</f>
        <v>自然及人文环境</v>
      </c>
      <c r="AA23" s="1353">
        <f>D23/F23</f>
        <v>1</v>
      </c>
      <c r="AB23" s="1353">
        <f>D23/H23</f>
        <v>1</v>
      </c>
      <c r="AC23" s="1353">
        <f>D23/J23</f>
        <v>1</v>
      </c>
    </row>
    <row r="24" spans="1:29" ht="15">
      <c r="A24" s="379"/>
      <c r="B24" s="407"/>
      <c r="C24" s="398" t="s">
        <v>4272</v>
      </c>
      <c r="D24" s="399"/>
      <c r="E24" s="398" t="s">
        <v>4272</v>
      </c>
      <c r="F24" s="399"/>
      <c r="G24" s="398" t="s">
        <v>4272</v>
      </c>
      <c r="H24" s="399"/>
      <c r="I24" s="398" t="s">
        <v>4272</v>
      </c>
      <c r="J24" s="399"/>
      <c r="K24" s="1899"/>
      <c r="L24" s="2721"/>
      <c r="M24" s="2715"/>
      <c r="N24" s="2715"/>
      <c r="O24" s="2715"/>
      <c r="P24" s="3833"/>
      <c r="Q24" s="1352"/>
      <c r="R24" s="705"/>
      <c r="S24" s="706"/>
      <c r="T24" s="705"/>
      <c r="U24" s="706"/>
      <c r="V24" s="705"/>
      <c r="W24" s="706"/>
      <c r="X24" s="1355"/>
      <c r="Y24" s="3826"/>
      <c r="Z24" s="1356"/>
      <c r="AA24" s="1353">
        <v>1</v>
      </c>
      <c r="AB24" s="1353">
        <v>1</v>
      </c>
      <c r="AC24" s="1353">
        <v>1</v>
      </c>
    </row>
    <row r="25" spans="1:2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26"/>
      <c r="Z25" s="1356" t="str">
        <f>Q25</f>
        <v>楼层-1</v>
      </c>
      <c r="AA25" s="1353">
        <f t="shared" ref="AA25:AA46" si="15">D25/F25</f>
        <v>1</v>
      </c>
      <c r="AB25" s="1353">
        <f t="shared" ref="AB25:AB46" si="16">D25/H25</f>
        <v>1</v>
      </c>
      <c r="AC25" s="1353">
        <f t="shared" ref="AC25:AC46" si="17">D25/J25</f>
        <v>1</v>
      </c>
    </row>
    <row r="26" spans="1:29" ht="15">
      <c r="A26" s="379"/>
      <c r="B26" s="375" t="s">
        <v>1692</v>
      </c>
      <c r="C26" s="411" t="s">
        <v>4312</v>
      </c>
      <c r="D26" s="386">
        <v>100</v>
      </c>
      <c r="E26" s="1906" t="s">
        <v>4312</v>
      </c>
      <c r="F26" s="386">
        <f>SUMIF(88:88,E26,89:89)-SUMIF(88:88,C26,89:89)+100</f>
        <v>100</v>
      </c>
      <c r="G26" s="1907" t="s">
        <v>4312</v>
      </c>
      <c r="H26" s="386">
        <f>SUMIF(88:88,G26,89:89)-SUMIF(88:88,C26,89:89)+100</f>
        <v>100</v>
      </c>
      <c r="I26" s="1907" t="s">
        <v>4312</v>
      </c>
      <c r="J26" s="386">
        <f>SUMIF(88:88,I26,89:89)-SUMIF(88:88,C26,89:89)+100</f>
        <v>100</v>
      </c>
      <c r="K26" s="377">
        <v>0.5</v>
      </c>
      <c r="L26" s="2721"/>
      <c r="M26" s="2715"/>
      <c r="N26" s="2715"/>
      <c r="O26" s="2715"/>
      <c r="P26" s="3833"/>
      <c r="Q26" s="1352" t="str">
        <f t="shared" si="11"/>
        <v>朝向</v>
      </c>
      <c r="R26" s="705" t="s">
        <v>18</v>
      </c>
      <c r="S26" s="706">
        <f t="shared" si="12"/>
        <v>100</v>
      </c>
      <c r="T26" s="705" t="s">
        <v>18</v>
      </c>
      <c r="U26" s="706">
        <f t="shared" si="13"/>
        <v>100</v>
      </c>
      <c r="V26" s="705" t="s">
        <v>18</v>
      </c>
      <c r="W26" s="706">
        <f t="shared" si="14"/>
        <v>100</v>
      </c>
      <c r="X26" s="1355"/>
      <c r="Y26" s="3826"/>
      <c r="Z26" s="1356" t="str">
        <f>Q26</f>
        <v>朝向</v>
      </c>
      <c r="AA26" s="1353">
        <f t="shared" si="15"/>
        <v>1</v>
      </c>
      <c r="AB26" s="1353">
        <f t="shared" si="16"/>
        <v>1</v>
      </c>
      <c r="AC26" s="1353">
        <f t="shared" si="17"/>
        <v>1</v>
      </c>
    </row>
    <row r="27" spans="1:29" s="108" customFormat="1" ht="15">
      <c r="A27" s="382"/>
      <c r="B27" s="3540" t="s">
        <v>4221</v>
      </c>
      <c r="C27" s="3614" t="s">
        <v>4355</v>
      </c>
      <c r="D27" s="413">
        <v>100</v>
      </c>
      <c r="E27" s="3614" t="s">
        <v>4389</v>
      </c>
      <c r="F27" s="413">
        <f>SUMIF(90:90,E27,91:91)-SUMIF(90:90,C27,91:91)+100</f>
        <v>103</v>
      </c>
      <c r="G27" s="3614" t="s">
        <v>4385</v>
      </c>
      <c r="H27" s="413">
        <f>SUMIF(90:90,G27,91:91)-SUMIF(90:90,C27,91:91)+100</f>
        <v>104.5</v>
      </c>
      <c r="I27" s="3614" t="s">
        <v>4355</v>
      </c>
      <c r="J27" s="413">
        <f>SUMIF(90:90,I27,91:91)-SUMIF(90:90,C27,91:91)+100</f>
        <v>100</v>
      </c>
      <c r="K27" s="1894"/>
      <c r="L27" s="2716"/>
      <c r="M27" s="2717"/>
      <c r="N27" s="2717"/>
      <c r="O27" s="2717"/>
      <c r="P27" s="3833"/>
      <c r="Q27" s="1343" t="str">
        <f t="shared" si="11"/>
        <v>楼层</v>
      </c>
      <c r="R27" s="701" t="s">
        <v>18</v>
      </c>
      <c r="S27" s="702">
        <f t="shared" si="12"/>
        <v>103</v>
      </c>
      <c r="T27" s="701" t="s">
        <v>18</v>
      </c>
      <c r="U27" s="702">
        <f t="shared" si="13"/>
        <v>104.5</v>
      </c>
      <c r="V27" s="701" t="s">
        <v>18</v>
      </c>
      <c r="W27" s="702">
        <f t="shared" si="14"/>
        <v>100</v>
      </c>
      <c r="X27" s="703"/>
      <c r="Y27" s="3826"/>
      <c r="Z27" s="52" t="str">
        <f>Q27</f>
        <v>楼层</v>
      </c>
      <c r="AA27" s="1353">
        <f t="shared" si="15"/>
        <v>0.970873786407767</v>
      </c>
      <c r="AB27" s="1353">
        <f t="shared" si="16"/>
        <v>0.9569377990430622</v>
      </c>
      <c r="AC27" s="1353">
        <f t="shared" si="17"/>
        <v>1</v>
      </c>
    </row>
    <row r="28" spans="1:29" ht="15.6" thickBot="1">
      <c r="A28" s="379"/>
      <c r="B28" s="3540" t="s">
        <v>4240</v>
      </c>
      <c r="C28" s="3561" t="s">
        <v>4271</v>
      </c>
      <c r="D28" s="386">
        <v>100</v>
      </c>
      <c r="E28" s="3561" t="s">
        <v>4271</v>
      </c>
      <c r="F28" s="386">
        <f>SUMIF(92:92,E28,93:93)-SUMIF(92:92,C28,93:93)+100</f>
        <v>100</v>
      </c>
      <c r="G28" s="3562" t="str">
        <f>C28</f>
        <v>城市次干道</v>
      </c>
      <c r="H28" s="386">
        <f>SUMIF(92:92,G28,93:93)-SUMIF(92:92,C28,93:93)+100</f>
        <v>100</v>
      </c>
      <c r="I28" s="3562" t="str">
        <f>C28</f>
        <v>城市次干道</v>
      </c>
      <c r="J28" s="386">
        <f>SUMIF(92:92,I28,93:93)-SUMIF(92:92,C28,93:93)+100</f>
        <v>100</v>
      </c>
      <c r="K28" s="1894"/>
      <c r="L28" s="2721"/>
      <c r="M28" s="2715"/>
      <c r="N28" s="2715"/>
      <c r="O28" s="2715"/>
      <c r="P28" s="3833"/>
      <c r="Q28" s="1352" t="str">
        <f t="shared" si="11"/>
        <v>道路</v>
      </c>
      <c r="R28" s="705" t="s">
        <v>18</v>
      </c>
      <c r="S28" s="706">
        <f t="shared" si="12"/>
        <v>100</v>
      </c>
      <c r="T28" s="705" t="s">
        <v>18</v>
      </c>
      <c r="U28" s="706">
        <f t="shared" si="13"/>
        <v>100</v>
      </c>
      <c r="V28" s="705" t="s">
        <v>18</v>
      </c>
      <c r="W28" s="706">
        <f t="shared" si="14"/>
        <v>100</v>
      </c>
      <c r="X28" s="1355"/>
      <c r="Y28" s="3826"/>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33"/>
      <c r="Q29" s="1352">
        <f t="shared" si="11"/>
        <v>111</v>
      </c>
      <c r="R29" s="705" t="s">
        <v>18</v>
      </c>
      <c r="S29" s="706">
        <f t="shared" si="12"/>
        <v>100</v>
      </c>
      <c r="T29" s="705" t="s">
        <v>18</v>
      </c>
      <c r="U29" s="706">
        <f t="shared" si="13"/>
        <v>100</v>
      </c>
      <c r="V29" s="705" t="s">
        <v>18</v>
      </c>
      <c r="W29" s="706">
        <f t="shared" si="14"/>
        <v>100</v>
      </c>
      <c r="X29" s="1355"/>
      <c r="Y29" s="382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33"/>
      <c r="Q30" s="1352">
        <f t="shared" si="11"/>
        <v>111</v>
      </c>
      <c r="R30" s="705" t="s">
        <v>18</v>
      </c>
      <c r="S30" s="706">
        <f t="shared" si="12"/>
        <v>100</v>
      </c>
      <c r="T30" s="705" t="s">
        <v>18</v>
      </c>
      <c r="U30" s="706">
        <f t="shared" si="13"/>
        <v>100</v>
      </c>
      <c r="V30" s="705" t="s">
        <v>18</v>
      </c>
      <c r="W30" s="706">
        <f t="shared" si="14"/>
        <v>100</v>
      </c>
      <c r="X30" s="1355"/>
      <c r="Y30" s="3826"/>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33"/>
      <c r="Q31" s="1352">
        <f t="shared" si="11"/>
        <v>111</v>
      </c>
      <c r="R31" s="705" t="s">
        <v>18</v>
      </c>
      <c r="S31" s="706">
        <f t="shared" si="12"/>
        <v>100</v>
      </c>
      <c r="T31" s="705" t="s">
        <v>18</v>
      </c>
      <c r="U31" s="706">
        <f t="shared" si="13"/>
        <v>100</v>
      </c>
      <c r="V31" s="705" t="s">
        <v>18</v>
      </c>
      <c r="W31" s="706">
        <f t="shared" si="14"/>
        <v>100</v>
      </c>
      <c r="X31" s="1355"/>
      <c r="Y31" s="3826"/>
      <c r="Z31" s="1356">
        <f t="shared" si="18"/>
        <v>111</v>
      </c>
      <c r="AA31" s="1353">
        <f t="shared" si="15"/>
        <v>1</v>
      </c>
      <c r="AB31" s="1353">
        <f t="shared" si="16"/>
        <v>1</v>
      </c>
      <c r="AC31" s="1353">
        <f t="shared" si="17"/>
        <v>1</v>
      </c>
    </row>
    <row r="32" spans="1:29" ht="15">
      <c r="A32" s="391" t="s">
        <v>1693</v>
      </c>
      <c r="B32" s="63" t="s">
        <v>1694</v>
      </c>
      <c r="C32" s="1910" t="s">
        <v>4231</v>
      </c>
      <c r="D32" s="418">
        <v>100</v>
      </c>
      <c r="E32" s="1910" t="s">
        <v>4231</v>
      </c>
      <c r="F32" s="412">
        <f>SUMIF(100:100,E32,101:101)-SUMIF(100:100,C32,101:101)+100</f>
        <v>100</v>
      </c>
      <c r="G32" s="1910" t="s">
        <v>4231</v>
      </c>
      <c r="H32" s="418">
        <f>SUMIF(100:100,G32,101:101)-SUMIF(100:100,C32,101:101)+100</f>
        <v>100</v>
      </c>
      <c r="I32" s="1910" t="s">
        <v>4231</v>
      </c>
      <c r="J32" s="386">
        <f>SUMIF(100:100,I32,101:101)-SUMIF(100:100,C32,101:101)+100</f>
        <v>100</v>
      </c>
      <c r="K32" s="377">
        <v>2</v>
      </c>
      <c r="L32" s="2721"/>
      <c r="M32" s="2715"/>
      <c r="N32" s="2715"/>
      <c r="O32" s="2715"/>
      <c r="P32" s="3827" t="s">
        <v>1695</v>
      </c>
      <c r="Q32" s="1352" t="str">
        <f t="shared" si="11"/>
        <v>建筑类型</v>
      </c>
      <c r="R32" s="705" t="s">
        <v>18</v>
      </c>
      <c r="S32" s="706">
        <f t="shared" si="12"/>
        <v>100</v>
      </c>
      <c r="T32" s="705" t="s">
        <v>18</v>
      </c>
      <c r="U32" s="706">
        <f t="shared" si="13"/>
        <v>100</v>
      </c>
      <c r="V32" s="705" t="s">
        <v>18</v>
      </c>
      <c r="W32" s="706">
        <f t="shared" si="14"/>
        <v>100</v>
      </c>
      <c r="X32" s="1355"/>
      <c r="Y32" s="3830" t="s">
        <v>1695</v>
      </c>
      <c r="Z32" s="1356" t="str">
        <f t="shared" si="18"/>
        <v>建筑类型</v>
      </c>
      <c r="AA32" s="1353">
        <f t="shared" si="15"/>
        <v>1</v>
      </c>
      <c r="AB32" s="1353">
        <f t="shared" si="16"/>
        <v>1</v>
      </c>
      <c r="AC32" s="1353">
        <f t="shared" si="17"/>
        <v>1</v>
      </c>
    </row>
    <row r="33" spans="1:29" s="422" customFormat="1" ht="15">
      <c r="A33" s="419"/>
      <c r="B33" s="375" t="s">
        <v>1696</v>
      </c>
      <c r="C33" s="420">
        <f>'数据-汇总表'!E19</f>
        <v>93.38</v>
      </c>
      <c r="D33" s="127">
        <v>100</v>
      </c>
      <c r="E33" s="381">
        <f>Sheet3!B4</f>
        <v>95</v>
      </c>
      <c r="F33" s="376">
        <f>LOOKUP(E33,103:103,104:104)-LOOKUP(C33,103:103,104:104)+100</f>
        <v>100</v>
      </c>
      <c r="G33" s="380">
        <f>Sheet3!F15</f>
        <v>93.6</v>
      </c>
      <c r="H33" s="127">
        <f>LOOKUP(G33,103:103,104:104)-LOOKUP(C33,103:103,104:104)+100</f>
        <v>100</v>
      </c>
      <c r="I33" s="381">
        <f>Sheet3!F17</f>
        <v>96.82</v>
      </c>
      <c r="J33" s="127">
        <f>LOOKUP(I33,103:103,104:104)-LOOKUP(C33,103:103,104:104)+100</f>
        <v>100</v>
      </c>
      <c r="K33" s="1894"/>
      <c r="L33" s="2720"/>
      <c r="M33" s="2722"/>
      <c r="N33" s="2722"/>
      <c r="O33" s="2722"/>
      <c r="P33" s="3828"/>
      <c r="Q33" s="707" t="str">
        <f t="shared" si="11"/>
        <v>项目建筑规模</v>
      </c>
      <c r="R33" s="708" t="s">
        <v>18</v>
      </c>
      <c r="S33" s="709">
        <f t="shared" si="12"/>
        <v>100</v>
      </c>
      <c r="T33" s="708" t="s">
        <v>18</v>
      </c>
      <c r="U33" s="709">
        <f t="shared" si="13"/>
        <v>100</v>
      </c>
      <c r="V33" s="708" t="s">
        <v>18</v>
      </c>
      <c r="W33" s="709">
        <f t="shared" si="14"/>
        <v>100</v>
      </c>
      <c r="X33" s="710"/>
      <c r="Y33" s="3830"/>
      <c r="Z33" s="711" t="str">
        <f t="shared" si="18"/>
        <v>项目建筑规模</v>
      </c>
      <c r="AA33" s="1353">
        <f t="shared" si="15"/>
        <v>1</v>
      </c>
      <c r="AB33" s="1353">
        <f t="shared" si="16"/>
        <v>1</v>
      </c>
      <c r="AC33" s="1353">
        <f t="shared" si="17"/>
        <v>1</v>
      </c>
    </row>
    <row r="34" spans="1:29" ht="15">
      <c r="A34" s="423"/>
      <c r="B34" s="375" t="s">
        <v>1697</v>
      </c>
      <c r="C34" s="1912" t="s">
        <v>4254</v>
      </c>
      <c r="D34" s="386">
        <v>100</v>
      </c>
      <c r="E34" s="1912" t="s">
        <v>4254</v>
      </c>
      <c r="F34" s="412">
        <f>SUMIF(105:105,E34,106:106)-SUMIF(105:105,C34,106:106)+100</f>
        <v>100</v>
      </c>
      <c r="G34" s="1912" t="s">
        <v>4254</v>
      </c>
      <c r="H34" s="386">
        <f>SUMIF(105:105,G34,106:106)-SUMIF(105:105,C34,106:106)+100</f>
        <v>100</v>
      </c>
      <c r="I34" s="1912" t="s">
        <v>4254</v>
      </c>
      <c r="J34" s="386">
        <f>SUMIF(105:105,I34,106:106)-SUMIF(105:105,C34,106:106)+100</f>
        <v>100</v>
      </c>
      <c r="K34" s="377">
        <v>2</v>
      </c>
      <c r="L34" s="2721"/>
      <c r="M34" s="2715"/>
      <c r="N34" s="2715"/>
      <c r="O34" s="2715"/>
      <c r="P34" s="3828"/>
      <c r="Q34" s="1352" t="str">
        <f t="shared" si="11"/>
        <v>建筑结构</v>
      </c>
      <c r="R34" s="705" t="s">
        <v>18</v>
      </c>
      <c r="S34" s="706">
        <f t="shared" si="12"/>
        <v>100</v>
      </c>
      <c r="T34" s="705" t="s">
        <v>18</v>
      </c>
      <c r="U34" s="706">
        <f t="shared" si="13"/>
        <v>100</v>
      </c>
      <c r="V34" s="705" t="s">
        <v>18</v>
      </c>
      <c r="W34" s="706">
        <f t="shared" si="14"/>
        <v>100</v>
      </c>
      <c r="X34" s="1355"/>
      <c r="Y34" s="3830"/>
      <c r="Z34" s="1356" t="str">
        <f t="shared" si="18"/>
        <v>建筑结构</v>
      </c>
      <c r="AA34" s="1353">
        <f t="shared" si="15"/>
        <v>1</v>
      </c>
      <c r="AB34" s="1353">
        <f t="shared" si="16"/>
        <v>1</v>
      </c>
      <c r="AC34" s="1353">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28"/>
      <c r="Q35" s="1352" t="str">
        <f t="shared" si="11"/>
        <v>建筑品质</v>
      </c>
      <c r="R35" s="705" t="s">
        <v>18</v>
      </c>
      <c r="S35" s="706">
        <f t="shared" si="12"/>
        <v>100</v>
      </c>
      <c r="T35" s="705" t="s">
        <v>18</v>
      </c>
      <c r="U35" s="706">
        <f t="shared" si="13"/>
        <v>100</v>
      </c>
      <c r="V35" s="705" t="s">
        <v>18</v>
      </c>
      <c r="W35" s="706">
        <f t="shared" si="14"/>
        <v>100</v>
      </c>
      <c r="X35" s="1355"/>
      <c r="Y35" s="3830"/>
      <c r="Z35" s="1356" t="str">
        <f t="shared" si="18"/>
        <v>建筑品质</v>
      </c>
      <c r="AA35" s="1353">
        <f t="shared" si="15"/>
        <v>1</v>
      </c>
      <c r="AB35" s="1353">
        <f t="shared" si="16"/>
        <v>1</v>
      </c>
      <c r="AC35" s="1353">
        <f t="shared" si="17"/>
        <v>1</v>
      </c>
    </row>
    <row r="36" spans="1:29" ht="15">
      <c r="A36" s="423"/>
      <c r="B36" s="375" t="s">
        <v>1699</v>
      </c>
      <c r="C36" s="1906" t="s">
        <v>4356</v>
      </c>
      <c r="D36" s="386">
        <v>100</v>
      </c>
      <c r="E36" s="1906" t="s">
        <v>4356</v>
      </c>
      <c r="F36" s="412">
        <f>SUMIF(109:109,E36,110:110)-SUMIF(109:109,C36,110:110)+100</f>
        <v>100</v>
      </c>
      <c r="G36" s="1906" t="s">
        <v>4356</v>
      </c>
      <c r="H36" s="386">
        <f>SUMIF(109:109,G36,110:110)-SUMIF(109:109,C36,110:110)+100</f>
        <v>100</v>
      </c>
      <c r="I36" s="1906" t="s">
        <v>4356</v>
      </c>
      <c r="J36" s="386">
        <f>SUMIF(109:109,I36,110:110)-SUMIF(109:109,C36,110:110)+100</f>
        <v>100</v>
      </c>
      <c r="K36" s="377">
        <v>2</v>
      </c>
      <c r="L36" s="2721"/>
      <c r="M36" s="2715"/>
      <c r="N36" s="2715"/>
      <c r="O36" s="2715"/>
      <c r="P36" s="3828"/>
      <c r="Q36" s="1352" t="str">
        <f t="shared" si="11"/>
        <v>公共部分装修</v>
      </c>
      <c r="R36" s="705" t="s">
        <v>18</v>
      </c>
      <c r="S36" s="706">
        <f t="shared" si="12"/>
        <v>100</v>
      </c>
      <c r="T36" s="705" t="s">
        <v>18</v>
      </c>
      <c r="U36" s="706">
        <f t="shared" si="13"/>
        <v>100</v>
      </c>
      <c r="V36" s="705" t="s">
        <v>18</v>
      </c>
      <c r="W36" s="706">
        <f t="shared" si="14"/>
        <v>100</v>
      </c>
      <c r="X36" s="1355"/>
      <c r="Y36" s="3830"/>
      <c r="Z36" s="1356" t="str">
        <f t="shared" si="18"/>
        <v>公共部分装修</v>
      </c>
      <c r="AA36" s="1353">
        <f t="shared" si="15"/>
        <v>1</v>
      </c>
      <c r="AB36" s="1353">
        <f t="shared" si="16"/>
        <v>1</v>
      </c>
      <c r="AC36" s="1353">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28"/>
      <c r="Q37" s="1343" t="str">
        <f t="shared" si="11"/>
        <v>成新度</v>
      </c>
      <c r="R37" s="701" t="s">
        <v>18</v>
      </c>
      <c r="S37" s="702">
        <f t="shared" si="12"/>
        <v>100</v>
      </c>
      <c r="T37" s="701" t="s">
        <v>18</v>
      </c>
      <c r="U37" s="702">
        <f t="shared" si="13"/>
        <v>100</v>
      </c>
      <c r="V37" s="701" t="s">
        <v>18</v>
      </c>
      <c r="W37" s="702">
        <f t="shared" si="14"/>
        <v>100</v>
      </c>
      <c r="X37" s="703"/>
      <c r="Y37" s="3830"/>
      <c r="Z37" s="5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28" t="s">
        <v>1695</v>
      </c>
      <c r="Q38" s="1352" t="str">
        <f t="shared" si="11"/>
        <v>物业管理</v>
      </c>
      <c r="R38" s="705" t="s">
        <v>18</v>
      </c>
      <c r="S38" s="706">
        <f t="shared" si="12"/>
        <v>100</v>
      </c>
      <c r="T38" s="705" t="s">
        <v>18</v>
      </c>
      <c r="U38" s="706">
        <f t="shared" si="13"/>
        <v>100</v>
      </c>
      <c r="V38" s="705" t="s">
        <v>18</v>
      </c>
      <c r="W38" s="706">
        <f t="shared" si="14"/>
        <v>100</v>
      </c>
      <c r="X38" s="1355"/>
      <c r="Y38" s="3830" t="s">
        <v>1695</v>
      </c>
      <c r="Z38" s="1356" t="str">
        <f t="shared" si="18"/>
        <v>物业管理</v>
      </c>
      <c r="AA38" s="1353">
        <f t="shared" si="15"/>
        <v>1</v>
      </c>
      <c r="AB38" s="1353">
        <f t="shared" si="16"/>
        <v>1</v>
      </c>
      <c r="AC38" s="1353">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28"/>
      <c r="Q39" s="1352" t="str">
        <f t="shared" si="11"/>
        <v>市政基础设施</v>
      </c>
      <c r="R39" s="705" t="s">
        <v>18</v>
      </c>
      <c r="S39" s="706">
        <f t="shared" si="12"/>
        <v>100</v>
      </c>
      <c r="T39" s="705" t="s">
        <v>18</v>
      </c>
      <c r="U39" s="706">
        <f t="shared" si="13"/>
        <v>100</v>
      </c>
      <c r="V39" s="705" t="s">
        <v>18</v>
      </c>
      <c r="W39" s="706">
        <f t="shared" si="14"/>
        <v>100</v>
      </c>
      <c r="X39" s="1355"/>
      <c r="Y39" s="3830"/>
      <c r="Z39" s="1356" t="str">
        <f t="shared" si="18"/>
        <v>市政基础设施</v>
      </c>
      <c r="AA39" s="1353">
        <f t="shared" si="15"/>
        <v>1</v>
      </c>
      <c r="AB39" s="1353">
        <f t="shared" si="16"/>
        <v>1</v>
      </c>
      <c r="AC39" s="1353">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28"/>
      <c r="Q40" s="1352" t="str">
        <f t="shared" si="11"/>
        <v>房型</v>
      </c>
      <c r="R40" s="705" t="s">
        <v>18</v>
      </c>
      <c r="S40" s="706">
        <f t="shared" si="12"/>
        <v>100</v>
      </c>
      <c r="T40" s="705" t="s">
        <v>18</v>
      </c>
      <c r="U40" s="706">
        <f t="shared" si="13"/>
        <v>100</v>
      </c>
      <c r="V40" s="705" t="s">
        <v>18</v>
      </c>
      <c r="W40" s="706">
        <f t="shared" si="14"/>
        <v>100</v>
      </c>
      <c r="X40" s="1355"/>
      <c r="Y40" s="3830"/>
      <c r="Z40" s="1356" t="str">
        <f t="shared" si="18"/>
        <v>房型</v>
      </c>
      <c r="AA40" s="1353">
        <f t="shared" si="15"/>
        <v>1</v>
      </c>
      <c r="AB40" s="1353">
        <f t="shared" si="16"/>
        <v>1</v>
      </c>
      <c r="AC40" s="1353">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28"/>
      <c r="Q41" s="707" t="str">
        <f t="shared" si="11"/>
        <v>单套/主力户型建筑面积</v>
      </c>
      <c r="R41" s="708" t="s">
        <v>18</v>
      </c>
      <c r="S41" s="709">
        <f t="shared" si="12"/>
        <v>100</v>
      </c>
      <c r="T41" s="708" t="s">
        <v>18</v>
      </c>
      <c r="U41" s="709">
        <f t="shared" si="13"/>
        <v>100</v>
      </c>
      <c r="V41" s="708" t="s">
        <v>18</v>
      </c>
      <c r="W41" s="709">
        <f t="shared" si="14"/>
        <v>100</v>
      </c>
      <c r="X41" s="710"/>
      <c r="Y41" s="3830"/>
      <c r="Z41" s="711" t="str">
        <f t="shared" si="18"/>
        <v>单套/主力户型建筑面积</v>
      </c>
      <c r="AA41" s="1353">
        <f t="shared" si="15"/>
        <v>1</v>
      </c>
      <c r="AB41" s="1353">
        <f t="shared" si="16"/>
        <v>1</v>
      </c>
      <c r="AC41" s="1353">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28"/>
      <c r="Q42" s="1352" t="str">
        <f t="shared" si="11"/>
        <v>内部装修</v>
      </c>
      <c r="R42" s="705" t="s">
        <v>18</v>
      </c>
      <c r="S42" s="706">
        <f t="shared" si="12"/>
        <v>100</v>
      </c>
      <c r="T42" s="705" t="s">
        <v>18</v>
      </c>
      <c r="U42" s="706">
        <f t="shared" si="13"/>
        <v>100</v>
      </c>
      <c r="V42" s="705" t="s">
        <v>18</v>
      </c>
      <c r="W42" s="706">
        <f t="shared" si="14"/>
        <v>100</v>
      </c>
      <c r="X42" s="1355"/>
      <c r="Y42" s="3830"/>
      <c r="Z42" s="1356" t="str">
        <f t="shared" si="18"/>
        <v>内部装修</v>
      </c>
      <c r="AA42" s="1353">
        <f t="shared" si="15"/>
        <v>1</v>
      </c>
      <c r="AB42" s="1353">
        <f t="shared" si="16"/>
        <v>1</v>
      </c>
      <c r="AC42" s="1353">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28"/>
      <c r="Q43" s="1352" t="str">
        <f t="shared" si="11"/>
        <v>内部装修维护情况</v>
      </c>
      <c r="R43" s="705" t="s">
        <v>18</v>
      </c>
      <c r="S43" s="706">
        <f t="shared" si="12"/>
        <v>100</v>
      </c>
      <c r="T43" s="705" t="s">
        <v>18</v>
      </c>
      <c r="U43" s="706">
        <f t="shared" si="13"/>
        <v>100</v>
      </c>
      <c r="V43" s="705" t="s">
        <v>18</v>
      </c>
      <c r="W43" s="706">
        <f t="shared" si="14"/>
        <v>100</v>
      </c>
      <c r="X43" s="1355"/>
      <c r="Y43" s="3830"/>
      <c r="Z43" s="1356" t="str">
        <f t="shared" si="18"/>
        <v>内部装修维护情况</v>
      </c>
      <c r="AA43" s="1353">
        <f t="shared" si="15"/>
        <v>1</v>
      </c>
      <c r="AB43" s="1353">
        <f t="shared" si="16"/>
        <v>1</v>
      </c>
      <c r="AC43" s="1353">
        <f t="shared" si="17"/>
        <v>1</v>
      </c>
    </row>
    <row r="44" spans="1:29" s="108" customFormat="1" ht="15.6" thickBot="1">
      <c r="A44" s="424"/>
      <c r="B44" s="3540" t="s">
        <v>4222</v>
      </c>
      <c r="C44" s="420">
        <v>1999</v>
      </c>
      <c r="D44" s="127">
        <v>100</v>
      </c>
      <c r="E44" s="420">
        <f>C44</f>
        <v>1999</v>
      </c>
      <c r="F44" s="376">
        <f>SUMIF(126:126,E44,127:127)-SUMIF(126:126,C44,127:127)+100</f>
        <v>100</v>
      </c>
      <c r="G44" s="420">
        <f>Sheet3!J15</f>
        <v>1994</v>
      </c>
      <c r="H44" s="127">
        <f>SUMIF(126:126,G44,127:127)-SUMIF(126:126,C44,127:127)+100</f>
        <v>99.5</v>
      </c>
      <c r="I44" s="420">
        <f>Sheet3!K17</f>
        <v>2008</v>
      </c>
      <c r="J44" s="127">
        <f>SUMIF(126:126,I44,127:127)-SUMIF(126:126,C44,127:127)+100</f>
        <v>100.9</v>
      </c>
      <c r="K44" s="1894"/>
      <c r="L44" s="2716"/>
      <c r="M44" s="2717"/>
      <c r="N44" s="2717"/>
      <c r="O44" s="2717"/>
      <c r="P44" s="3828"/>
      <c r="Q44" s="1343" t="str">
        <f t="shared" si="11"/>
        <v>建成年份</v>
      </c>
      <c r="R44" s="701" t="s">
        <v>18</v>
      </c>
      <c r="S44" s="702">
        <f t="shared" si="12"/>
        <v>100</v>
      </c>
      <c r="T44" s="701" t="s">
        <v>18</v>
      </c>
      <c r="U44" s="702">
        <f t="shared" si="13"/>
        <v>99.5</v>
      </c>
      <c r="V44" s="701" t="s">
        <v>18</v>
      </c>
      <c r="W44" s="702">
        <f t="shared" si="14"/>
        <v>100.9</v>
      </c>
      <c r="X44" s="703"/>
      <c r="Y44" s="3830"/>
      <c r="Z44" s="52" t="str">
        <f t="shared" si="18"/>
        <v>建成年份</v>
      </c>
      <c r="AA44" s="704">
        <f t="shared" si="15"/>
        <v>1</v>
      </c>
      <c r="AB44" s="704">
        <f t="shared" si="16"/>
        <v>1.0050251256281406</v>
      </c>
      <c r="AC44" s="704">
        <f t="shared" si="17"/>
        <v>0.99108027750247762</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28"/>
      <c r="Q45" s="1352">
        <f t="shared" si="11"/>
        <v>111</v>
      </c>
      <c r="R45" s="705" t="s">
        <v>18</v>
      </c>
      <c r="S45" s="706">
        <f t="shared" si="12"/>
        <v>100</v>
      </c>
      <c r="T45" s="705" t="s">
        <v>18</v>
      </c>
      <c r="U45" s="706">
        <f t="shared" si="13"/>
        <v>100</v>
      </c>
      <c r="V45" s="705" t="s">
        <v>18</v>
      </c>
      <c r="W45" s="706">
        <f t="shared" si="14"/>
        <v>100</v>
      </c>
      <c r="X45" s="1355"/>
      <c r="Y45" s="3830"/>
      <c r="Z45" s="1356">
        <f t="shared" si="18"/>
        <v>111</v>
      </c>
      <c r="AA45" s="1353">
        <f t="shared" si="15"/>
        <v>1</v>
      </c>
      <c r="AB45" s="1353">
        <f t="shared" si="16"/>
        <v>1</v>
      </c>
      <c r="AC45" s="1353">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29"/>
      <c r="Q46" s="1352">
        <f t="shared" si="11"/>
        <v>111</v>
      </c>
      <c r="R46" s="705" t="s">
        <v>17</v>
      </c>
      <c r="S46" s="706">
        <f t="shared" si="12"/>
        <v>100</v>
      </c>
      <c r="T46" s="705" t="s">
        <v>17</v>
      </c>
      <c r="U46" s="706">
        <f t="shared" si="13"/>
        <v>100</v>
      </c>
      <c r="V46" s="705" t="s">
        <v>17</v>
      </c>
      <c r="W46" s="706">
        <f t="shared" si="14"/>
        <v>100</v>
      </c>
      <c r="X46" s="1355"/>
      <c r="Y46" s="3831"/>
      <c r="Z46" s="1356">
        <f t="shared" si="18"/>
        <v>111</v>
      </c>
      <c r="AA46" s="1353">
        <f t="shared" si="15"/>
        <v>1</v>
      </c>
      <c r="AB46" s="1353">
        <f t="shared" si="16"/>
        <v>1</v>
      </c>
      <c r="AC46" s="1353">
        <f t="shared" si="17"/>
        <v>1</v>
      </c>
    </row>
    <row r="47" spans="1:29" ht="14.4">
      <c r="A47" s="430" t="s">
        <v>1707</v>
      </c>
      <c r="B47" s="431"/>
      <c r="C47" s="1154" t="s">
        <v>16</v>
      </c>
      <c r="D47" s="1155"/>
      <c r="E47" s="3546">
        <f>Sheet3!F4</f>
        <v>18947</v>
      </c>
      <c r="F47" s="3541"/>
      <c r="G47" s="3547">
        <f>Sheet3!N11</f>
        <v>21145</v>
      </c>
      <c r="H47" s="3542"/>
      <c r="I47" s="3546">
        <f>Sheet3!N15</f>
        <v>20299</v>
      </c>
      <c r="J47" s="3542"/>
      <c r="K47" s="1913"/>
      <c r="L47" s="2723"/>
      <c r="M47" s="2724"/>
      <c r="N47" s="2715"/>
      <c r="O47" s="2724"/>
      <c r="P47" s="3823" t="str">
        <f>A47</f>
        <v>成交单价（元/平方米）</v>
      </c>
      <c r="Q47" s="3823"/>
      <c r="R47" s="3824">
        <f>E47</f>
        <v>18947</v>
      </c>
      <c r="S47" s="3824"/>
      <c r="T47" s="3824">
        <f>G47</f>
        <v>21145</v>
      </c>
      <c r="U47" s="3824"/>
      <c r="V47" s="3824">
        <f>I47</f>
        <v>20299</v>
      </c>
      <c r="W47" s="3824"/>
      <c r="X47" s="690"/>
      <c r="Y47" s="712"/>
      <c r="Z47" s="690"/>
      <c r="AA47" s="690"/>
      <c r="AB47" s="690"/>
      <c r="AC47" s="690"/>
    </row>
    <row r="48" spans="1:29" ht="15" thickBot="1">
      <c r="A48" s="437" t="s">
        <v>1708</v>
      </c>
      <c r="B48" s="438"/>
      <c r="C48" s="1160">
        <f>R49</f>
        <v>19549</v>
      </c>
      <c r="D48" s="2316" t="s">
        <v>2137</v>
      </c>
      <c r="E48" s="1161">
        <f>R48</f>
        <v>18395</v>
      </c>
      <c r="F48" s="2317"/>
      <c r="G48" s="1160">
        <f>T48</f>
        <v>20235</v>
      </c>
      <c r="H48" s="2317"/>
      <c r="I48" s="1161">
        <f>V48</f>
        <v>20018</v>
      </c>
      <c r="J48" s="2317"/>
      <c r="K48" s="2318">
        <f>F48+H48+J48</f>
        <v>0</v>
      </c>
      <c r="L48" s="2723"/>
      <c r="M48" s="2724"/>
      <c r="N48" s="2724"/>
      <c r="O48" s="2724"/>
      <c r="P48" s="3823" t="str">
        <f>A48</f>
        <v>比较价值（元/平方米）</v>
      </c>
      <c r="Q48" s="3823"/>
      <c r="R48" s="3824">
        <f>IF(F1="售价",ROUND(PRODUCT(R47,AA7:AA46),0),ROUND(PRODUCT(R47,AA7:AA46),1))</f>
        <v>18395</v>
      </c>
      <c r="S48" s="3824"/>
      <c r="T48" s="3824">
        <f>IF(F1="售价",ROUND(PRODUCT(T47,AB7:AB46),0),ROUND(PRODUCT(T47,AB7:AB46),1))</f>
        <v>20235</v>
      </c>
      <c r="U48" s="3824"/>
      <c r="V48" s="3824">
        <f>IF(F1="售价",ROUND(PRODUCT(V47,AC7:AC46),0),ROUND(PRODUCT(V47,AC7:AC46),1))</f>
        <v>20018</v>
      </c>
      <c r="W48" s="3824"/>
      <c r="X48" s="690"/>
      <c r="Y48" s="690"/>
      <c r="Z48" s="690"/>
      <c r="AA48" s="690"/>
      <c r="AB48" s="690"/>
      <c r="AC48" s="690"/>
    </row>
    <row r="49" spans="1:29" ht="15" thickBot="1">
      <c r="A49" s="441" t="s">
        <v>1709</v>
      </c>
      <c r="B49" s="442"/>
      <c r="C49" s="1162">
        <f>R49</f>
        <v>19549</v>
      </c>
      <c r="D49" s="1163"/>
      <c r="E49" s="1163"/>
      <c r="F49" s="1163"/>
      <c r="G49" s="1163"/>
      <c r="H49" s="1163"/>
      <c r="I49" s="1163"/>
      <c r="J49" s="1163"/>
      <c r="K49" s="1914"/>
      <c r="L49" s="2723"/>
      <c r="M49" s="2724"/>
      <c r="N49" s="2724"/>
      <c r="O49" s="2724"/>
      <c r="P49" s="3820" t="str">
        <f>A49</f>
        <v>估价对象XX用房的比较价值（楼面单价，元/平方米）</v>
      </c>
      <c r="Q49" s="3821"/>
      <c r="R49" s="3822">
        <f>IF(F1="售价",ROUND(IF(D48="简单平均",AVERAGE(R48:V48),R48*F48+T48*H48+V48*J48),0),ROUND(IF(D48="简单平均",AVERAGE(R48:V48),R48*F48+T48*H48+V48*J48),1))</f>
        <v>19549</v>
      </c>
      <c r="S49" s="3822"/>
      <c r="T49" s="3822"/>
      <c r="U49" s="3822"/>
      <c r="V49" s="3822"/>
      <c r="W49" s="382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3.0008154389779884E-2</v>
      </c>
      <c r="F52" s="449" t="str">
        <f>IF(OR(E52&gt;=0.3,E52&lt;=-0.3),"超过30%","")</f>
        <v/>
      </c>
      <c r="G52" s="448">
        <f>IF(G47&lt;G48,G48/G47-1,G47/G48-1)</f>
        <v>4.4971583889300781E-2</v>
      </c>
      <c r="H52" s="449" t="str">
        <f>IF(OR(G52&gt;=0.3,G52&lt;=-0.3),"超过30%","")</f>
        <v/>
      </c>
      <c r="I52" s="448">
        <f>IF(I47&lt;I48,I48/I47-1,I47/I48-1)</f>
        <v>1.4037366370266868E-2</v>
      </c>
      <c r="J52" s="449" t="str">
        <f>IF(OR(I52&gt;=0.3,I52&lt;=-0.3),"超过30%","")</f>
        <v/>
      </c>
      <c r="K52" s="2729"/>
      <c r="L52" s="2725"/>
      <c r="M52" s="2724"/>
      <c r="N52" s="2724"/>
      <c r="O52" s="2724"/>
    </row>
    <row r="53" spans="1:29" ht="13.5" customHeight="1">
      <c r="A53" s="2724"/>
      <c r="B53" s="2724"/>
      <c r="C53" s="446" t="s">
        <v>1711</v>
      </c>
      <c r="D53" s="450"/>
      <c r="E53" s="448">
        <f>IF(E48&lt;G48,G48/E48-1,E48/G48-1)</f>
        <v>0.10002718129926613</v>
      </c>
      <c r="F53" s="449" t="str">
        <f>IF(OR(E53&gt;=0.2,E53&lt;=-0.2),"超过20%","")</f>
        <v/>
      </c>
      <c r="G53" s="448">
        <f>IF(G48&lt;I48,I48/G48-1,G48/I48-1)</f>
        <v>1.0840243780597447E-2</v>
      </c>
      <c r="H53" s="449" t="str">
        <f>IF(OR(G53&gt;=0.2,G53&lt;=-0.2),"超过20%","")</f>
        <v/>
      </c>
      <c r="I53" s="448">
        <f>IF(I48&lt;E48,E48/I48-1,I48/E48-1)</f>
        <v>8.8230497417776554E-2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0.11600781126299675</v>
      </c>
      <c r="F54" s="449" t="str">
        <f>IF(OR(E54&gt;=0.3,E54&lt;=-0.3),"超过30%","")</f>
        <v/>
      </c>
      <c r="G54" s="448">
        <f>IF(G47&lt;I47,I47/G47-1,G47/I47-1)</f>
        <v>4.1676929898024628E-2</v>
      </c>
      <c r="H54" s="449" t="str">
        <f>IF(OR(G54&gt;=0.3,G54&lt;=-0.3),"超过30%","")</f>
        <v/>
      </c>
      <c r="I54" s="448">
        <f>IF(I47&lt;E47,E47/I47-1,I47/E47-1)</f>
        <v>7.1356943051670507E-2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8"/>
      <c r="C59" s="1183">
        <v>100</v>
      </c>
      <c r="D59" s="460">
        <v>100</v>
      </c>
      <c r="E59" s="461">
        <v>100</v>
      </c>
      <c r="F59" s="460">
        <v>100.5</v>
      </c>
      <c r="G59" s="461">
        <v>100.5</v>
      </c>
      <c r="H59" s="460">
        <v>100.5</v>
      </c>
      <c r="I59" s="461">
        <v>100.5</v>
      </c>
      <c r="J59" s="460">
        <v>100.5</v>
      </c>
      <c r="K59" s="461">
        <v>100</v>
      </c>
      <c r="L59" s="460">
        <v>100</v>
      </c>
      <c r="M59" s="461">
        <v>100</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tr">
        <f>C27</f>
        <v>6/6(顶层）</v>
      </c>
      <c r="D90" s="503" t="s">
        <v>4388</v>
      </c>
      <c r="E90" s="503" t="str">
        <f>G27</f>
        <v>3/6(中楼层）</v>
      </c>
      <c r="F90" s="503"/>
      <c r="G90" s="503"/>
      <c r="H90" s="504"/>
      <c r="I90" s="504"/>
      <c r="J90" s="504"/>
      <c r="K90" s="504"/>
      <c r="L90" s="505"/>
      <c r="M90" s="506"/>
      <c r="N90" s="935"/>
      <c r="O90" s="935"/>
      <c r="P90" s="1922"/>
      <c r="Q90" s="508"/>
    </row>
    <row r="91" spans="1:17" s="422" customFormat="1" ht="14.4" thickBot="1">
      <c r="A91" s="502"/>
      <c r="B91" s="492"/>
      <c r="C91" s="509">
        <v>100</v>
      </c>
      <c r="D91" s="509">
        <v>103</v>
      </c>
      <c r="E91" s="509">
        <v>104.5</v>
      </c>
      <c r="F91" s="509"/>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4342</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0(含)-40</v>
      </c>
      <c r="D102" s="527" t="str">
        <f t="shared" ref="D102:L102" si="26">D103&amp;"(含)"&amp;"-"&amp;E103</f>
        <v>40(含)-80</v>
      </c>
      <c r="E102" s="527" t="str">
        <f t="shared" si="26"/>
        <v>80(含)-100</v>
      </c>
      <c r="F102" s="527" t="str">
        <f t="shared" si="26"/>
        <v>100(含)-120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40</v>
      </c>
      <c r="E103" s="544">
        <v>80</v>
      </c>
      <c r="F103" s="544">
        <v>100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f>E44</f>
        <v>1999</v>
      </c>
      <c r="D126" s="503">
        <f>G44</f>
        <v>1994</v>
      </c>
      <c r="E126" s="503">
        <f>I44</f>
        <v>2008</v>
      </c>
      <c r="F126" s="503"/>
      <c r="G126" s="503"/>
      <c r="H126" s="504"/>
      <c r="I126" s="504"/>
      <c r="J126" s="504"/>
      <c r="K126" s="504"/>
      <c r="L126" s="505"/>
      <c r="M126" s="506"/>
      <c r="N126" s="935"/>
      <c r="O126" s="935"/>
      <c r="P126" s="1922"/>
      <c r="Q126" s="508"/>
    </row>
    <row r="127" spans="1:17" s="422" customFormat="1" ht="14.4" thickBot="1">
      <c r="A127" s="502"/>
      <c r="B127" s="492"/>
      <c r="C127" s="509">
        <v>100</v>
      </c>
      <c r="D127" s="485">
        <v>99.5</v>
      </c>
      <c r="E127" s="485">
        <v>100.9</v>
      </c>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84" priority="19" stopIfTrue="1" operator="containsText" text="超过">
      <formula>NOT(ISERROR(SEARCH("超过",F52)))</formula>
    </cfRule>
  </conditionalFormatting>
  <conditionalFormatting sqref="J54">
    <cfRule type="containsText" dxfId="183" priority="18" stopIfTrue="1" operator="containsText" text="超过">
      <formula>NOT(ISERROR(SEARCH("超过",J54)))</formula>
    </cfRule>
  </conditionalFormatting>
  <conditionalFormatting sqref="H54">
    <cfRule type="containsText" dxfId="182" priority="17" stopIfTrue="1" operator="containsText" text="超过">
      <formula>NOT(ISERROR(SEARCH("超过",H54)))</formula>
    </cfRule>
  </conditionalFormatting>
  <conditionalFormatting sqref="F54">
    <cfRule type="containsText" dxfId="181" priority="16" stopIfTrue="1" operator="containsText" text="超过">
      <formula>NOT(ISERROR(SEARCH("超过",F54)))</formula>
    </cfRule>
  </conditionalFormatting>
  <conditionalFormatting sqref="F53 H53 J53">
    <cfRule type="containsText" dxfId="180" priority="15" stopIfTrue="1" operator="containsText" text="超过">
      <formula>NOT(ISERROR(SEARCH("超过",F53)))</formula>
    </cfRule>
  </conditionalFormatting>
  <conditionalFormatting sqref="E52">
    <cfRule type="expression" dxfId="179" priority="14"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t="s">
        <v>3386</v>
      </c>
      <c r="E1" s="3425"/>
      <c r="F1" s="1879" t="s">
        <v>4279</v>
      </c>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1462</v>
      </c>
      <c r="F2" s="1883" t="s">
        <v>4280</v>
      </c>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70061</v>
      </c>
      <c r="C3" s="354" t="s">
        <v>1664</v>
      </c>
      <c r="D3" s="353">
        <f>IF(D1="",'数据-汇总表'!E3,SUMIF('数据-汇总表'!$C19:$C33,D1,'数据-汇总表'!$E19:$E33))</f>
        <v>93.38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1665</v>
      </c>
      <c r="B4" s="356"/>
      <c r="C4" s="3838" t="s">
        <v>1666</v>
      </c>
      <c r="D4" s="3839"/>
      <c r="E4" s="3840" t="s">
        <v>1667</v>
      </c>
      <c r="F4" s="3841"/>
      <c r="G4" s="3838" t="s">
        <v>1668</v>
      </c>
      <c r="H4" s="3839"/>
      <c r="I4" s="3838" t="s">
        <v>1669</v>
      </c>
      <c r="J4" s="3839"/>
      <c r="K4" s="1889" t="s">
        <v>1670</v>
      </c>
      <c r="L4" s="2714"/>
      <c r="M4" s="2715"/>
      <c r="N4" s="2715"/>
      <c r="O4" s="2715"/>
      <c r="P4" s="3842" t="s">
        <v>1671</v>
      </c>
      <c r="Q4" s="3843"/>
      <c r="R4" s="3848" t="s">
        <v>1667</v>
      </c>
      <c r="S4" s="3849"/>
      <c r="T4" s="3848" t="s">
        <v>1668</v>
      </c>
      <c r="U4" s="3849"/>
      <c r="V4" s="3854" t="s">
        <v>1669</v>
      </c>
      <c r="W4" s="3854"/>
      <c r="X4" s="3533"/>
      <c r="Y4" s="3848" t="s">
        <v>1671</v>
      </c>
      <c r="Z4" s="3849"/>
      <c r="AA4" s="3835" t="s">
        <v>1667</v>
      </c>
      <c r="AB4" s="3835" t="s">
        <v>1668</v>
      </c>
      <c r="AC4" s="3835" t="s">
        <v>1669</v>
      </c>
    </row>
    <row r="5" spans="1:29">
      <c r="A5" s="358"/>
      <c r="B5" s="359"/>
      <c r="C5" s="3862" t="s">
        <v>3505</v>
      </c>
      <c r="D5" s="3858"/>
      <c r="E5" s="3865" t="str">
        <f>成交!A42</f>
        <v>丰台区莲香园1号楼6层608号</v>
      </c>
      <c r="F5" s="3866"/>
      <c r="G5" s="3857" t="str">
        <f>成交!A43</f>
        <v>丰台区莲怡园北路2号院2号楼14层1603</v>
      </c>
      <c r="H5" s="3858"/>
      <c r="I5" s="3857" t="str">
        <f>成交案例!A13</f>
        <v>莲怡园二区3号楼16层1607号</v>
      </c>
      <c r="J5" s="3858"/>
      <c r="K5" s="1890"/>
      <c r="L5" s="2714"/>
      <c r="M5" s="2715"/>
      <c r="N5" s="2715"/>
      <c r="O5" s="2715"/>
      <c r="P5" s="3844"/>
      <c r="Q5" s="3845"/>
      <c r="R5" s="3850"/>
      <c r="S5" s="3851"/>
      <c r="T5" s="3850"/>
      <c r="U5" s="3851"/>
      <c r="V5" s="3854"/>
      <c r="W5" s="3854"/>
      <c r="X5" s="3533"/>
      <c r="Y5" s="3850"/>
      <c r="Z5" s="3851"/>
      <c r="AA5" s="3836"/>
      <c r="AB5" s="3836"/>
      <c r="AC5" s="3836"/>
    </row>
    <row r="6" spans="1:29" ht="15" thickBot="1">
      <c r="A6" s="360"/>
      <c r="B6" s="361"/>
      <c r="C6" s="3855" t="s">
        <v>1676</v>
      </c>
      <c r="D6" s="3856"/>
      <c r="E6" s="3863" t="s">
        <v>1676</v>
      </c>
      <c r="F6" s="3864"/>
      <c r="G6" s="3855" t="s">
        <v>1676</v>
      </c>
      <c r="H6" s="3856"/>
      <c r="I6" s="3855" t="s">
        <v>1676</v>
      </c>
      <c r="J6" s="3856"/>
      <c r="K6" s="1890" t="s">
        <v>1677</v>
      </c>
      <c r="L6" s="2714"/>
      <c r="M6" s="2715"/>
      <c r="N6" s="2715"/>
      <c r="O6" s="2715"/>
      <c r="P6" s="3846"/>
      <c r="Q6" s="3847"/>
      <c r="R6" s="3850"/>
      <c r="S6" s="3851"/>
      <c r="T6" s="3852"/>
      <c r="U6" s="3853"/>
      <c r="V6" s="3854"/>
      <c r="W6" s="3854"/>
      <c r="X6" s="3533"/>
      <c r="Y6" s="3852"/>
      <c r="Z6" s="3853"/>
      <c r="AA6" s="3837"/>
      <c r="AB6" s="3837"/>
      <c r="AC6" s="3837"/>
    </row>
    <row r="7" spans="1:29" s="108" customFormat="1" ht="15" thickBot="1">
      <c r="A7" s="362" t="s">
        <v>1678</v>
      </c>
      <c r="B7" s="363"/>
      <c r="C7" s="364">
        <v>43100</v>
      </c>
      <c r="D7" s="365">
        <v>100</v>
      </c>
      <c r="E7" s="366" t="str">
        <f>成交!AW42</f>
        <v>2017年06月01日</v>
      </c>
      <c r="F7" s="367">
        <f>SUMIF(58:58,YEAR(E7)&amp;"-"&amp;MONTH(E7),59:59)</f>
        <v>103.8</v>
      </c>
      <c r="G7" s="366" t="str">
        <f>成交!AW43</f>
        <v>2017年06月07日</v>
      </c>
      <c r="H7" s="365">
        <f>SUMIF(58:58,YEAR(G7)&amp;"-"&amp;MONTH(G7),59:59)</f>
        <v>103.8</v>
      </c>
      <c r="I7" s="366">
        <f>成交案例!N13</f>
        <v>42840</v>
      </c>
      <c r="J7" s="365">
        <f>SUMIF(58:58,YEAR(I7)&amp;"-"&amp;MONTH(I7),59:59)</f>
        <v>100.9</v>
      </c>
      <c r="K7" s="1891"/>
      <c r="L7" s="2716"/>
      <c r="M7" s="2717"/>
      <c r="N7" s="2717"/>
      <c r="O7" s="2717"/>
      <c r="P7" s="3859" t="s">
        <v>1679</v>
      </c>
      <c r="Q7" s="3861"/>
      <c r="R7" s="701" t="s">
        <v>20</v>
      </c>
      <c r="S7" s="702">
        <f t="shared" ref="S7:S15" si="0">F7</f>
        <v>103.8</v>
      </c>
      <c r="T7" s="701" t="s">
        <v>20</v>
      </c>
      <c r="U7" s="702">
        <f t="shared" ref="U7:U15" si="1">H7</f>
        <v>103.8</v>
      </c>
      <c r="V7" s="701" t="s">
        <v>20</v>
      </c>
      <c r="W7" s="702">
        <f t="shared" ref="W7:W15" si="2">J7</f>
        <v>100.9</v>
      </c>
      <c r="X7" s="703"/>
      <c r="Y7" s="3859" t="s">
        <v>1679</v>
      </c>
      <c r="Z7" s="3860"/>
      <c r="AA7" s="704">
        <f>D7/F7</f>
        <v>0.96339113680154143</v>
      </c>
      <c r="AB7" s="704">
        <f>D7/H7</f>
        <v>0.96339113680154143</v>
      </c>
      <c r="AC7" s="704">
        <f>D7/J7</f>
        <v>0.99108027750247762</v>
      </c>
    </row>
    <row r="8" spans="1:29" s="108" customFormat="1" ht="15" thickBot="1">
      <c r="A8" s="362" t="s">
        <v>1680</v>
      </c>
      <c r="B8" s="363"/>
      <c r="C8" s="368" t="s">
        <v>3506</v>
      </c>
      <c r="D8" s="365">
        <v>100</v>
      </c>
      <c r="E8" s="1892" t="s">
        <v>3506</v>
      </c>
      <c r="F8" s="367">
        <f>SUMIF(61:61,E8,62:62)-SUMIF(61:61,C8,62:62)+100</f>
        <v>100</v>
      </c>
      <c r="G8" s="368" t="s">
        <v>3506</v>
      </c>
      <c r="H8" s="365">
        <f>SUMIF(61:61,G8,62:62)-SUMIF(61:61,C8,62:62)+100</f>
        <v>100</v>
      </c>
      <c r="I8" s="1892" t="s">
        <v>3506</v>
      </c>
      <c r="J8" s="365">
        <f>SUMIF(61:61,I8,62:62)-SUMIF(61:61,C8,62:62)+100</f>
        <v>100</v>
      </c>
      <c r="K8" s="1891"/>
      <c r="L8" s="2716"/>
      <c r="M8" s="2717"/>
      <c r="N8" s="2717"/>
      <c r="O8" s="2717"/>
      <c r="P8" s="3859" t="s">
        <v>1682</v>
      </c>
      <c r="Q8" s="3860"/>
      <c r="R8" s="701" t="s">
        <v>20</v>
      </c>
      <c r="S8" s="702">
        <f t="shared" si="0"/>
        <v>100</v>
      </c>
      <c r="T8" s="701" t="s">
        <v>20</v>
      </c>
      <c r="U8" s="702">
        <f t="shared" si="1"/>
        <v>100</v>
      </c>
      <c r="V8" s="701" t="s">
        <v>20</v>
      </c>
      <c r="W8" s="702">
        <f t="shared" si="2"/>
        <v>100</v>
      </c>
      <c r="X8" s="703"/>
      <c r="Y8" s="3859" t="s">
        <v>1682</v>
      </c>
      <c r="Z8" s="3860"/>
      <c r="AA8" s="704">
        <f t="shared" ref="AA8:AA19" si="3">D8/F8</f>
        <v>1</v>
      </c>
      <c r="AB8" s="704">
        <f t="shared" ref="AB8:AB19" si="4">D8/H8</f>
        <v>1</v>
      </c>
      <c r="AC8" s="704">
        <f t="shared" ref="AC8:AC19" si="5">D8/J8</f>
        <v>1</v>
      </c>
    </row>
    <row r="9" spans="1:29" s="108" customFormat="1" ht="15" thickBot="1">
      <c r="A9" s="369" t="s">
        <v>1683</v>
      </c>
      <c r="B9" s="63" t="s">
        <v>1684</v>
      </c>
      <c r="C9" s="3469" t="s">
        <v>3507</v>
      </c>
      <c r="D9" s="126">
        <v>100</v>
      </c>
      <c r="E9" s="371" t="s">
        <v>3386</v>
      </c>
      <c r="F9" s="372">
        <f>SUMIF(63:63,E9,64:64)-SUMIF(63:63,C9,64:64)+100</f>
        <v>100</v>
      </c>
      <c r="G9" s="371" t="s">
        <v>3386</v>
      </c>
      <c r="H9" s="126">
        <f>SUMIF(63:63,G9,64:64)-SUMIF(63:63,C9,64:64)+100</f>
        <v>100</v>
      </c>
      <c r="I9" s="371" t="s">
        <v>3386</v>
      </c>
      <c r="J9" s="126">
        <f>SUMIF(63:63,I9,64:64)-SUMIF(63:63,C9,64:64)+100</f>
        <v>100</v>
      </c>
      <c r="K9" s="1891"/>
      <c r="L9" s="2716"/>
      <c r="M9" s="2717"/>
      <c r="N9" s="2717"/>
      <c r="O9" s="2717"/>
      <c r="P9" s="3834" t="s">
        <v>1685</v>
      </c>
      <c r="Q9" s="3524" t="str">
        <f t="shared" ref="Q9:Q15" si="6">B9</f>
        <v>用途</v>
      </c>
      <c r="R9" s="701" t="s">
        <v>14</v>
      </c>
      <c r="S9" s="702">
        <f t="shared" si="0"/>
        <v>100</v>
      </c>
      <c r="T9" s="701" t="s">
        <v>14</v>
      </c>
      <c r="U9" s="702">
        <f t="shared" si="1"/>
        <v>100</v>
      </c>
      <c r="V9" s="701" t="s">
        <v>14</v>
      </c>
      <c r="W9" s="702">
        <f t="shared" si="2"/>
        <v>100</v>
      </c>
      <c r="X9" s="703"/>
      <c r="Y9" s="3717" t="s">
        <v>1686</v>
      </c>
      <c r="Z9" s="3522" t="str">
        <f t="shared" ref="Z9:Z15" si="7">Q9</f>
        <v>用途</v>
      </c>
      <c r="AA9" s="704">
        <f t="shared" si="3"/>
        <v>1</v>
      </c>
      <c r="AB9" s="704">
        <f t="shared" si="4"/>
        <v>1</v>
      </c>
      <c r="AC9" s="704">
        <f t="shared" si="5"/>
        <v>1</v>
      </c>
    </row>
    <row r="10" spans="1:29" s="378" customFormat="1" ht="29.4" hidden="1" thickBot="1">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834"/>
      <c r="Q10" s="3524" t="str">
        <f t="shared" si="6"/>
        <v>土地使用年限（年）</v>
      </c>
      <c r="R10" s="701" t="s">
        <v>14</v>
      </c>
      <c r="S10" s="702">
        <f t="shared" si="0"/>
        <v>100</v>
      </c>
      <c r="T10" s="701" t="s">
        <v>14</v>
      </c>
      <c r="U10" s="702">
        <f t="shared" si="1"/>
        <v>100</v>
      </c>
      <c r="V10" s="701" t="s">
        <v>14</v>
      </c>
      <c r="W10" s="702">
        <f t="shared" si="2"/>
        <v>100</v>
      </c>
      <c r="X10" s="703"/>
      <c r="Y10" s="3717"/>
      <c r="Z10" s="3522" t="str">
        <f t="shared" si="7"/>
        <v>土地使用年限（年）</v>
      </c>
      <c r="AA10" s="704">
        <f t="shared" si="3"/>
        <v>1</v>
      </c>
      <c r="AB10" s="704">
        <f t="shared" si="4"/>
        <v>1</v>
      </c>
      <c r="AC10" s="704">
        <f t="shared" si="5"/>
        <v>1</v>
      </c>
    </row>
    <row r="11" spans="1:29" ht="15.6" hidden="1" thickBot="1">
      <c r="A11" s="379"/>
      <c r="B11" s="375" t="s">
        <v>1688</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834"/>
      <c r="Q11" s="3524" t="str">
        <f t="shared" si="6"/>
        <v>容积率</v>
      </c>
      <c r="R11" s="701" t="s">
        <v>18</v>
      </c>
      <c r="S11" s="702">
        <f t="shared" si="0"/>
        <v>100</v>
      </c>
      <c r="T11" s="701" t="s">
        <v>18</v>
      </c>
      <c r="U11" s="702">
        <f t="shared" si="1"/>
        <v>100</v>
      </c>
      <c r="V11" s="701" t="s">
        <v>18</v>
      </c>
      <c r="W11" s="702">
        <f t="shared" si="2"/>
        <v>100</v>
      </c>
      <c r="X11" s="703"/>
      <c r="Y11" s="3717"/>
      <c r="Z11" s="3522" t="str">
        <f t="shared" si="7"/>
        <v>容积率</v>
      </c>
      <c r="AA11" s="704">
        <f t="shared" si="3"/>
        <v>1</v>
      </c>
      <c r="AB11" s="704">
        <f t="shared" si="4"/>
        <v>1</v>
      </c>
      <c r="AC11" s="704">
        <f t="shared" si="5"/>
        <v>1</v>
      </c>
    </row>
    <row r="12" spans="1:29" s="108" customFormat="1" ht="15.6"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834"/>
      <c r="Q12" s="3524">
        <f t="shared" si="6"/>
        <v>111</v>
      </c>
      <c r="R12" s="701" t="s">
        <v>18</v>
      </c>
      <c r="S12" s="702">
        <f t="shared" si="0"/>
        <v>100</v>
      </c>
      <c r="T12" s="701" t="s">
        <v>18</v>
      </c>
      <c r="U12" s="702">
        <f t="shared" si="1"/>
        <v>100</v>
      </c>
      <c r="V12" s="701" t="s">
        <v>18</v>
      </c>
      <c r="W12" s="702">
        <f t="shared" si="2"/>
        <v>100</v>
      </c>
      <c r="X12" s="703"/>
      <c r="Y12" s="3717"/>
      <c r="Z12" s="3522">
        <f t="shared" si="7"/>
        <v>111</v>
      </c>
      <c r="AA12" s="704">
        <f>D12/F12</f>
        <v>1</v>
      </c>
      <c r="AB12" s="704">
        <f>D12/H12</f>
        <v>1</v>
      </c>
      <c r="AC12" s="704">
        <f>D12/J12</f>
        <v>1</v>
      </c>
    </row>
    <row r="13" spans="1:29" ht="15.6"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834"/>
      <c r="Q13" s="3524">
        <f t="shared" si="6"/>
        <v>111</v>
      </c>
      <c r="R13" s="701" t="s">
        <v>18</v>
      </c>
      <c r="S13" s="702">
        <f t="shared" si="0"/>
        <v>100</v>
      </c>
      <c r="T13" s="701" t="s">
        <v>18</v>
      </c>
      <c r="U13" s="702">
        <f t="shared" si="1"/>
        <v>100</v>
      </c>
      <c r="V13" s="701" t="s">
        <v>18</v>
      </c>
      <c r="W13" s="702">
        <f t="shared" si="2"/>
        <v>100</v>
      </c>
      <c r="X13" s="703"/>
      <c r="Y13" s="3717"/>
      <c r="Z13" s="352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834"/>
      <c r="Q14" s="3524">
        <f t="shared" si="6"/>
        <v>111</v>
      </c>
      <c r="R14" s="701" t="s">
        <v>18</v>
      </c>
      <c r="S14" s="702">
        <f t="shared" si="0"/>
        <v>100</v>
      </c>
      <c r="T14" s="701" t="s">
        <v>18</v>
      </c>
      <c r="U14" s="702">
        <f t="shared" si="1"/>
        <v>100</v>
      </c>
      <c r="V14" s="701" t="s">
        <v>18</v>
      </c>
      <c r="W14" s="702">
        <f t="shared" si="2"/>
        <v>100</v>
      </c>
      <c r="X14" s="703"/>
      <c r="Y14" s="3717"/>
      <c r="Z14" s="352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1"/>
      <c r="M15" s="2715"/>
      <c r="N15" s="2715"/>
      <c r="O15" s="2715"/>
      <c r="P15" s="3832" t="s">
        <v>1690</v>
      </c>
      <c r="Q15" s="3531" t="str">
        <f t="shared" si="6"/>
        <v>居住社区成熟度</v>
      </c>
      <c r="R15" s="705" t="s">
        <v>18</v>
      </c>
      <c r="S15" s="706">
        <f t="shared" si="0"/>
        <v>100</v>
      </c>
      <c r="T15" s="705" t="s">
        <v>18</v>
      </c>
      <c r="U15" s="706">
        <f t="shared" si="1"/>
        <v>100</v>
      </c>
      <c r="V15" s="705" t="s">
        <v>18</v>
      </c>
      <c r="W15" s="706">
        <f t="shared" si="2"/>
        <v>100</v>
      </c>
      <c r="X15" s="3533"/>
      <c r="Y15" s="3825" t="s">
        <v>1690</v>
      </c>
      <c r="Z15" s="3534" t="str">
        <f t="shared" si="7"/>
        <v>居住社区成熟度</v>
      </c>
      <c r="AA15" s="3532">
        <f t="shared" si="3"/>
        <v>1</v>
      </c>
      <c r="AB15" s="3532">
        <f t="shared" si="4"/>
        <v>1</v>
      </c>
      <c r="AC15" s="3532">
        <f t="shared" si="5"/>
        <v>1</v>
      </c>
    </row>
    <row r="16" spans="1:29" ht="15">
      <c r="A16" s="379"/>
      <c r="B16" s="397"/>
      <c r="C16" s="398" t="s">
        <v>3600</v>
      </c>
      <c r="D16" s="399"/>
      <c r="E16" s="398" t="s">
        <v>3600</v>
      </c>
      <c r="F16" s="399"/>
      <c r="G16" s="398" t="s">
        <v>3600</v>
      </c>
      <c r="H16" s="401"/>
      <c r="I16" s="398" t="s">
        <v>3600</v>
      </c>
      <c r="J16" s="399"/>
      <c r="K16" s="1899"/>
      <c r="L16" s="2721"/>
      <c r="M16" s="2715"/>
      <c r="N16" s="2715"/>
      <c r="O16" s="2715"/>
      <c r="P16" s="3833"/>
      <c r="Q16" s="3531"/>
      <c r="R16" s="705"/>
      <c r="S16" s="706"/>
      <c r="T16" s="705"/>
      <c r="U16" s="706"/>
      <c r="V16" s="705"/>
      <c r="W16" s="706"/>
      <c r="X16" s="3533"/>
      <c r="Y16" s="3826"/>
      <c r="Z16" s="3534"/>
      <c r="AA16" s="3532">
        <v>1</v>
      </c>
      <c r="AB16" s="3532">
        <v>1</v>
      </c>
      <c r="AC16" s="3532">
        <v>1</v>
      </c>
    </row>
    <row r="17" spans="1:3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1"/>
      <c r="M17" s="2715"/>
      <c r="N17" s="2715"/>
      <c r="O17" s="2715"/>
      <c r="P17" s="3833"/>
      <c r="Q17" s="3531" t="str">
        <f>B17</f>
        <v>交通便捷度</v>
      </c>
      <c r="R17" s="705" t="s">
        <v>18</v>
      </c>
      <c r="S17" s="706">
        <f>F17</f>
        <v>100</v>
      </c>
      <c r="T17" s="705" t="s">
        <v>18</v>
      </c>
      <c r="U17" s="706">
        <f>H17</f>
        <v>100</v>
      </c>
      <c r="V17" s="705" t="s">
        <v>18</v>
      </c>
      <c r="W17" s="706">
        <f>J17</f>
        <v>100</v>
      </c>
      <c r="X17" s="3533"/>
      <c r="Y17" s="3826"/>
      <c r="Z17" s="3534" t="str">
        <f>Q17</f>
        <v>交通便捷度</v>
      </c>
      <c r="AA17" s="3532">
        <f t="shared" si="3"/>
        <v>1</v>
      </c>
      <c r="AB17" s="3532">
        <f t="shared" si="4"/>
        <v>1</v>
      </c>
      <c r="AC17" s="3532">
        <f t="shared" si="5"/>
        <v>1</v>
      </c>
    </row>
    <row r="18" spans="1:39" ht="15">
      <c r="A18" s="379"/>
      <c r="B18" s="407"/>
      <c r="C18" s="1901" t="s">
        <v>3600</v>
      </c>
      <c r="D18" s="401"/>
      <c r="E18" s="1901" t="s">
        <v>3600</v>
      </c>
      <c r="F18" s="401"/>
      <c r="G18" s="1901" t="s">
        <v>3600</v>
      </c>
      <c r="H18" s="399"/>
      <c r="I18" s="1901" t="s">
        <v>3600</v>
      </c>
      <c r="J18" s="399"/>
      <c r="K18" s="1899"/>
      <c r="L18" s="2721"/>
      <c r="M18" s="2715"/>
      <c r="N18" s="2715"/>
      <c r="O18" s="2715"/>
      <c r="P18" s="3833"/>
      <c r="Q18" s="3531"/>
      <c r="R18" s="705"/>
      <c r="S18" s="706"/>
      <c r="T18" s="705"/>
      <c r="U18" s="706"/>
      <c r="V18" s="705"/>
      <c r="W18" s="706"/>
      <c r="X18" s="3533"/>
      <c r="Y18" s="3826"/>
      <c r="Z18" s="3534"/>
      <c r="AA18" s="3532">
        <v>1</v>
      </c>
      <c r="AB18" s="3532">
        <v>1</v>
      </c>
      <c r="AC18" s="3532">
        <v>1</v>
      </c>
      <c r="AM18" s="357">
        <v>0</v>
      </c>
    </row>
    <row r="19" spans="1:3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1"/>
      <c r="M19" s="2715"/>
      <c r="N19" s="2715"/>
      <c r="O19" s="2715"/>
      <c r="P19" s="3833"/>
      <c r="Q19" s="3531" t="str">
        <f>B19</f>
        <v>公共配套设施</v>
      </c>
      <c r="R19" s="705" t="s">
        <v>18</v>
      </c>
      <c r="S19" s="706">
        <f>F19</f>
        <v>100</v>
      </c>
      <c r="T19" s="705" t="s">
        <v>18</v>
      </c>
      <c r="U19" s="706">
        <f>H19</f>
        <v>100</v>
      </c>
      <c r="V19" s="705" t="s">
        <v>18</v>
      </c>
      <c r="W19" s="706">
        <f>J19</f>
        <v>100</v>
      </c>
      <c r="X19" s="3533"/>
      <c r="Y19" s="3826"/>
      <c r="Z19" s="3534" t="str">
        <f>Q19</f>
        <v>公共配套设施</v>
      </c>
      <c r="AA19" s="3532">
        <f t="shared" si="3"/>
        <v>1</v>
      </c>
      <c r="AB19" s="3532">
        <f t="shared" si="4"/>
        <v>1</v>
      </c>
      <c r="AC19" s="3532">
        <f t="shared" si="5"/>
        <v>1</v>
      </c>
    </row>
    <row r="20" spans="1:39" ht="15">
      <c r="A20" s="379"/>
      <c r="B20" s="407"/>
      <c r="C20" s="398" t="s">
        <v>3600</v>
      </c>
      <c r="D20" s="399"/>
      <c r="E20" s="398" t="s">
        <v>3600</v>
      </c>
      <c r="F20" s="399"/>
      <c r="G20" s="398" t="s">
        <v>3600</v>
      </c>
      <c r="H20" s="399"/>
      <c r="I20" s="398" t="s">
        <v>3600</v>
      </c>
      <c r="J20" s="399"/>
      <c r="K20" s="1899"/>
      <c r="L20" s="2721"/>
      <c r="M20" s="2715"/>
      <c r="N20" s="2715"/>
      <c r="O20" s="2715"/>
      <c r="P20" s="3833"/>
      <c r="Q20" s="3531"/>
      <c r="R20" s="705"/>
      <c r="S20" s="706"/>
      <c r="T20" s="705"/>
      <c r="U20" s="706"/>
      <c r="V20" s="705"/>
      <c r="W20" s="706"/>
      <c r="X20" s="3533"/>
      <c r="Y20" s="3826"/>
      <c r="Z20" s="3534"/>
      <c r="AA20" s="3532">
        <v>1</v>
      </c>
      <c r="AB20" s="3532">
        <v>1</v>
      </c>
      <c r="AC20" s="3532">
        <v>1</v>
      </c>
    </row>
    <row r="21" spans="1:3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1"/>
      <c r="M21" s="2715"/>
      <c r="N21" s="2715"/>
      <c r="O21" s="2715"/>
      <c r="P21" s="3833"/>
      <c r="Q21" s="3531" t="str">
        <f>B21</f>
        <v>基础设施水平</v>
      </c>
      <c r="R21" s="705" t="s">
        <v>14</v>
      </c>
      <c r="S21" s="706">
        <f>F21</f>
        <v>100</v>
      </c>
      <c r="T21" s="705" t="s">
        <v>14</v>
      </c>
      <c r="U21" s="706">
        <f>H21</f>
        <v>100</v>
      </c>
      <c r="V21" s="705" t="s">
        <v>14</v>
      </c>
      <c r="W21" s="706">
        <f>J21</f>
        <v>100</v>
      </c>
      <c r="X21" s="3533"/>
      <c r="Y21" s="3826"/>
      <c r="Z21" s="3534" t="str">
        <f>Q21</f>
        <v>基础设施水平</v>
      </c>
      <c r="AA21" s="3532">
        <f t="shared" ref="AA21" si="8">D21/F21</f>
        <v>1</v>
      </c>
      <c r="AB21" s="3532">
        <f t="shared" ref="AB21" si="9">D21/H21</f>
        <v>1</v>
      </c>
      <c r="AC21" s="3532">
        <f t="shared" ref="AC21" si="10">D21/J21</f>
        <v>1</v>
      </c>
    </row>
    <row r="22" spans="1:39" ht="15">
      <c r="A22" s="379"/>
      <c r="B22" s="1131"/>
      <c r="C22" s="1901" t="s">
        <v>3601</v>
      </c>
      <c r="D22" s="399"/>
      <c r="E22" s="1901" t="s">
        <v>3601</v>
      </c>
      <c r="F22" s="399"/>
      <c r="G22" s="1901" t="s">
        <v>3601</v>
      </c>
      <c r="H22" s="399"/>
      <c r="I22" s="1901" t="s">
        <v>3601</v>
      </c>
      <c r="J22" s="399"/>
      <c r="K22" s="1905"/>
      <c r="L22" s="2721"/>
      <c r="M22" s="2715"/>
      <c r="N22" s="2715"/>
      <c r="O22" s="2715"/>
      <c r="P22" s="3833"/>
      <c r="Q22" s="3531"/>
      <c r="R22" s="705"/>
      <c r="S22" s="706"/>
      <c r="T22" s="705"/>
      <c r="U22" s="706"/>
      <c r="V22" s="705"/>
      <c r="W22" s="706"/>
      <c r="X22" s="3533"/>
      <c r="Y22" s="3826"/>
      <c r="Z22" s="3534"/>
      <c r="AA22" s="3532">
        <v>1</v>
      </c>
      <c r="AB22" s="3532">
        <v>1</v>
      </c>
      <c r="AC22" s="3532">
        <v>1</v>
      </c>
    </row>
    <row r="23" spans="1:3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1"/>
      <c r="M23" s="2715"/>
      <c r="N23" s="2715"/>
      <c r="O23" s="2715"/>
      <c r="P23" s="3833"/>
      <c r="Q23" s="3531" t="str">
        <f>B23</f>
        <v>自然及人文环境</v>
      </c>
      <c r="R23" s="705" t="s">
        <v>18</v>
      </c>
      <c r="S23" s="706">
        <f>F23</f>
        <v>100</v>
      </c>
      <c r="T23" s="705" t="s">
        <v>18</v>
      </c>
      <c r="U23" s="706">
        <f>H23</f>
        <v>100</v>
      </c>
      <c r="V23" s="705" t="s">
        <v>18</v>
      </c>
      <c r="W23" s="706">
        <f>J23</f>
        <v>100</v>
      </c>
      <c r="X23" s="3533"/>
      <c r="Y23" s="3826"/>
      <c r="Z23" s="3534" t="str">
        <f>Q23</f>
        <v>自然及人文环境</v>
      </c>
      <c r="AA23" s="3532">
        <f>D23/F23</f>
        <v>1</v>
      </c>
      <c r="AB23" s="3532">
        <f>D23/H23</f>
        <v>1</v>
      </c>
      <c r="AC23" s="3532">
        <f>D23/J23</f>
        <v>1</v>
      </c>
    </row>
    <row r="24" spans="1:39" ht="15">
      <c r="A24" s="379"/>
      <c r="B24" s="407"/>
      <c r="C24" s="398" t="s">
        <v>3600</v>
      </c>
      <c r="D24" s="399"/>
      <c r="E24" s="398" t="s">
        <v>3600</v>
      </c>
      <c r="F24" s="399"/>
      <c r="G24" s="398" t="s">
        <v>3600</v>
      </c>
      <c r="H24" s="399"/>
      <c r="I24" s="398" t="s">
        <v>3600</v>
      </c>
      <c r="J24" s="399"/>
      <c r="K24" s="1899"/>
      <c r="L24" s="2721"/>
      <c r="M24" s="2715"/>
      <c r="N24" s="2715"/>
      <c r="O24" s="2715"/>
      <c r="P24" s="3833"/>
      <c r="Q24" s="3531"/>
      <c r="R24" s="705"/>
      <c r="S24" s="706"/>
      <c r="T24" s="705"/>
      <c r="U24" s="706"/>
      <c r="V24" s="705"/>
      <c r="W24" s="706"/>
      <c r="X24" s="3533"/>
      <c r="Y24" s="3826"/>
      <c r="Z24" s="3534"/>
      <c r="AA24" s="3532">
        <v>1</v>
      </c>
      <c r="AB24" s="3532">
        <v>1</v>
      </c>
      <c r="AC24" s="3532">
        <v>1</v>
      </c>
    </row>
    <row r="25" spans="1:39" ht="15" hidden="1">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33"/>
      <c r="Q25" s="3531" t="str">
        <f t="shared" ref="Q25:Q46" si="11">B25</f>
        <v>楼层-1</v>
      </c>
      <c r="R25" s="705" t="s">
        <v>18</v>
      </c>
      <c r="S25" s="706">
        <f t="shared" ref="S25:S46" si="12">F25</f>
        <v>100</v>
      </c>
      <c r="T25" s="705" t="s">
        <v>18</v>
      </c>
      <c r="U25" s="706">
        <f t="shared" ref="U25:U46" si="13">H25</f>
        <v>100</v>
      </c>
      <c r="V25" s="705" t="s">
        <v>18</v>
      </c>
      <c r="W25" s="706">
        <f t="shared" ref="W25:W46" si="14">J25</f>
        <v>100</v>
      </c>
      <c r="X25" s="3533"/>
      <c r="Y25" s="3826"/>
      <c r="Z25" s="3534" t="str">
        <f>Q25</f>
        <v>楼层-1</v>
      </c>
      <c r="AA25" s="3532">
        <f t="shared" ref="AA25:AA46" si="15">D25/F25</f>
        <v>1</v>
      </c>
      <c r="AB25" s="3532">
        <f t="shared" ref="AB25:AB46" si="16">D25/H25</f>
        <v>1</v>
      </c>
      <c r="AC25" s="3532">
        <f t="shared" ref="AC25:AC46" si="17">D25/J25</f>
        <v>1</v>
      </c>
    </row>
    <row r="26" spans="1:39" ht="15">
      <c r="A26" s="379"/>
      <c r="B26" s="375" t="s">
        <v>1692</v>
      </c>
      <c r="C26" s="411" t="s">
        <v>4273</v>
      </c>
      <c r="D26" s="386">
        <v>100</v>
      </c>
      <c r="E26" s="1906" t="s">
        <v>4267</v>
      </c>
      <c r="F26" s="386">
        <f>SUMIF(88:88,E26,89:89)-SUMIF(88:88,C26,89:89)+100</f>
        <v>99</v>
      </c>
      <c r="G26" s="1907" t="s">
        <v>4273</v>
      </c>
      <c r="H26" s="386">
        <f>SUMIF(88:88,G26,89:89)-SUMIF(88:88,C26,89:89)+100</f>
        <v>100</v>
      </c>
      <c r="I26" s="1907" t="s">
        <v>4292</v>
      </c>
      <c r="J26" s="386">
        <f>SUMIF(88:88,I26,89:89)-SUMIF(88:88,C26,89:89)+100</f>
        <v>99.5</v>
      </c>
      <c r="K26" s="377">
        <v>0.5</v>
      </c>
      <c r="L26" s="2721"/>
      <c r="M26" s="2715"/>
      <c r="N26" s="2715"/>
      <c r="O26" s="2715"/>
      <c r="P26" s="3833"/>
      <c r="Q26" s="3531" t="str">
        <f t="shared" si="11"/>
        <v>朝向</v>
      </c>
      <c r="R26" s="705" t="s">
        <v>18</v>
      </c>
      <c r="S26" s="706">
        <f t="shared" si="12"/>
        <v>99</v>
      </c>
      <c r="T26" s="705" t="s">
        <v>18</v>
      </c>
      <c r="U26" s="706">
        <f t="shared" si="13"/>
        <v>100</v>
      </c>
      <c r="V26" s="705" t="s">
        <v>18</v>
      </c>
      <c r="W26" s="706">
        <f t="shared" si="14"/>
        <v>99.5</v>
      </c>
      <c r="X26" s="3533"/>
      <c r="Y26" s="3826"/>
      <c r="Z26" s="3534" t="str">
        <f>Q26</f>
        <v>朝向</v>
      </c>
      <c r="AA26" s="3532">
        <f t="shared" si="15"/>
        <v>1.0101010101010102</v>
      </c>
      <c r="AB26" s="3532">
        <f t="shared" si="16"/>
        <v>1</v>
      </c>
      <c r="AC26" s="3532">
        <f t="shared" si="17"/>
        <v>1.0050251256281406</v>
      </c>
    </row>
    <row r="27" spans="1:39" s="108" customFormat="1" ht="15">
      <c r="A27" s="382"/>
      <c r="B27" s="3540" t="s">
        <v>4221</v>
      </c>
      <c r="C27" s="383" t="str">
        <f>C90</f>
        <v>9/16（中楼层）</v>
      </c>
      <c r="D27" s="413">
        <v>100</v>
      </c>
      <c r="E27" s="416" t="s">
        <v>4284</v>
      </c>
      <c r="F27" s="413">
        <f>SUMIF(90:90,E27,91:91)-SUMIF(90:90,C27,91:91)+100</f>
        <v>100</v>
      </c>
      <c r="G27" s="416" t="s">
        <v>4285</v>
      </c>
      <c r="H27" s="413">
        <f>SUMIF(90:90,G27,91:91)-SUMIF(90:90,C27,91:91)+100</f>
        <v>100</v>
      </c>
      <c r="I27" s="414" t="s">
        <v>4286</v>
      </c>
      <c r="J27" s="413">
        <f>SUMIF(90:90,I27,91:91)-SUMIF(90:90,C27,91:91)+100</f>
        <v>102</v>
      </c>
      <c r="K27" s="1894"/>
      <c r="L27" s="2716"/>
      <c r="M27" s="2717"/>
      <c r="N27" s="2717"/>
      <c r="O27" s="2717"/>
      <c r="P27" s="3833"/>
      <c r="Q27" s="3524" t="str">
        <f t="shared" si="11"/>
        <v>楼层</v>
      </c>
      <c r="R27" s="701" t="s">
        <v>18</v>
      </c>
      <c r="S27" s="702">
        <f t="shared" si="12"/>
        <v>100</v>
      </c>
      <c r="T27" s="701" t="s">
        <v>18</v>
      </c>
      <c r="U27" s="702">
        <f t="shared" si="13"/>
        <v>100</v>
      </c>
      <c r="V27" s="701" t="s">
        <v>18</v>
      </c>
      <c r="W27" s="702">
        <f t="shared" si="14"/>
        <v>102</v>
      </c>
      <c r="X27" s="703"/>
      <c r="Y27" s="3826"/>
      <c r="Z27" s="3522" t="str">
        <f>Q27</f>
        <v>楼层</v>
      </c>
      <c r="AA27" s="3532">
        <f t="shared" si="15"/>
        <v>1</v>
      </c>
      <c r="AB27" s="3532">
        <f t="shared" si="16"/>
        <v>1</v>
      </c>
      <c r="AC27" s="3532">
        <f t="shared" si="17"/>
        <v>0.98039215686274506</v>
      </c>
    </row>
    <row r="28" spans="1:39" ht="15.6" thickBot="1">
      <c r="A28" s="379"/>
      <c r="B28" s="3540" t="s">
        <v>4240</v>
      </c>
      <c r="C28" s="3561" t="s">
        <v>4271</v>
      </c>
      <c r="D28" s="386">
        <v>100</v>
      </c>
      <c r="E28" s="3562" t="s">
        <v>4283</v>
      </c>
      <c r="F28" s="386">
        <f>SUMIF(92:92,E28,93:93)-SUMIF(92:92,C28,93:93)+100</f>
        <v>102</v>
      </c>
      <c r="G28" s="3561" t="s">
        <v>4271</v>
      </c>
      <c r="H28" s="386">
        <f>SUMIF(92:92,G28,93:93)-SUMIF(92:92,C28,93:93)+100</f>
        <v>100</v>
      </c>
      <c r="I28" s="3561" t="s">
        <v>4271</v>
      </c>
      <c r="J28" s="386">
        <f>SUMIF(92:92,I28,93:93)-SUMIF(92:92,C28,93:93)+100</f>
        <v>100</v>
      </c>
      <c r="K28" s="1894"/>
      <c r="L28" s="2721"/>
      <c r="M28" s="2715"/>
      <c r="N28" s="2715"/>
      <c r="O28" s="2715"/>
      <c r="P28" s="3833"/>
      <c r="Q28" s="3531" t="str">
        <f t="shared" si="11"/>
        <v>道路</v>
      </c>
      <c r="R28" s="705" t="s">
        <v>18</v>
      </c>
      <c r="S28" s="706">
        <f t="shared" si="12"/>
        <v>102</v>
      </c>
      <c r="T28" s="705" t="s">
        <v>18</v>
      </c>
      <c r="U28" s="706">
        <f t="shared" si="13"/>
        <v>100</v>
      </c>
      <c r="V28" s="705" t="s">
        <v>18</v>
      </c>
      <c r="W28" s="706">
        <f t="shared" si="14"/>
        <v>100</v>
      </c>
      <c r="X28" s="3533"/>
      <c r="Y28" s="3826"/>
      <c r="Z28" s="3534" t="str">
        <f t="shared" ref="Z28:Z46" si="18">Q28</f>
        <v>道路</v>
      </c>
      <c r="AA28" s="3532">
        <f t="shared" si="15"/>
        <v>0.98039215686274506</v>
      </c>
      <c r="AB28" s="3532">
        <f t="shared" si="16"/>
        <v>1</v>
      </c>
      <c r="AC28" s="3532">
        <f t="shared" si="17"/>
        <v>1</v>
      </c>
    </row>
    <row r="29" spans="1:39" ht="15.6"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33"/>
      <c r="Q29" s="3531">
        <f t="shared" si="11"/>
        <v>111</v>
      </c>
      <c r="R29" s="705" t="s">
        <v>18</v>
      </c>
      <c r="S29" s="706">
        <f t="shared" si="12"/>
        <v>100</v>
      </c>
      <c r="T29" s="705" t="s">
        <v>18</v>
      </c>
      <c r="U29" s="706">
        <f t="shared" si="13"/>
        <v>100</v>
      </c>
      <c r="V29" s="705" t="s">
        <v>18</v>
      </c>
      <c r="W29" s="706">
        <f t="shared" si="14"/>
        <v>100</v>
      </c>
      <c r="X29" s="3533"/>
      <c r="Y29" s="3826"/>
      <c r="Z29" s="3534">
        <f t="shared" si="18"/>
        <v>111</v>
      </c>
      <c r="AA29" s="3532">
        <f t="shared" si="15"/>
        <v>1</v>
      </c>
      <c r="AB29" s="3532">
        <f t="shared" si="16"/>
        <v>1</v>
      </c>
      <c r="AC29" s="3532">
        <f t="shared" si="17"/>
        <v>1</v>
      </c>
    </row>
    <row r="30" spans="1:39" ht="15.6"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33"/>
      <c r="Q30" s="3531">
        <f t="shared" si="11"/>
        <v>111</v>
      </c>
      <c r="R30" s="705" t="s">
        <v>18</v>
      </c>
      <c r="S30" s="706">
        <f t="shared" si="12"/>
        <v>100</v>
      </c>
      <c r="T30" s="705" t="s">
        <v>18</v>
      </c>
      <c r="U30" s="706">
        <f t="shared" si="13"/>
        <v>100</v>
      </c>
      <c r="V30" s="705" t="s">
        <v>18</v>
      </c>
      <c r="W30" s="706">
        <f t="shared" si="14"/>
        <v>100</v>
      </c>
      <c r="X30" s="3533"/>
      <c r="Y30" s="3826"/>
      <c r="Z30" s="3534">
        <f t="shared" si="18"/>
        <v>111</v>
      </c>
      <c r="AA30" s="3532">
        <f t="shared" si="15"/>
        <v>1</v>
      </c>
      <c r="AB30" s="3532">
        <f t="shared" si="16"/>
        <v>1</v>
      </c>
      <c r="AC30" s="3532">
        <f t="shared" si="17"/>
        <v>1</v>
      </c>
    </row>
    <row r="31" spans="1:3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33"/>
      <c r="Q31" s="3531">
        <f t="shared" si="11"/>
        <v>111</v>
      </c>
      <c r="R31" s="705" t="s">
        <v>18</v>
      </c>
      <c r="S31" s="706">
        <f t="shared" si="12"/>
        <v>100</v>
      </c>
      <c r="T31" s="705" t="s">
        <v>18</v>
      </c>
      <c r="U31" s="706">
        <f t="shared" si="13"/>
        <v>100</v>
      </c>
      <c r="V31" s="705" t="s">
        <v>18</v>
      </c>
      <c r="W31" s="706">
        <f t="shared" si="14"/>
        <v>100</v>
      </c>
      <c r="X31" s="3533"/>
      <c r="Y31" s="3826"/>
      <c r="Z31" s="3534">
        <f t="shared" si="18"/>
        <v>111</v>
      </c>
      <c r="AA31" s="3532">
        <f t="shared" si="15"/>
        <v>1</v>
      </c>
      <c r="AB31" s="3532">
        <f t="shared" si="16"/>
        <v>1</v>
      </c>
      <c r="AC31" s="3532">
        <f t="shared" si="17"/>
        <v>1</v>
      </c>
    </row>
    <row r="32" spans="1:39" ht="15">
      <c r="A32" s="391" t="s">
        <v>1693</v>
      </c>
      <c r="B32" s="63" t="s">
        <v>1694</v>
      </c>
      <c r="C32" s="1910" t="s">
        <v>4232</v>
      </c>
      <c r="D32" s="418">
        <v>100</v>
      </c>
      <c r="E32" s="1911" t="s">
        <v>4234</v>
      </c>
      <c r="F32" s="412">
        <f>SUMIF(100:100,E32,101:101)-SUMIF(100:100,C32,101:101)+100</f>
        <v>94</v>
      </c>
      <c r="G32" s="1910" t="s">
        <v>4234</v>
      </c>
      <c r="H32" s="418">
        <f>SUMIF(100:100,G32,101:101)-SUMIF(100:100,C32,101:101)+100</f>
        <v>94</v>
      </c>
      <c r="I32" s="1911" t="s">
        <v>4234</v>
      </c>
      <c r="J32" s="386">
        <f>SUMIF(100:100,I32,101:101)-SUMIF(100:100,C32,101:101)+100</f>
        <v>94</v>
      </c>
      <c r="K32" s="377">
        <v>2</v>
      </c>
      <c r="L32" s="2721"/>
      <c r="M32" s="2715"/>
      <c r="N32" s="2715"/>
      <c r="O32" s="2715"/>
      <c r="P32" s="3827" t="s">
        <v>1695</v>
      </c>
      <c r="Q32" s="3531" t="str">
        <f t="shared" si="11"/>
        <v>建筑类型</v>
      </c>
      <c r="R32" s="705" t="s">
        <v>18</v>
      </c>
      <c r="S32" s="706">
        <f t="shared" si="12"/>
        <v>94</v>
      </c>
      <c r="T32" s="705" t="s">
        <v>18</v>
      </c>
      <c r="U32" s="706">
        <f t="shared" si="13"/>
        <v>94</v>
      </c>
      <c r="V32" s="705" t="s">
        <v>18</v>
      </c>
      <c r="W32" s="706">
        <f t="shared" si="14"/>
        <v>94</v>
      </c>
      <c r="X32" s="3533"/>
      <c r="Y32" s="3830" t="s">
        <v>1695</v>
      </c>
      <c r="Z32" s="3534" t="str">
        <f t="shared" si="18"/>
        <v>建筑类型</v>
      </c>
      <c r="AA32" s="3532">
        <f t="shared" si="15"/>
        <v>1.0638297872340425</v>
      </c>
      <c r="AB32" s="3532">
        <f t="shared" si="16"/>
        <v>1.0638297872340425</v>
      </c>
      <c r="AC32" s="3532">
        <f t="shared" si="17"/>
        <v>1.0638297872340425</v>
      </c>
    </row>
    <row r="33" spans="1:29" s="422" customFormat="1" ht="15">
      <c r="A33" s="419"/>
      <c r="B33" s="375" t="s">
        <v>1696</v>
      </c>
      <c r="C33" s="420">
        <f>'数据-汇总表'!E19</f>
        <v>93.38</v>
      </c>
      <c r="D33" s="127">
        <v>100</v>
      </c>
      <c r="E33" s="381">
        <f>成交!B42</f>
        <v>82.11</v>
      </c>
      <c r="F33" s="376">
        <f>LOOKUP(E33,103:103,104:104)-LOOKUP(C33,103:103,104:104)+100</f>
        <v>102</v>
      </c>
      <c r="G33" s="380">
        <f>成交!B43</f>
        <v>72.77</v>
      </c>
      <c r="H33" s="127">
        <f>LOOKUP(G33,103:103,104:104)-LOOKUP(C33,103:103,104:104)+100</f>
        <v>102</v>
      </c>
      <c r="I33" s="381">
        <f>成交案例!E13</f>
        <v>90.99</v>
      </c>
      <c r="J33" s="127">
        <f>LOOKUP(I33,103:103,104:104)-LOOKUP(C33,103:103,104:104)+100</f>
        <v>100</v>
      </c>
      <c r="K33" s="1894"/>
      <c r="L33" s="2720"/>
      <c r="M33" s="2722"/>
      <c r="N33" s="2722"/>
      <c r="O33" s="2722"/>
      <c r="P33" s="3828"/>
      <c r="Q33" s="707" t="str">
        <f t="shared" si="11"/>
        <v>项目建筑规模</v>
      </c>
      <c r="R33" s="708" t="s">
        <v>18</v>
      </c>
      <c r="S33" s="709">
        <f t="shared" si="12"/>
        <v>102</v>
      </c>
      <c r="T33" s="708" t="s">
        <v>18</v>
      </c>
      <c r="U33" s="709">
        <f t="shared" si="13"/>
        <v>102</v>
      </c>
      <c r="V33" s="708" t="s">
        <v>18</v>
      </c>
      <c r="W33" s="709">
        <f t="shared" si="14"/>
        <v>100</v>
      </c>
      <c r="X33" s="710"/>
      <c r="Y33" s="3830"/>
      <c r="Z33" s="711" t="str">
        <f t="shared" si="18"/>
        <v>项目建筑规模</v>
      </c>
      <c r="AA33" s="3532">
        <f t="shared" si="15"/>
        <v>0.98039215686274506</v>
      </c>
      <c r="AB33" s="3532">
        <f t="shared" si="16"/>
        <v>0.98039215686274506</v>
      </c>
      <c r="AC33" s="3532">
        <f t="shared" si="17"/>
        <v>1</v>
      </c>
    </row>
    <row r="34" spans="1:29" ht="15">
      <c r="A34" s="423"/>
      <c r="B34" s="375" t="s">
        <v>1697</v>
      </c>
      <c r="C34" s="1912" t="s">
        <v>3394</v>
      </c>
      <c r="D34" s="386">
        <v>100</v>
      </c>
      <c r="E34" s="1912" t="s">
        <v>3394</v>
      </c>
      <c r="F34" s="412">
        <f>SUMIF(105:105,E34,106:106)-SUMIF(105:105,C34,106:106)+100</f>
        <v>100</v>
      </c>
      <c r="G34" s="1912" t="s">
        <v>3394</v>
      </c>
      <c r="H34" s="386">
        <f>SUMIF(105:105,G34,106:106)-SUMIF(105:105,C34,106:106)+100</f>
        <v>100</v>
      </c>
      <c r="I34" s="1912" t="s">
        <v>3394</v>
      </c>
      <c r="J34" s="386">
        <f>SUMIF(105:105,I34,106:106)-SUMIF(105:105,C34,106:106)+100</f>
        <v>100</v>
      </c>
      <c r="K34" s="377">
        <v>2</v>
      </c>
      <c r="L34" s="2721"/>
      <c r="M34" s="2715"/>
      <c r="N34" s="2715"/>
      <c r="O34" s="2715"/>
      <c r="P34" s="3828"/>
      <c r="Q34" s="3531" t="str">
        <f t="shared" si="11"/>
        <v>建筑结构</v>
      </c>
      <c r="R34" s="705" t="s">
        <v>18</v>
      </c>
      <c r="S34" s="706">
        <f t="shared" si="12"/>
        <v>100</v>
      </c>
      <c r="T34" s="705" t="s">
        <v>18</v>
      </c>
      <c r="U34" s="706">
        <f t="shared" si="13"/>
        <v>100</v>
      </c>
      <c r="V34" s="705" t="s">
        <v>18</v>
      </c>
      <c r="W34" s="706">
        <f t="shared" si="14"/>
        <v>100</v>
      </c>
      <c r="X34" s="3533"/>
      <c r="Y34" s="3830"/>
      <c r="Z34" s="3534" t="str">
        <f t="shared" si="18"/>
        <v>建筑结构</v>
      </c>
      <c r="AA34" s="3532">
        <f t="shared" si="15"/>
        <v>1</v>
      </c>
      <c r="AB34" s="3532">
        <f t="shared" si="16"/>
        <v>1</v>
      </c>
      <c r="AC34" s="3532">
        <f t="shared" si="17"/>
        <v>1</v>
      </c>
    </row>
    <row r="35" spans="1:29" ht="15">
      <c r="A35" s="423"/>
      <c r="B35" s="375" t="s">
        <v>1698</v>
      </c>
      <c r="C35" s="1906" t="s">
        <v>3600</v>
      </c>
      <c r="D35" s="386">
        <v>100</v>
      </c>
      <c r="E35" s="1906" t="s">
        <v>3600</v>
      </c>
      <c r="F35" s="412">
        <f>SUMIF(107:107,E35,108:108)-SUMIF(107:107,C35,108:108)+100</f>
        <v>100</v>
      </c>
      <c r="G35" s="1906" t="s">
        <v>3600</v>
      </c>
      <c r="H35" s="386">
        <f>SUMIF(107:107,G35,108:108)-SUMIF(107:107,C35,108:108)+100</f>
        <v>100</v>
      </c>
      <c r="I35" s="1906" t="s">
        <v>3600</v>
      </c>
      <c r="J35" s="386">
        <f>SUMIF(107:107,I35,108:108)-SUMIF(107:107,C35,108:108)+100</f>
        <v>100</v>
      </c>
      <c r="K35" s="377">
        <v>2</v>
      </c>
      <c r="L35" s="2721"/>
      <c r="M35" s="2715"/>
      <c r="N35" s="2715"/>
      <c r="O35" s="2715"/>
      <c r="P35" s="3828"/>
      <c r="Q35" s="3531" t="str">
        <f t="shared" si="11"/>
        <v>建筑品质</v>
      </c>
      <c r="R35" s="705" t="s">
        <v>18</v>
      </c>
      <c r="S35" s="706">
        <f t="shared" si="12"/>
        <v>100</v>
      </c>
      <c r="T35" s="705" t="s">
        <v>18</v>
      </c>
      <c r="U35" s="706">
        <f t="shared" si="13"/>
        <v>100</v>
      </c>
      <c r="V35" s="705" t="s">
        <v>18</v>
      </c>
      <c r="W35" s="706">
        <f t="shared" si="14"/>
        <v>100</v>
      </c>
      <c r="X35" s="3533"/>
      <c r="Y35" s="3830"/>
      <c r="Z35" s="3534" t="str">
        <f t="shared" si="18"/>
        <v>建筑品质</v>
      </c>
      <c r="AA35" s="3532">
        <f t="shared" si="15"/>
        <v>1</v>
      </c>
      <c r="AB35" s="3532">
        <f t="shared" si="16"/>
        <v>1</v>
      </c>
      <c r="AC35" s="3532">
        <f t="shared" si="17"/>
        <v>1</v>
      </c>
    </row>
    <row r="36" spans="1:29" ht="15">
      <c r="A36" s="423"/>
      <c r="B36" s="375" t="s">
        <v>1699</v>
      </c>
      <c r="C36" s="1906" t="s">
        <v>4228</v>
      </c>
      <c r="D36" s="386">
        <v>100</v>
      </c>
      <c r="E36" s="1906" t="s">
        <v>4228</v>
      </c>
      <c r="F36" s="412">
        <f>SUMIF(109:109,E36,110:110)-SUMIF(109:109,C36,110:110)+100</f>
        <v>100</v>
      </c>
      <c r="G36" s="1906" t="s">
        <v>4228</v>
      </c>
      <c r="H36" s="386">
        <f>SUMIF(109:109,G36,110:110)-SUMIF(109:109,C36,110:110)+100</f>
        <v>100</v>
      </c>
      <c r="I36" s="1907" t="s">
        <v>4228</v>
      </c>
      <c r="J36" s="386">
        <f>SUMIF(109:109,I36,110:110)-SUMIF(109:109,C36,110:110)+100</f>
        <v>100</v>
      </c>
      <c r="K36" s="377">
        <v>2</v>
      </c>
      <c r="L36" s="2721"/>
      <c r="M36" s="2715"/>
      <c r="N36" s="2715"/>
      <c r="O36" s="2715"/>
      <c r="P36" s="3828"/>
      <c r="Q36" s="3531" t="str">
        <f t="shared" si="11"/>
        <v>公共部分装修</v>
      </c>
      <c r="R36" s="705" t="s">
        <v>18</v>
      </c>
      <c r="S36" s="706">
        <f t="shared" si="12"/>
        <v>100</v>
      </c>
      <c r="T36" s="705" t="s">
        <v>18</v>
      </c>
      <c r="U36" s="706">
        <f t="shared" si="13"/>
        <v>100</v>
      </c>
      <c r="V36" s="705" t="s">
        <v>18</v>
      </c>
      <c r="W36" s="706">
        <f t="shared" si="14"/>
        <v>100</v>
      </c>
      <c r="X36" s="3533"/>
      <c r="Y36" s="3830"/>
      <c r="Z36" s="3534" t="str">
        <f t="shared" si="18"/>
        <v>公共部分装修</v>
      </c>
      <c r="AA36" s="3532">
        <f t="shared" si="15"/>
        <v>1</v>
      </c>
      <c r="AB36" s="3532">
        <f t="shared" si="16"/>
        <v>1</v>
      </c>
      <c r="AC36" s="3532">
        <f t="shared" si="17"/>
        <v>1</v>
      </c>
    </row>
    <row r="37" spans="1:29" s="108" customFormat="1" ht="15" hidden="1">
      <c r="A37" s="424"/>
      <c r="B37" s="375" t="s">
        <v>1700</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6"/>
      <c r="M37" s="2717"/>
      <c r="N37" s="2717"/>
      <c r="O37" s="2717"/>
      <c r="P37" s="3828"/>
      <c r="Q37" s="3524" t="str">
        <f t="shared" si="11"/>
        <v>成新度</v>
      </c>
      <c r="R37" s="701" t="s">
        <v>18</v>
      </c>
      <c r="S37" s="702">
        <f t="shared" si="12"/>
        <v>100</v>
      </c>
      <c r="T37" s="701" t="s">
        <v>18</v>
      </c>
      <c r="U37" s="702">
        <f t="shared" si="13"/>
        <v>100</v>
      </c>
      <c r="V37" s="701" t="s">
        <v>18</v>
      </c>
      <c r="W37" s="702">
        <f t="shared" si="14"/>
        <v>100</v>
      </c>
      <c r="X37" s="703"/>
      <c r="Y37" s="3830"/>
      <c r="Z37" s="3522" t="str">
        <f t="shared" si="18"/>
        <v>成新度</v>
      </c>
      <c r="AA37" s="704">
        <f t="shared" si="15"/>
        <v>1</v>
      </c>
      <c r="AB37" s="704">
        <f t="shared" si="16"/>
        <v>1</v>
      </c>
      <c r="AC37" s="704">
        <f t="shared" si="17"/>
        <v>1</v>
      </c>
    </row>
    <row r="38" spans="1:29" ht="15">
      <c r="A38" s="423"/>
      <c r="B38" s="375" t="s">
        <v>1701</v>
      </c>
      <c r="C38" s="1906" t="s">
        <v>4259</v>
      </c>
      <c r="D38" s="386">
        <v>100</v>
      </c>
      <c r="E38" s="1906" t="s">
        <v>4259</v>
      </c>
      <c r="F38" s="412">
        <f>SUMIF(114:114,E38,115:115)-SUMIF(114:114,C38,115:115)+100</f>
        <v>100</v>
      </c>
      <c r="G38" s="1906" t="s">
        <v>4259</v>
      </c>
      <c r="H38" s="386">
        <f>SUMIF(114:114,G38,115:115)-SUMIF(114:114,C38,115:115)+100</f>
        <v>100</v>
      </c>
      <c r="I38" s="1906" t="s">
        <v>4259</v>
      </c>
      <c r="J38" s="386">
        <f>SUMIF(114:114,I38,115:115)-SUMIF(114:114,C38,115:115)+100</f>
        <v>100</v>
      </c>
      <c r="K38" s="377">
        <v>2</v>
      </c>
      <c r="L38" s="2721"/>
      <c r="M38" s="2715"/>
      <c r="N38" s="2715"/>
      <c r="O38" s="2715"/>
      <c r="P38" s="3828" t="s">
        <v>1695</v>
      </c>
      <c r="Q38" s="3531" t="str">
        <f t="shared" si="11"/>
        <v>物业管理</v>
      </c>
      <c r="R38" s="705" t="s">
        <v>18</v>
      </c>
      <c r="S38" s="706">
        <f t="shared" si="12"/>
        <v>100</v>
      </c>
      <c r="T38" s="705" t="s">
        <v>18</v>
      </c>
      <c r="U38" s="706">
        <f t="shared" si="13"/>
        <v>100</v>
      </c>
      <c r="V38" s="705" t="s">
        <v>18</v>
      </c>
      <c r="W38" s="706">
        <f t="shared" si="14"/>
        <v>100</v>
      </c>
      <c r="X38" s="3533"/>
      <c r="Y38" s="3830" t="s">
        <v>1695</v>
      </c>
      <c r="Z38" s="3534" t="str">
        <f t="shared" si="18"/>
        <v>物业管理</v>
      </c>
      <c r="AA38" s="3532">
        <f t="shared" si="15"/>
        <v>1</v>
      </c>
      <c r="AB38" s="3532">
        <f t="shared" si="16"/>
        <v>1</v>
      </c>
      <c r="AC38" s="3532">
        <f t="shared" si="17"/>
        <v>1</v>
      </c>
    </row>
    <row r="39" spans="1:29" ht="15">
      <c r="A39" s="423"/>
      <c r="B39" s="375" t="s">
        <v>1702</v>
      </c>
      <c r="C39" s="1906" t="s">
        <v>3601</v>
      </c>
      <c r="D39" s="386">
        <v>100</v>
      </c>
      <c r="E39" s="1906" t="s">
        <v>3601</v>
      </c>
      <c r="F39" s="412">
        <f>SUMIF(116:116,E39,117:117)-SUMIF(116:116,C39,117:117)+100</f>
        <v>100</v>
      </c>
      <c r="G39" s="1906" t="s">
        <v>3601</v>
      </c>
      <c r="H39" s="386">
        <f>SUMIF(116:116,G39,117:117)-SUMIF(116:116,C39,117:117)+100</f>
        <v>100</v>
      </c>
      <c r="I39" s="1906" t="s">
        <v>3601</v>
      </c>
      <c r="J39" s="386">
        <f>SUMIF(116:116,I39,117:117)-SUMIF(116:116,C39,117:117)+100</f>
        <v>100</v>
      </c>
      <c r="K39" s="377">
        <v>1</v>
      </c>
      <c r="L39" s="2721"/>
      <c r="M39" s="2715"/>
      <c r="N39" s="2715"/>
      <c r="O39" s="2715"/>
      <c r="P39" s="3828"/>
      <c r="Q39" s="3531" t="str">
        <f t="shared" si="11"/>
        <v>市政基础设施</v>
      </c>
      <c r="R39" s="705" t="s">
        <v>18</v>
      </c>
      <c r="S39" s="706">
        <f t="shared" si="12"/>
        <v>100</v>
      </c>
      <c r="T39" s="705" t="s">
        <v>18</v>
      </c>
      <c r="U39" s="706">
        <f t="shared" si="13"/>
        <v>100</v>
      </c>
      <c r="V39" s="705" t="s">
        <v>18</v>
      </c>
      <c r="W39" s="706">
        <f t="shared" si="14"/>
        <v>100</v>
      </c>
      <c r="X39" s="3533"/>
      <c r="Y39" s="3830"/>
      <c r="Z39" s="3534" t="str">
        <f t="shared" si="18"/>
        <v>市政基础设施</v>
      </c>
      <c r="AA39" s="3532">
        <f t="shared" si="15"/>
        <v>1</v>
      </c>
      <c r="AB39" s="3532">
        <f t="shared" si="16"/>
        <v>1</v>
      </c>
      <c r="AC39" s="3532">
        <f t="shared" si="17"/>
        <v>1</v>
      </c>
    </row>
    <row r="40" spans="1:29" ht="15">
      <c r="A40" s="423"/>
      <c r="B40" s="375" t="s">
        <v>1703</v>
      </c>
      <c r="C40" s="1906" t="s">
        <v>3412</v>
      </c>
      <c r="D40" s="386">
        <v>100</v>
      </c>
      <c r="E40" s="1906" t="s">
        <v>3412</v>
      </c>
      <c r="F40" s="412">
        <f>SUMIF(118:118,E40,119:119)-SUMIF(118:118,C40,119:119)+100</f>
        <v>100</v>
      </c>
      <c r="G40" s="1906" t="s">
        <v>3412</v>
      </c>
      <c r="H40" s="386">
        <f>SUMIF(118:118,G40,119:119)-SUMIF(118:118,C40,119:119)+100</f>
        <v>100</v>
      </c>
      <c r="I40" s="1906" t="s">
        <v>3412</v>
      </c>
      <c r="J40" s="386">
        <f>SUMIF(118:118,I40,119:119)-SUMIF(118:118,C40,119:119)+100</f>
        <v>100</v>
      </c>
      <c r="K40" s="377">
        <v>1</v>
      </c>
      <c r="L40" s="2721"/>
      <c r="M40" s="2715"/>
      <c r="N40" s="2715"/>
      <c r="O40" s="2715"/>
      <c r="P40" s="3828"/>
      <c r="Q40" s="3531" t="str">
        <f t="shared" si="11"/>
        <v>房型</v>
      </c>
      <c r="R40" s="705" t="s">
        <v>18</v>
      </c>
      <c r="S40" s="706">
        <f t="shared" si="12"/>
        <v>100</v>
      </c>
      <c r="T40" s="705" t="s">
        <v>18</v>
      </c>
      <c r="U40" s="706">
        <f t="shared" si="13"/>
        <v>100</v>
      </c>
      <c r="V40" s="705" t="s">
        <v>18</v>
      </c>
      <c r="W40" s="706">
        <f t="shared" si="14"/>
        <v>100</v>
      </c>
      <c r="X40" s="3533"/>
      <c r="Y40" s="3830"/>
      <c r="Z40" s="3534" t="str">
        <f t="shared" si="18"/>
        <v>房型</v>
      </c>
      <c r="AA40" s="3532">
        <f t="shared" si="15"/>
        <v>1</v>
      </c>
      <c r="AB40" s="3532">
        <f t="shared" si="16"/>
        <v>1</v>
      </c>
      <c r="AC40" s="3532">
        <f t="shared" si="17"/>
        <v>1</v>
      </c>
    </row>
    <row r="41" spans="1:29" s="422" customFormat="1" ht="28.8" hidden="1">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828"/>
      <c r="Q41" s="707" t="str">
        <f t="shared" si="11"/>
        <v>单套/主力户型建筑面积</v>
      </c>
      <c r="R41" s="708" t="s">
        <v>18</v>
      </c>
      <c r="S41" s="709">
        <f t="shared" si="12"/>
        <v>100</v>
      </c>
      <c r="T41" s="708" t="s">
        <v>18</v>
      </c>
      <c r="U41" s="709">
        <f t="shared" si="13"/>
        <v>100</v>
      </c>
      <c r="V41" s="708" t="s">
        <v>18</v>
      </c>
      <c r="W41" s="709">
        <f t="shared" si="14"/>
        <v>100</v>
      </c>
      <c r="X41" s="710"/>
      <c r="Y41" s="3830"/>
      <c r="Z41" s="711" t="str">
        <f t="shared" si="18"/>
        <v>单套/主力户型建筑面积</v>
      </c>
      <c r="AA41" s="3532">
        <f t="shared" si="15"/>
        <v>1</v>
      </c>
      <c r="AB41" s="3532">
        <f t="shared" si="16"/>
        <v>1</v>
      </c>
      <c r="AC41" s="3532">
        <f t="shared" si="17"/>
        <v>1</v>
      </c>
    </row>
    <row r="42" spans="1:29" ht="15">
      <c r="A42" s="423"/>
      <c r="B42" s="375" t="s">
        <v>1705</v>
      </c>
      <c r="C42" s="1906" t="s">
        <v>4226</v>
      </c>
      <c r="D42" s="386">
        <v>100</v>
      </c>
      <c r="E42" s="1906" t="s">
        <v>4226</v>
      </c>
      <c r="F42" s="412">
        <f>SUMIF(122:122,E42,123:123)-SUMIF(122:122,C42,123:123)+100</f>
        <v>100</v>
      </c>
      <c r="G42" s="1906" t="s">
        <v>4226</v>
      </c>
      <c r="H42" s="386">
        <f>SUMIF(122:122,G42,123:123)-SUMIF(122:122,C42,123:123)+100</f>
        <v>100</v>
      </c>
      <c r="I42" s="1906" t="s">
        <v>4226</v>
      </c>
      <c r="J42" s="386">
        <f>SUMIF(122:122,I42,123:123)-SUMIF(122:122,C42,123:123)+100</f>
        <v>100</v>
      </c>
      <c r="K42" s="377">
        <v>2</v>
      </c>
      <c r="L42" s="2721"/>
      <c r="M42" s="2715"/>
      <c r="N42" s="2715"/>
      <c r="O42" s="2715"/>
      <c r="P42" s="3828"/>
      <c r="Q42" s="3531" t="str">
        <f t="shared" si="11"/>
        <v>内部装修</v>
      </c>
      <c r="R42" s="705" t="s">
        <v>18</v>
      </c>
      <c r="S42" s="706">
        <f t="shared" si="12"/>
        <v>100</v>
      </c>
      <c r="T42" s="705" t="s">
        <v>18</v>
      </c>
      <c r="U42" s="706">
        <f t="shared" si="13"/>
        <v>100</v>
      </c>
      <c r="V42" s="705" t="s">
        <v>18</v>
      </c>
      <c r="W42" s="706">
        <f t="shared" si="14"/>
        <v>100</v>
      </c>
      <c r="X42" s="3533"/>
      <c r="Y42" s="3830"/>
      <c r="Z42" s="3534" t="str">
        <f t="shared" si="18"/>
        <v>内部装修</v>
      </c>
      <c r="AA42" s="3532">
        <f t="shared" si="15"/>
        <v>1</v>
      </c>
      <c r="AB42" s="3532">
        <f t="shared" si="16"/>
        <v>1</v>
      </c>
      <c r="AC42" s="3532">
        <f t="shared" si="17"/>
        <v>1</v>
      </c>
    </row>
    <row r="43" spans="1:29" ht="28.8">
      <c r="A43" s="423"/>
      <c r="B43" s="375" t="s">
        <v>1706</v>
      </c>
      <c r="C43" s="1906" t="s">
        <v>4272</v>
      </c>
      <c r="D43" s="386">
        <v>100</v>
      </c>
      <c r="E43" s="1906" t="s">
        <v>4272</v>
      </c>
      <c r="F43" s="412">
        <f>SUMIF(124:124,E43,125:125)-SUMIF(124:124,C43,125:125)+100</f>
        <v>100</v>
      </c>
      <c r="G43" s="1906" t="s">
        <v>4272</v>
      </c>
      <c r="H43" s="386">
        <f>SUMIF(124:124,G43,125:125)-SUMIF(124:124,C43,125:125)+100</f>
        <v>100</v>
      </c>
      <c r="I43" s="1906" t="s">
        <v>4272</v>
      </c>
      <c r="J43" s="386">
        <f>SUMIF(124:124,I43,125:125)-SUMIF(124:124,C43,125:125)+100</f>
        <v>100</v>
      </c>
      <c r="K43" s="377">
        <v>2</v>
      </c>
      <c r="L43" s="2721"/>
      <c r="M43" s="2715"/>
      <c r="N43" s="2715"/>
      <c r="O43" s="2715"/>
      <c r="P43" s="3828"/>
      <c r="Q43" s="3531" t="str">
        <f t="shared" si="11"/>
        <v>内部装修维护情况</v>
      </c>
      <c r="R43" s="705" t="s">
        <v>18</v>
      </c>
      <c r="S43" s="706">
        <f t="shared" si="12"/>
        <v>100</v>
      </c>
      <c r="T43" s="705" t="s">
        <v>18</v>
      </c>
      <c r="U43" s="706">
        <f t="shared" si="13"/>
        <v>100</v>
      </c>
      <c r="V43" s="705" t="s">
        <v>18</v>
      </c>
      <c r="W43" s="706">
        <f t="shared" si="14"/>
        <v>100</v>
      </c>
      <c r="X43" s="3533"/>
      <c r="Y43" s="3830"/>
      <c r="Z43" s="3534" t="str">
        <f t="shared" si="18"/>
        <v>内部装修维护情况</v>
      </c>
      <c r="AA43" s="3532">
        <f t="shared" si="15"/>
        <v>1</v>
      </c>
      <c r="AB43" s="3532">
        <f t="shared" si="16"/>
        <v>1</v>
      </c>
      <c r="AC43" s="3532">
        <f t="shared" si="17"/>
        <v>1</v>
      </c>
    </row>
    <row r="44" spans="1:29" s="108" customFormat="1" ht="15.6" thickBot="1">
      <c r="A44" s="424"/>
      <c r="B44" s="3540" t="s">
        <v>4222</v>
      </c>
      <c r="C44" s="420">
        <v>1998</v>
      </c>
      <c r="D44" s="127">
        <v>100</v>
      </c>
      <c r="E44" s="420">
        <v>2000</v>
      </c>
      <c r="F44" s="376">
        <f>SUMIF(126:126,E44,127:127)-SUMIF(126:126,C44,127:127)+100</f>
        <v>100.2</v>
      </c>
      <c r="G44" s="420">
        <v>2011</v>
      </c>
      <c r="H44" s="127">
        <f>SUMIF(126:126,G44,127:127)-SUMIF(126:126,C44,127:127)+100</f>
        <v>101.3</v>
      </c>
      <c r="I44" s="420">
        <v>2005</v>
      </c>
      <c r="J44" s="127">
        <f>SUMIF(126:126,I44,127:127)-SUMIF(126:126,C44,127:127)+100</f>
        <v>100.7</v>
      </c>
      <c r="K44" s="1894"/>
      <c r="L44" s="2716"/>
      <c r="M44" s="2717"/>
      <c r="N44" s="2717"/>
      <c r="O44" s="2717"/>
      <c r="P44" s="3828"/>
      <c r="Q44" s="3524" t="str">
        <f t="shared" si="11"/>
        <v>建成年份</v>
      </c>
      <c r="R44" s="701" t="s">
        <v>18</v>
      </c>
      <c r="S44" s="702">
        <f t="shared" si="12"/>
        <v>100.2</v>
      </c>
      <c r="T44" s="701" t="s">
        <v>18</v>
      </c>
      <c r="U44" s="702">
        <f t="shared" si="13"/>
        <v>101.3</v>
      </c>
      <c r="V44" s="701" t="s">
        <v>18</v>
      </c>
      <c r="W44" s="702">
        <f t="shared" si="14"/>
        <v>100.7</v>
      </c>
      <c r="X44" s="703"/>
      <c r="Y44" s="3830"/>
      <c r="Z44" s="3522" t="str">
        <f t="shared" si="18"/>
        <v>建成年份</v>
      </c>
      <c r="AA44" s="704">
        <f t="shared" si="15"/>
        <v>0.99800399201596801</v>
      </c>
      <c r="AB44" s="704">
        <f t="shared" si="16"/>
        <v>0.98716683119447191</v>
      </c>
      <c r="AC44" s="704">
        <f t="shared" si="17"/>
        <v>0.99304865938430975</v>
      </c>
    </row>
    <row r="45" spans="1:29" ht="15.6"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828"/>
      <c r="Q45" s="3531">
        <f t="shared" si="11"/>
        <v>111</v>
      </c>
      <c r="R45" s="705" t="s">
        <v>18</v>
      </c>
      <c r="S45" s="706">
        <f t="shared" si="12"/>
        <v>100</v>
      </c>
      <c r="T45" s="705" t="s">
        <v>18</v>
      </c>
      <c r="U45" s="706">
        <f t="shared" si="13"/>
        <v>100</v>
      </c>
      <c r="V45" s="705" t="s">
        <v>18</v>
      </c>
      <c r="W45" s="706">
        <f t="shared" si="14"/>
        <v>100</v>
      </c>
      <c r="X45" s="3533"/>
      <c r="Y45" s="3830"/>
      <c r="Z45" s="3534">
        <f t="shared" si="18"/>
        <v>111</v>
      </c>
      <c r="AA45" s="3532">
        <f t="shared" si="15"/>
        <v>1</v>
      </c>
      <c r="AB45" s="3532">
        <f t="shared" si="16"/>
        <v>1</v>
      </c>
      <c r="AC45" s="3532">
        <f t="shared" si="17"/>
        <v>1</v>
      </c>
    </row>
    <row r="46" spans="1:29" ht="15.6"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829"/>
      <c r="Q46" s="3531">
        <f t="shared" si="11"/>
        <v>111</v>
      </c>
      <c r="R46" s="705" t="s">
        <v>17</v>
      </c>
      <c r="S46" s="706">
        <f t="shared" si="12"/>
        <v>100</v>
      </c>
      <c r="T46" s="705" t="s">
        <v>17</v>
      </c>
      <c r="U46" s="706">
        <f t="shared" si="13"/>
        <v>100</v>
      </c>
      <c r="V46" s="705" t="s">
        <v>17</v>
      </c>
      <c r="W46" s="706">
        <f t="shared" si="14"/>
        <v>100</v>
      </c>
      <c r="X46" s="3533"/>
      <c r="Y46" s="3831"/>
      <c r="Z46" s="3534">
        <f t="shared" si="18"/>
        <v>111</v>
      </c>
      <c r="AA46" s="3532">
        <f t="shared" si="15"/>
        <v>1</v>
      </c>
      <c r="AB46" s="3532">
        <f t="shared" si="16"/>
        <v>1</v>
      </c>
      <c r="AC46" s="3532">
        <f t="shared" si="17"/>
        <v>1</v>
      </c>
    </row>
    <row r="47" spans="1:29" ht="14.4">
      <c r="A47" s="430" t="s">
        <v>1707</v>
      </c>
      <c r="B47" s="431"/>
      <c r="C47" s="1154" t="s">
        <v>16</v>
      </c>
      <c r="D47" s="1155"/>
      <c r="E47" s="3546">
        <v>72464</v>
      </c>
      <c r="F47" s="3541"/>
      <c r="G47" s="3547">
        <v>70771</v>
      </c>
      <c r="H47" s="3542"/>
      <c r="I47" s="3546">
        <v>65941</v>
      </c>
      <c r="J47" s="3542"/>
      <c r="K47" s="1913"/>
      <c r="L47" s="2723"/>
      <c r="M47" s="2724"/>
      <c r="N47" s="2715"/>
      <c r="O47" s="2724"/>
      <c r="P47" s="3823" t="str">
        <f>A47</f>
        <v>成交单价（元/平方米）</v>
      </c>
      <c r="Q47" s="3823"/>
      <c r="R47" s="3824">
        <f>E47</f>
        <v>72464</v>
      </c>
      <c r="S47" s="3824"/>
      <c r="T47" s="3824">
        <f>G47</f>
        <v>70771</v>
      </c>
      <c r="U47" s="3824"/>
      <c r="V47" s="3824">
        <f>I47</f>
        <v>65941</v>
      </c>
      <c r="W47" s="3824"/>
      <c r="X47" s="690"/>
      <c r="Y47" s="712"/>
      <c r="Z47" s="690"/>
      <c r="AA47" s="690"/>
      <c r="AB47" s="690"/>
      <c r="AC47" s="690"/>
    </row>
    <row r="48" spans="1:29" ht="15" thickBot="1">
      <c r="A48" s="437" t="s">
        <v>1708</v>
      </c>
      <c r="B48" s="438"/>
      <c r="C48" s="1160">
        <f>R49</f>
        <v>70061</v>
      </c>
      <c r="D48" s="2316" t="s">
        <v>2137</v>
      </c>
      <c r="E48" s="1161">
        <f>R48</f>
        <v>71960</v>
      </c>
      <c r="F48" s="2317"/>
      <c r="G48" s="1160">
        <f>T48</f>
        <v>70197</v>
      </c>
      <c r="H48" s="2317"/>
      <c r="I48" s="1161">
        <f>V48</f>
        <v>68027</v>
      </c>
      <c r="J48" s="2317"/>
      <c r="K48" s="2318">
        <f>F48+H48+J48</f>
        <v>0</v>
      </c>
      <c r="L48" s="2723"/>
      <c r="M48" s="2724"/>
      <c r="N48" s="2724"/>
      <c r="O48" s="2724"/>
      <c r="P48" s="3823" t="str">
        <f>A48</f>
        <v>比较价值（元/平方米）</v>
      </c>
      <c r="Q48" s="3823"/>
      <c r="R48" s="3824">
        <f>IF(F1="售价",ROUND(PRODUCT(R47,AA7:AA46),0),ROUND(PRODUCT(R47,AA7:AA46),1))</f>
        <v>71960</v>
      </c>
      <c r="S48" s="3824"/>
      <c r="T48" s="3824">
        <f>IF(F1="售价",ROUND(PRODUCT(T47,AB7:AB46),0),ROUND(PRODUCT(T47,AB7:AB46),1))</f>
        <v>70197</v>
      </c>
      <c r="U48" s="3824"/>
      <c r="V48" s="3824">
        <f>IF(F1="售价",ROUND(PRODUCT(V47,AC7:AC46),0),ROUND(PRODUCT(V47,AC7:AC46),1))</f>
        <v>68027</v>
      </c>
      <c r="W48" s="3824"/>
      <c r="X48" s="690"/>
      <c r="Y48" s="690"/>
      <c r="Z48" s="690"/>
      <c r="AA48" s="690"/>
      <c r="AB48" s="690"/>
      <c r="AC48" s="690"/>
    </row>
    <row r="49" spans="1:29" ht="15" thickBot="1">
      <c r="A49" s="441" t="s">
        <v>1709</v>
      </c>
      <c r="B49" s="442"/>
      <c r="C49" s="1162">
        <f>R49</f>
        <v>70061</v>
      </c>
      <c r="D49" s="1163"/>
      <c r="E49" s="1163"/>
      <c r="F49" s="1163"/>
      <c r="G49" s="1163"/>
      <c r="H49" s="1163"/>
      <c r="I49" s="1163"/>
      <c r="J49" s="1163"/>
      <c r="K49" s="1914"/>
      <c r="L49" s="2723"/>
      <c r="M49" s="2724"/>
      <c r="N49" s="2724"/>
      <c r="O49" s="2724"/>
      <c r="P49" s="3820" t="str">
        <f>A49</f>
        <v>估价对象XX用房的比较价值（楼面单价，元/平方米）</v>
      </c>
      <c r="Q49" s="3821"/>
      <c r="R49" s="3822">
        <f>IF(F1="售价",ROUND(IF(D48="简单平均",AVERAGE(R48:V48),R48*F48+T48*H48+V48*J48),0),ROUND(IF(D48="简单平均",AVERAGE(R48:V48),R48*F48+T48*H48+V48*J48),1))</f>
        <v>70061</v>
      </c>
      <c r="S49" s="3822"/>
      <c r="T49" s="3822"/>
      <c r="U49" s="3822"/>
      <c r="V49" s="3822"/>
      <c r="W49" s="382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7.0038910505836327E-3</v>
      </c>
      <c r="F52" s="449" t="str">
        <f>IF(OR(E52&gt;=0.3,E52&lt;=-0.3),"超过30%","")</f>
        <v/>
      </c>
      <c r="G52" s="448">
        <f>IF(G47&lt;G48,G48/G47-1,G47/G48-1)</f>
        <v>8.1769876205535219E-3</v>
      </c>
      <c r="H52" s="449" t="str">
        <f>IF(OR(G52&gt;=0.3,G52&lt;=-0.3),"超过30%","")</f>
        <v/>
      </c>
      <c r="I52" s="448">
        <f>IF(I47&lt;I48,I48/I47-1,I47/I48-1)</f>
        <v>3.1634339788598975E-2</v>
      </c>
      <c r="J52" s="449" t="str">
        <f>IF(OR(I52&gt;=0.3,I52&lt;=-0.3),"超过30%","")</f>
        <v/>
      </c>
      <c r="K52" s="2729"/>
      <c r="L52" s="2725"/>
      <c r="M52" s="2724"/>
      <c r="N52" s="2724"/>
      <c r="O52" s="2724"/>
    </row>
    <row r="53" spans="1:29" ht="13.5" customHeight="1">
      <c r="A53" s="2724"/>
      <c r="B53" s="2724"/>
      <c r="C53" s="446" t="s">
        <v>1711</v>
      </c>
      <c r="D53" s="450"/>
      <c r="E53" s="448">
        <f>IF(E48&lt;G48,G48/E48-1,E48/G48-1)</f>
        <v>2.5115033405985976E-2</v>
      </c>
      <c r="F53" s="449" t="str">
        <f>IF(OR(E53&gt;=0.2,E53&lt;=-0.2),"超过20%","")</f>
        <v/>
      </c>
      <c r="G53" s="448">
        <f>IF(G48&lt;I48,I48/G48-1,G48/I48-1)</f>
        <v>3.1899098887206545E-2</v>
      </c>
      <c r="H53" s="449" t="str">
        <f>IF(OR(G53&gt;=0.2,G53&lt;=-0.2),"超过20%","")</f>
        <v/>
      </c>
      <c r="I53" s="448">
        <f>IF(I48&lt;E48,E48/I48-1,I48/E48-1)</f>
        <v>5.7815279227365624E-2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2.3922228031255655E-2</v>
      </c>
      <c r="F54" s="449" t="str">
        <f>IF(OR(E54&gt;=0.3,E54&lt;=-0.3),"超过30%","")</f>
        <v/>
      </c>
      <c r="G54" s="448">
        <f>IF(G47&lt;I47,I47/G47-1,G47/I47-1)</f>
        <v>7.3247296825950547E-2</v>
      </c>
      <c r="H54" s="449" t="str">
        <f>IF(OR(G54&gt;=0.3,G54&lt;=-0.3),"超过30%","")</f>
        <v/>
      </c>
      <c r="I54" s="448">
        <f>IF(I47&lt;E47,E47/I47-1,I47/E47-1)</f>
        <v>9.8921763394549611E-2</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4" t="s">
        <v>1713</v>
      </c>
      <c r="B57" s="690"/>
      <c r="C57" s="695"/>
      <c r="D57" s="695"/>
      <c r="E57" s="695"/>
      <c r="F57" s="696"/>
      <c r="G57" s="696"/>
      <c r="H57" s="695"/>
      <c r="I57" s="695"/>
      <c r="J57" s="695"/>
      <c r="K57" s="941"/>
      <c r="L57" s="942"/>
      <c r="M57" s="940"/>
      <c r="N57" s="940"/>
      <c r="O57" s="940"/>
      <c r="P57" s="1917"/>
      <c r="Q57" s="453"/>
    </row>
    <row r="58" spans="1:29" s="457" customFormat="1" ht="14.4">
      <c r="A58" s="454" t="s">
        <v>1714</v>
      </c>
      <c r="B58" s="455"/>
      <c r="C58" s="1186" t="str">
        <f>YEAR(C7)&amp;"-"&amp;MONTH(C7)</f>
        <v>2017-12</v>
      </c>
      <c r="D58" s="1185">
        <f>EDATE(C58,-1)</f>
        <v>43040</v>
      </c>
      <c r="E58" s="1185">
        <f>EDATE(D58,-1)</f>
        <v>43009</v>
      </c>
      <c r="F58" s="1185">
        <f t="shared" ref="F58:O58" si="19">EDATE(E58,-1)</f>
        <v>42979</v>
      </c>
      <c r="G58" s="1185">
        <f t="shared" si="19"/>
        <v>42948</v>
      </c>
      <c r="H58" s="1185">
        <f t="shared" si="19"/>
        <v>42917</v>
      </c>
      <c r="I58" s="1185">
        <f t="shared" si="19"/>
        <v>42887</v>
      </c>
      <c r="J58" s="1185">
        <f t="shared" si="19"/>
        <v>42856</v>
      </c>
      <c r="K58" s="1185">
        <f t="shared" si="19"/>
        <v>42826</v>
      </c>
      <c r="L58" s="1185">
        <f t="shared" si="19"/>
        <v>42795</v>
      </c>
      <c r="M58" s="1185">
        <f t="shared" si="19"/>
        <v>42767</v>
      </c>
      <c r="N58" s="1185">
        <f t="shared" si="19"/>
        <v>42736</v>
      </c>
      <c r="O58" s="1185">
        <f t="shared" si="19"/>
        <v>42705</v>
      </c>
      <c r="P58" s="1181"/>
    </row>
    <row r="59" spans="1:29" s="108" customFormat="1">
      <c r="A59" s="458"/>
      <c r="B59" s="1918"/>
      <c r="C59" s="1183">
        <v>100</v>
      </c>
      <c r="D59" s="460">
        <f>价格指数!$B$15</f>
        <v>100.4</v>
      </c>
      <c r="E59" s="461">
        <f>价格指数!$C$15</f>
        <v>100.9</v>
      </c>
      <c r="F59" s="460">
        <f>价格指数!$D$15</f>
        <v>101.4</v>
      </c>
      <c r="G59" s="461">
        <f>价格指数!$E$15</f>
        <v>102</v>
      </c>
      <c r="H59" s="460">
        <f>价格指数!$F$15</f>
        <v>102.9</v>
      </c>
      <c r="I59" s="461">
        <f>价格指数!$G$15</f>
        <v>103.8</v>
      </c>
      <c r="J59" s="460">
        <f>价格指数!$B$15</f>
        <v>100.4</v>
      </c>
      <c r="K59" s="461">
        <f>价格指数!$C$15</f>
        <v>100.9</v>
      </c>
      <c r="L59" s="460">
        <f>价格指数!$D$15</f>
        <v>101.4</v>
      </c>
      <c r="M59" s="461">
        <f>价格指数!$E$15</f>
        <v>102</v>
      </c>
      <c r="N59" s="461"/>
      <c r="O59" s="462"/>
      <c r="P59" s="1919"/>
    </row>
    <row r="60" spans="1:29" s="108" customFormat="1" ht="15" thickBot="1">
      <c r="A60" s="464" t="s">
        <v>1715</v>
      </c>
      <c r="B60" s="465"/>
      <c r="C60" s="466"/>
      <c r="D60" s="467"/>
      <c r="E60" s="467"/>
      <c r="F60" s="467"/>
      <c r="G60" s="467"/>
      <c r="H60" s="467"/>
      <c r="I60" s="467"/>
      <c r="J60" s="467"/>
      <c r="K60" s="467"/>
      <c r="L60" s="467"/>
      <c r="M60" s="468"/>
      <c r="N60" s="467"/>
      <c r="O60" s="468"/>
      <c r="P60" s="1919"/>
      <c r="Q60" s="453"/>
    </row>
    <row r="61" spans="1:29" s="108" customFormat="1" ht="14.4">
      <c r="A61" s="470" t="s">
        <v>1716</v>
      </c>
      <c r="B61" s="459"/>
      <c r="C61" s="471" t="s">
        <v>1717</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1718</v>
      </c>
      <c r="B63" s="477" t="s">
        <v>1684</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1687</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1688</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0</v>
      </c>
      <c r="D68" s="498">
        <v>1</v>
      </c>
      <c r="E68" s="498">
        <v>2</v>
      </c>
      <c r="F68" s="498">
        <v>3</v>
      </c>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1"/>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1"/>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1"/>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1"/>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1"/>
      <c r="Q85" s="453"/>
    </row>
    <row r="86" spans="1:17" s="108" customFormat="1" ht="15" thickTop="1">
      <c r="A86" s="528"/>
      <c r="B86" s="487" t="s">
        <v>1733</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1734</v>
      </c>
      <c r="C88" s="3553" t="s">
        <v>4241</v>
      </c>
      <c r="D88" s="3554" t="s">
        <v>4242</v>
      </c>
      <c r="E88" s="3554" t="s">
        <v>4243</v>
      </c>
      <c r="F88" s="3554" t="s">
        <v>4244</v>
      </c>
      <c r="G88" s="3554" t="s">
        <v>4245</v>
      </c>
      <c r="H88" s="3554" t="s">
        <v>4246</v>
      </c>
      <c r="I88" s="3555" t="s">
        <v>4247</v>
      </c>
      <c r="J88" s="3555" t="s">
        <v>4248</v>
      </c>
      <c r="K88" s="3554" t="s">
        <v>4249</v>
      </c>
      <c r="L88" s="3554" t="s">
        <v>4250</v>
      </c>
      <c r="M88" s="530"/>
      <c r="N88" s="932"/>
      <c r="O88" s="932"/>
      <c r="P88" s="1921"/>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1"/>
      <c r="Q89" s="453"/>
    </row>
    <row r="90" spans="1:17" s="422" customFormat="1" ht="15" thickTop="1">
      <c r="A90" s="502"/>
      <c r="B90" s="487" t="str">
        <f>B27</f>
        <v>楼层</v>
      </c>
      <c r="C90" s="503" t="s">
        <v>4235</v>
      </c>
      <c r="D90" s="503" t="s">
        <v>4284</v>
      </c>
      <c r="E90" s="503" t="s">
        <v>4285</v>
      </c>
      <c r="F90" s="503" t="s">
        <v>4286</v>
      </c>
      <c r="G90" s="503"/>
      <c r="H90" s="504"/>
      <c r="I90" s="504"/>
      <c r="J90" s="504"/>
      <c r="K90" s="504"/>
      <c r="L90" s="505"/>
      <c r="M90" s="506"/>
      <c r="N90" s="935"/>
      <c r="O90" s="935"/>
      <c r="P90" s="1922"/>
      <c r="Q90" s="508"/>
    </row>
    <row r="91" spans="1:17" s="422" customFormat="1" ht="14.4" thickBot="1">
      <c r="A91" s="502"/>
      <c r="B91" s="492"/>
      <c r="C91" s="509">
        <v>100</v>
      </c>
      <c r="D91" s="509">
        <v>100</v>
      </c>
      <c r="E91" s="509">
        <v>100</v>
      </c>
      <c r="F91" s="509">
        <v>102</v>
      </c>
      <c r="G91" s="509"/>
      <c r="H91" s="511"/>
      <c r="I91" s="511"/>
      <c r="J91" s="511"/>
      <c r="K91" s="511"/>
      <c r="L91" s="511"/>
      <c r="M91" s="512"/>
      <c r="N91" s="935"/>
      <c r="O91" s="935"/>
      <c r="P91" s="1922"/>
      <c r="Q91" s="508"/>
    </row>
    <row r="92" spans="1:17" ht="15" thickTop="1">
      <c r="A92" s="483"/>
      <c r="B92" s="487" t="str">
        <f>B28</f>
        <v>道路</v>
      </c>
      <c r="C92" s="3551" t="s">
        <v>4236</v>
      </c>
      <c r="D92" s="3551" t="s">
        <v>4237</v>
      </c>
      <c r="E92" s="3551" t="s">
        <v>4238</v>
      </c>
      <c r="F92" s="3551" t="s">
        <v>4270</v>
      </c>
      <c r="G92" s="3551" t="s">
        <v>4239</v>
      </c>
      <c r="H92" s="532"/>
      <c r="I92" s="532"/>
      <c r="J92" s="532"/>
      <c r="K92" s="533"/>
      <c r="L92" s="534"/>
      <c r="M92" s="535"/>
      <c r="N92" s="933"/>
      <c r="O92" s="933"/>
      <c r="P92" s="1921"/>
      <c r="Q92" s="453"/>
    </row>
    <row r="93" spans="1:17" ht="14.4" thickBot="1">
      <c r="A93" s="483"/>
      <c r="B93" s="492"/>
      <c r="C93" s="3552">
        <v>100</v>
      </c>
      <c r="D93" s="3552">
        <v>98</v>
      </c>
      <c r="E93" s="3552">
        <v>96</v>
      </c>
      <c r="F93" s="3552">
        <v>94</v>
      </c>
      <c r="G93" s="3552">
        <v>92</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1693</v>
      </c>
      <c r="B100" s="477" t="s">
        <v>1735</v>
      </c>
      <c r="C100" s="3556" t="s">
        <v>4231</v>
      </c>
      <c r="D100" s="3550" t="s">
        <v>4251</v>
      </c>
      <c r="E100" s="3557" t="s">
        <v>4232</v>
      </c>
      <c r="F100" s="3558" t="s">
        <v>4252</v>
      </c>
      <c r="G100" s="3559" t="s">
        <v>4233</v>
      </c>
      <c r="H100" s="3559" t="s">
        <v>4234</v>
      </c>
      <c r="I100" s="479"/>
      <c r="J100" s="479"/>
      <c r="K100" s="480"/>
      <c r="L100" s="481"/>
      <c r="M100" s="482"/>
      <c r="N100" s="933"/>
      <c r="O100" s="933"/>
      <c r="P100" s="1921"/>
      <c r="Q100" s="453"/>
    </row>
    <row r="101" spans="1:17" ht="14.4"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1"/>
      <c r="Q101" s="453"/>
    </row>
    <row r="102" spans="1:17" ht="15" thickTop="1">
      <c r="A102" s="483"/>
      <c r="B102" s="487" t="s">
        <v>1736</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1737</v>
      </c>
      <c r="C105" s="3551" t="s">
        <v>4253</v>
      </c>
      <c r="D105" s="3551" t="s">
        <v>3394</v>
      </c>
      <c r="E105" s="3560" t="s">
        <v>4254</v>
      </c>
      <c r="F105" s="3560" t="s">
        <v>4255</v>
      </c>
      <c r="G105" s="3554" t="s">
        <v>4256</v>
      </c>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1738</v>
      </c>
      <c r="C107" s="3549" t="s">
        <v>4257</v>
      </c>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21"/>
      <c r="Q108" s="453"/>
    </row>
    <row r="109" spans="1:17" ht="15" thickTop="1">
      <c r="A109" s="548"/>
      <c r="B109" s="487" t="s">
        <v>1739</v>
      </c>
      <c r="C109" s="3548" t="s">
        <v>4224</v>
      </c>
      <c r="D109" s="3548" t="s">
        <v>4225</v>
      </c>
      <c r="E109" s="3548" t="s">
        <v>4227</v>
      </c>
      <c r="F109" s="3549" t="s">
        <v>4229</v>
      </c>
      <c r="G109" s="532"/>
      <c r="H109" s="532"/>
      <c r="I109" s="532"/>
      <c r="J109" s="532"/>
      <c r="K109" s="533"/>
      <c r="L109" s="534"/>
      <c r="M109" s="535"/>
      <c r="N109" s="933"/>
      <c r="O109" s="933"/>
      <c r="P109" s="1921"/>
      <c r="Q109" s="453"/>
    </row>
    <row r="110" spans="1:17" ht="14.4"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1740</v>
      </c>
      <c r="C114" s="3551" t="s">
        <v>4258</v>
      </c>
      <c r="D114" s="3551" t="s">
        <v>4259</v>
      </c>
      <c r="E114" s="3554" t="s">
        <v>4260</v>
      </c>
      <c r="F114" s="3554" t="s">
        <v>4261</v>
      </c>
      <c r="G114" s="532"/>
      <c r="H114" s="532"/>
      <c r="I114" s="532"/>
      <c r="J114" s="532"/>
      <c r="K114" s="533"/>
      <c r="L114" s="534"/>
      <c r="M114" s="535"/>
      <c r="N114" s="933"/>
      <c r="O114" s="933"/>
      <c r="P114" s="1921"/>
      <c r="Q114" s="453"/>
    </row>
    <row r="115" spans="1:17" ht="14.4"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21"/>
      <c r="Q115" s="453"/>
    </row>
    <row r="116" spans="1:17" ht="15" thickTop="1">
      <c r="A116" s="548"/>
      <c r="B116" s="487" t="s">
        <v>1741</v>
      </c>
      <c r="C116" s="3551" t="s">
        <v>3601</v>
      </c>
      <c r="D116" s="3551" t="s">
        <v>4262</v>
      </c>
      <c r="E116" s="3551" t="s">
        <v>4263</v>
      </c>
      <c r="F116" s="3551" t="s">
        <v>4264</v>
      </c>
      <c r="G116" s="3551" t="s">
        <v>4265</v>
      </c>
      <c r="H116" s="532"/>
      <c r="I116" s="532"/>
      <c r="J116" s="532"/>
      <c r="K116" s="533"/>
      <c r="L116" s="534"/>
      <c r="M116" s="535"/>
      <c r="N116" s="933"/>
      <c r="O116" s="933"/>
      <c r="P116" s="1921"/>
      <c r="Q116" s="453"/>
    </row>
    <row r="117" spans="1:17" ht="14.4"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1"/>
      <c r="Q117" s="453"/>
    </row>
    <row r="118" spans="1:17" ht="15" thickTop="1">
      <c r="A118" s="548"/>
      <c r="B118" s="487" t="s">
        <v>1742</v>
      </c>
      <c r="C118" s="3549" t="s">
        <v>4230</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99</v>
      </c>
      <c r="E119" s="493">
        <f t="shared" si="31"/>
        <v>98</v>
      </c>
      <c r="F119" s="493">
        <f t="shared" si="31"/>
        <v>97</v>
      </c>
      <c r="G119" s="493">
        <f t="shared" si="31"/>
        <v>96</v>
      </c>
      <c r="H119" s="493">
        <f t="shared" si="31"/>
        <v>95</v>
      </c>
      <c r="I119" s="493">
        <f t="shared" si="31"/>
        <v>94</v>
      </c>
      <c r="J119" s="493">
        <f t="shared" si="31"/>
        <v>93</v>
      </c>
      <c r="K119" s="493">
        <f t="shared" si="31"/>
        <v>92</v>
      </c>
      <c r="L119" s="493">
        <f t="shared" si="31"/>
        <v>91</v>
      </c>
      <c r="M119" s="493">
        <f t="shared" si="31"/>
        <v>90</v>
      </c>
      <c r="N119" s="934"/>
      <c r="O119" s="934"/>
      <c r="P119" s="1921"/>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3548" t="s">
        <v>4224</v>
      </c>
      <c r="D122" s="3548" t="s">
        <v>4225</v>
      </c>
      <c r="E122" s="3548" t="s">
        <v>4227</v>
      </c>
      <c r="F122" s="3549" t="s">
        <v>4229</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4.4"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21"/>
      <c r="Q125" s="453"/>
    </row>
    <row r="126" spans="1:17" s="422" customFormat="1" ht="14.4" thickTop="1">
      <c r="A126" s="542"/>
      <c r="B126" s="487" t="str">
        <f>B44</f>
        <v>建成年份</v>
      </c>
      <c r="C126" s="503">
        <v>1998</v>
      </c>
      <c r="D126" s="503">
        <v>2000</v>
      </c>
      <c r="E126" s="503">
        <v>2005</v>
      </c>
      <c r="F126" s="503">
        <v>2011</v>
      </c>
      <c r="G126" s="503"/>
      <c r="H126" s="504"/>
      <c r="I126" s="504"/>
      <c r="J126" s="504"/>
      <c r="K126" s="504"/>
      <c r="L126" s="505"/>
      <c r="M126" s="506"/>
      <c r="N126" s="935"/>
      <c r="O126" s="935"/>
      <c r="P126" s="1922"/>
      <c r="Q126" s="508"/>
    </row>
    <row r="127" spans="1:17" s="422" customFormat="1" ht="14.4" thickBot="1">
      <c r="A127" s="502"/>
      <c r="B127" s="492"/>
      <c r="C127" s="509">
        <v>100</v>
      </c>
      <c r="D127" s="485">
        <v>100.2</v>
      </c>
      <c r="E127" s="485">
        <v>100.7</v>
      </c>
      <c r="F127" s="485">
        <v>101.3</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6.2"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ht="14.4">
      <c r="B147" s="1928" t="s">
        <v>1763</v>
      </c>
    </row>
    <row r="148" spans="2:11" ht="14.4">
      <c r="B148" s="192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F52 H52 J52">
    <cfRule type="containsText" dxfId="166" priority="18" stopIfTrue="1" operator="containsText" text="超过">
      <formula>NOT(ISERROR(SEARCH("超过",F52)))</formula>
    </cfRule>
  </conditionalFormatting>
  <conditionalFormatting sqref="J54">
    <cfRule type="containsText" dxfId="165" priority="17" stopIfTrue="1" operator="containsText" text="超过">
      <formula>NOT(ISERROR(SEARCH("超过",J54)))</formula>
    </cfRule>
  </conditionalFormatting>
  <conditionalFormatting sqref="H54">
    <cfRule type="containsText" dxfId="164" priority="16" stopIfTrue="1" operator="containsText" text="超过">
      <formula>NOT(ISERROR(SEARCH("超过",H54)))</formula>
    </cfRule>
  </conditionalFormatting>
  <conditionalFormatting sqref="F54">
    <cfRule type="containsText" dxfId="163" priority="15" stopIfTrue="1" operator="containsText" text="超过">
      <formula>NOT(ISERROR(SEARCH("超过",F54)))</formula>
    </cfRule>
  </conditionalFormatting>
  <conditionalFormatting sqref="F53 H53 J53">
    <cfRule type="containsText" dxfId="162" priority="14" stopIfTrue="1" operator="containsText" text="超过">
      <formula>NOT(ISERROR(SEARCH("超过",F53)))</formula>
    </cfRule>
  </conditionalFormatting>
  <conditionalFormatting sqref="E52">
    <cfRule type="expression" dxfId="161" priority="13"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4">
        <f ca="1">ROUND(D2/10000,4)</f>
        <v>34.323999999999998</v>
      </c>
      <c r="C2" s="1387" t="s">
        <v>805</v>
      </c>
      <c r="D2" s="1471">
        <f ca="1">C40+J29+L46</f>
        <v>343240</v>
      </c>
      <c r="E2" s="1388" t="s">
        <v>880</v>
      </c>
      <c r="F2" s="1389"/>
      <c r="G2" s="2705"/>
      <c r="H2" s="2694"/>
      <c r="I2" s="2694"/>
      <c r="J2" s="2694"/>
      <c r="K2" s="2695"/>
      <c r="L2" s="2694"/>
      <c r="M2" s="2694"/>
    </row>
    <row r="3" spans="1:37" ht="18" customHeight="1" thickBot="1">
      <c r="A3" s="1390" t="s">
        <v>806</v>
      </c>
      <c r="B3" s="1391">
        <f ca="1">IF(ISERROR(D2/F43),0,ROUND(D2/F43,0))</f>
        <v>3676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16588</v>
      </c>
      <c r="D5" s="1364" t="s">
        <v>693</v>
      </c>
      <c r="E5" s="1071"/>
      <c r="F5" s="1072"/>
      <c r="G5" s="1384"/>
      <c r="H5" s="299">
        <v>1</v>
      </c>
      <c r="I5" s="300" t="s">
        <v>692</v>
      </c>
      <c r="J5" s="1070">
        <f ca="1">J6+J10+J12</f>
        <v>0</v>
      </c>
      <c r="K5" s="1364" t="s">
        <v>693</v>
      </c>
      <c r="L5" s="1071"/>
      <c r="M5" s="1072"/>
    </row>
    <row r="6" spans="1:37" ht="18" customHeight="1">
      <c r="A6" s="1069" t="s">
        <v>398</v>
      </c>
      <c r="B6" s="3817" t="s">
        <v>694</v>
      </c>
      <c r="C6" s="1074">
        <f ca="1">ROUND(F6*F8*F7*(1-F9),0)</f>
        <v>16567</v>
      </c>
      <c r="D6" s="155" t="s">
        <v>2105</v>
      </c>
      <c r="E6" s="302" t="s">
        <v>696</v>
      </c>
      <c r="F6" s="3567">
        <f ca="1">ROUND(收益法3.31!F6*(1+2.25%),0)</f>
        <v>1534</v>
      </c>
      <c r="G6" s="1384"/>
      <c r="H6" s="1069" t="s">
        <v>398</v>
      </c>
      <c r="I6" s="3817" t="s">
        <v>694</v>
      </c>
      <c r="J6" s="301">
        <f ca="1">ROUND(M6*M8*M7*(1-M9),0)</f>
        <v>0</v>
      </c>
      <c r="K6" s="1376" t="s">
        <v>2106</v>
      </c>
      <c r="L6" s="302" t="s">
        <v>696</v>
      </c>
      <c r="M6" s="303">
        <f ca="1">INDIRECT("'数据-取费表'!z"&amp;$G$1)</f>
        <v>0</v>
      </c>
    </row>
    <row r="7" spans="1:37" ht="18" customHeight="1">
      <c r="A7" s="1073"/>
      <c r="B7" s="3818"/>
      <c r="C7" s="1075"/>
      <c r="D7" s="307"/>
      <c r="E7" s="3530" t="s">
        <v>697</v>
      </c>
      <c r="F7" s="303">
        <f ca="1">IF(INDIRECT("'数据-取费表'!ah"&amp;$G$1)="",INDIRECT("'数据-取费表'!k"&amp;$G$1),INDIRECT("'数据-取费表'!ah"&amp;$G$1))</f>
        <v>1</v>
      </c>
      <c r="G7" s="1384"/>
      <c r="H7" s="304"/>
      <c r="I7" s="3818"/>
      <c r="J7" s="306"/>
      <c r="K7" s="307"/>
      <c r="L7" s="302" t="s">
        <v>697</v>
      </c>
      <c r="M7" s="303">
        <f ca="1">F7</f>
        <v>1</v>
      </c>
    </row>
    <row r="8" spans="1:37" ht="18" customHeight="1">
      <c r="A8" s="304"/>
      <c r="B8" s="3818"/>
      <c r="C8" s="306"/>
      <c r="D8" s="307"/>
      <c r="E8" s="302" t="s">
        <v>698</v>
      </c>
      <c r="F8" s="303">
        <f ca="1">INDIRECT("'数据-取费表'!ai"&amp;$G$1)</f>
        <v>12</v>
      </c>
      <c r="G8" s="1384"/>
      <c r="H8" s="304"/>
      <c r="I8" s="3818"/>
      <c r="J8" s="306"/>
      <c r="K8" s="307"/>
      <c r="L8" s="302" t="s">
        <v>698</v>
      </c>
      <c r="M8" s="303">
        <f ca="1">INDIRECT("'数据-取费表'!ai"&amp;$G$1)</f>
        <v>12</v>
      </c>
    </row>
    <row r="9" spans="1:37" ht="18" customHeight="1">
      <c r="A9" s="304"/>
      <c r="B9" s="3819"/>
      <c r="C9" s="306"/>
      <c r="D9" s="307"/>
      <c r="E9" s="302" t="s">
        <v>699</v>
      </c>
      <c r="F9" s="312">
        <f ca="1">INDIRECT("'数据-取费表'!w"&amp;$G$1)</f>
        <v>0.1</v>
      </c>
      <c r="G9" s="1384"/>
      <c r="H9" s="304"/>
      <c r="I9" s="3819"/>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3520" t="s">
        <v>705</v>
      </c>
      <c r="E13" s="3520"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3526" t="s">
        <v>708</v>
      </c>
      <c r="E14" s="3523"/>
      <c r="F14" s="319"/>
      <c r="G14" s="1384"/>
      <c r="H14" s="982" t="s">
        <v>398</v>
      </c>
      <c r="I14" s="302" t="s">
        <v>709</v>
      </c>
      <c r="J14" s="21">
        <f ca="1">C29</f>
        <v>392265</v>
      </c>
      <c r="K14" s="3529"/>
      <c r="L14" s="807"/>
      <c r="M14" s="808"/>
    </row>
    <row r="15" spans="1:37" s="1397" customFormat="1" ht="18" customHeight="1" thickBot="1">
      <c r="A15" s="982" t="s">
        <v>399</v>
      </c>
      <c r="B15" s="302" t="s">
        <v>710</v>
      </c>
      <c r="C15" s="21">
        <f ca="1">ROUND(C14*F15,0)</f>
        <v>13073</v>
      </c>
      <c r="D15" s="3521" t="s">
        <v>711</v>
      </c>
      <c r="E15" s="3521"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3527"/>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3526" t="s">
        <v>720</v>
      </c>
      <c r="L17" s="3525"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352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3536"/>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2427"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7"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536"/>
      <c r="F22" s="23"/>
      <c r="G22" s="1384"/>
      <c r="H22" s="982" t="s">
        <v>402</v>
      </c>
      <c r="I22" s="302" t="s">
        <v>738</v>
      </c>
      <c r="J22" s="21">
        <f ca="1">ROUND(J14*M22,0)</f>
        <v>3923</v>
      </c>
      <c r="K22" s="352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52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4.3500000000000004E-2</v>
      </c>
      <c r="G24" s="1396"/>
      <c r="H24" s="1089" t="s">
        <v>683</v>
      </c>
      <c r="I24" s="1090" t="s">
        <v>728</v>
      </c>
      <c r="J24" s="1091">
        <f ca="1">ROUND(J5*M24,0)</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536"/>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2427" t="s">
        <v>761</v>
      </c>
      <c r="E27" s="352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7"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4738</v>
      </c>
      <c r="D30" s="1087" t="s">
        <v>715</v>
      </c>
      <c r="E30" s="3527"/>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394</v>
      </c>
      <c r="D31" s="3526" t="s">
        <v>720</v>
      </c>
      <c r="E31" s="3525"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3525"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3525"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3525" t="s">
        <v>743</v>
      </c>
      <c r="E37" s="302" t="s">
        <v>712</v>
      </c>
      <c r="F37" s="330">
        <f ca="1">INDIRECT("'数据-取费表'!Al"&amp;$G$1)</f>
        <v>1E-3</v>
      </c>
      <c r="G37" s="1384"/>
      <c r="H37" s="2699"/>
      <c r="I37" s="1398"/>
      <c r="J37" s="1399"/>
      <c r="K37" s="2543"/>
      <c r="L37" s="2699"/>
      <c r="M37" s="2699"/>
    </row>
    <row r="38" spans="1:18" ht="18" customHeight="1" thickBot="1">
      <c r="A38" s="1089" t="s">
        <v>683</v>
      </c>
      <c r="B38" s="1090" t="s">
        <v>728</v>
      </c>
      <c r="C38" s="1091">
        <f ca="1">ROUND(C5*F38,0)</f>
        <v>166</v>
      </c>
      <c r="D38" s="1092" t="s">
        <v>748</v>
      </c>
      <c r="E38" s="1090" t="s">
        <v>712</v>
      </c>
      <c r="F38" s="1086">
        <f ca="1">INDIRECT("'数据-取费表'!Am"&amp;$G$1)</f>
        <v>0.01</v>
      </c>
      <c r="G38" s="1384"/>
      <c r="H38" s="2699"/>
      <c r="I38" s="1398"/>
      <c r="J38" s="1399"/>
      <c r="K38" s="2703"/>
      <c r="L38" s="2699"/>
      <c r="M38" s="2699"/>
    </row>
    <row r="39" spans="1:18" ht="24.6" customHeight="1" thickTop="1">
      <c r="A39" s="1079" t="s">
        <v>394</v>
      </c>
      <c r="B39" s="1094" t="s">
        <v>752</v>
      </c>
      <c r="C39" s="310">
        <f ca="1">C5-C30</f>
        <v>11850</v>
      </c>
      <c r="D39" s="1095" t="s">
        <v>753</v>
      </c>
      <c r="E39" s="1096"/>
      <c r="F39" s="1097"/>
      <c r="G39" s="1384"/>
      <c r="H39" s="2699"/>
      <c r="I39" s="1398"/>
      <c r="J39" s="1399"/>
      <c r="K39" s="2703"/>
      <c r="L39" s="2699"/>
      <c r="M39" s="2699"/>
    </row>
    <row r="40" spans="1:18" ht="18" customHeight="1">
      <c r="A40" s="299" t="s">
        <v>395</v>
      </c>
      <c r="B40" s="300" t="s">
        <v>774</v>
      </c>
      <c r="C40" s="301">
        <f ca="1">ROUND(C39*(1-((1+F42)/(1+F40))^F41)/(F40-F42),0)</f>
        <v>343240</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3676</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-42.951799999999999</v>
      </c>
      <c r="D45" s="3431" t="s">
        <v>3354</v>
      </c>
      <c r="E45" s="1400"/>
      <c r="F45" s="1400"/>
      <c r="O45" s="1403" t="s">
        <v>808</v>
      </c>
      <c r="P45" s="1461"/>
      <c r="Q45" s="1461"/>
      <c r="R45" s="1461"/>
    </row>
    <row r="46" spans="1:18" s="1384" customFormat="1" ht="13.8" thickBot="1">
      <c r="A46" s="1404" t="s">
        <v>809</v>
      </c>
      <c r="C46" s="1405">
        <f ca="1">ROUND(C45,0)</f>
        <v>-43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343240</v>
      </c>
      <c r="R47" s="1420" t="s">
        <v>818</v>
      </c>
    </row>
    <row r="48" spans="1:18" s="1384" customFormat="1" ht="40.200000000000003" thickBot="1">
      <c r="A48" s="1110" t="s">
        <v>438</v>
      </c>
      <c r="B48" s="300" t="s">
        <v>692</v>
      </c>
      <c r="C48" s="3535">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43</v>
      </c>
      <c r="K51" s="1434" t="s">
        <v>830</v>
      </c>
      <c r="L51" s="1435">
        <f ca="1">ROUND(-PV(INDIRECT("'数据-取费表'!h"&amp;$G$1),J51,(C39-C13*C76),0),0)</f>
        <v>-96215</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2427"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5" t="s">
        <v>837</v>
      </c>
      <c r="L53" s="3816"/>
      <c r="O53" s="1418" t="s">
        <v>409</v>
      </c>
      <c r="P53" s="1419" t="s">
        <v>838</v>
      </c>
      <c r="Q53" s="1420">
        <f ca="1">Q47+Q48</f>
        <v>343240</v>
      </c>
      <c r="R53" s="1420" t="s">
        <v>410</v>
      </c>
    </row>
    <row r="54" spans="1:18" s="1384" customFormat="1" ht="13.8" thickBot="1">
      <c r="A54" s="975"/>
      <c r="B54" s="1473" t="s">
        <v>891</v>
      </c>
      <c r="C54" s="959"/>
      <c r="D54" s="1366"/>
      <c r="E54" s="3528"/>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3528"/>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1.5900000000000034</v>
      </c>
      <c r="O56" s="1418" t="s">
        <v>403</v>
      </c>
      <c r="P56" s="1419" t="s">
        <v>817</v>
      </c>
      <c r="Q56" s="1420">
        <f ca="1">C40+J29</f>
        <v>343240</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-96215</v>
      </c>
      <c r="O57" s="1418" t="s">
        <v>404</v>
      </c>
      <c r="P57" s="1419" t="s">
        <v>846</v>
      </c>
      <c r="Q57" s="1420">
        <f ca="1">L60</f>
        <v>0</v>
      </c>
      <c r="R57" s="1420" t="s">
        <v>847</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0.90710000000000002</v>
      </c>
      <c r="M59" s="1381">
        <f ca="1">ROUND(POWER(1+L52,L47-(J51+'数据-取费表'!B24))*(POWER(1+L52,(J51+'数据-取费表'!B24))-1)/(POWER(1+L52,L47)-1),4)</f>
        <v>0.90710000000000002</v>
      </c>
      <c r="N59" s="1381">
        <f ca="1">ROUND(POWER(1+L52,L47-(J51+'数据-取费表'!B20))*(POWER(1+L52,(J51+'数据-取费表'!B20))-1)/(POWER(1+L52,L47)-1),4)</f>
        <v>0.91320000000000001</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727</v>
      </c>
      <c r="C61" s="21" t="str">
        <f ca="1">IF(项目基本情况!B11="自然人","——",IF(D61="按租金收入计税",ROUND(C49*F61/(1+'数据-取费表'!C42),0),IF(D61="按房产原值计税",ROUND(C57*F61*0.7,0),INDIRECT("'数据-取费表'!Aj"&amp;$G$1))))</f>
        <v>——</v>
      </c>
      <c r="D61" s="1370" t="s">
        <v>3337</v>
      </c>
      <c r="E61" s="950" t="s">
        <v>712</v>
      </c>
      <c r="F61" s="322">
        <f t="shared" si="0"/>
        <v>0.12</v>
      </c>
      <c r="I61" s="1461"/>
      <c r="J61" s="1461"/>
      <c r="K61" s="1461"/>
      <c r="L61" s="1461"/>
      <c r="O61" s="1428" t="s">
        <v>408</v>
      </c>
      <c r="P61" s="1419" t="str">
        <f>K59</f>
        <v>建筑物剩余耐用年限下的土地年期修正系数Kn</v>
      </c>
      <c r="Q61" s="1420">
        <f ca="1">L59</f>
        <v>0.90710000000000002</v>
      </c>
      <c r="R61" s="1420" t="s">
        <v>857</v>
      </c>
    </row>
    <row r="62" spans="1:18" s="1384" customFormat="1" ht="13.8" thickBot="1">
      <c r="A62" s="982" t="s">
        <v>784</v>
      </c>
      <c r="B62" s="949" t="s">
        <v>730</v>
      </c>
      <c r="C62" s="22" t="str">
        <f>IF(项目基本情况!B11="自然人","——",ROUND(F62*F63,0))</f>
        <v>——</v>
      </c>
      <c r="D62" s="965" t="s">
        <v>731</v>
      </c>
      <c r="E62" s="950" t="s">
        <v>732</v>
      </c>
      <c r="F62" s="325">
        <f t="shared" si="0"/>
        <v>1.5</v>
      </c>
      <c r="I62" s="1462" t="s">
        <v>858</v>
      </c>
      <c r="J62" s="1463" t="s">
        <v>859</v>
      </c>
      <c r="K62" s="1463" t="s">
        <v>860</v>
      </c>
      <c r="L62" s="1463" t="s">
        <v>861</v>
      </c>
      <c r="M62" s="1464" t="s">
        <v>862</v>
      </c>
      <c r="O62" s="1418" t="s">
        <v>409</v>
      </c>
      <c r="P62" s="1419" t="s">
        <v>838</v>
      </c>
      <c r="Q62" s="1420">
        <f ca="1">Q56+Q57</f>
        <v>343240</v>
      </c>
      <c r="R62" s="1420" t="s">
        <v>410</v>
      </c>
    </row>
    <row r="63" spans="1:18" s="1384" customFormat="1" ht="13.8"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402</v>
      </c>
      <c r="B64" s="950" t="s">
        <v>738</v>
      </c>
      <c r="C64" s="21">
        <f ca="1">ROUND(C57*F64,0)</f>
        <v>3923</v>
      </c>
      <c r="D64" s="964" t="s">
        <v>771</v>
      </c>
      <c r="E64" s="950" t="s">
        <v>712</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712</v>
      </c>
      <c r="F65" s="330">
        <f t="shared" ca="1" si="0"/>
        <v>1E-3</v>
      </c>
      <c r="I65" s="1462" t="s">
        <v>867</v>
      </c>
      <c r="J65" s="1463">
        <v>40</v>
      </c>
      <c r="K65" s="1463">
        <v>30</v>
      </c>
      <c r="L65" s="1463">
        <v>50</v>
      </c>
      <c r="M65" s="1465">
        <v>0.02</v>
      </c>
      <c r="O65" s="1418" t="s">
        <v>403</v>
      </c>
      <c r="P65" s="1419" t="s">
        <v>817</v>
      </c>
      <c r="Q65" s="1420">
        <f ca="1">C40+J29</f>
        <v>343240</v>
      </c>
      <c r="R65" s="1420" t="s">
        <v>818</v>
      </c>
    </row>
    <row r="66" spans="1:18" s="1384" customFormat="1" ht="16.2" thickBot="1">
      <c r="A66" s="982" t="s">
        <v>793</v>
      </c>
      <c r="B66" s="950" t="s">
        <v>728</v>
      </c>
      <c r="C66" s="21">
        <f ca="1">ROUND(C48*F66,0)</f>
        <v>0</v>
      </c>
      <c r="D66" s="964" t="s">
        <v>748</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-96215</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-4723</v>
      </c>
      <c r="R68" s="1420" t="s">
        <v>414</v>
      </c>
    </row>
    <row r="69" spans="1:18" s="1384" customFormat="1" ht="13.8" thickBot="1">
      <c r="A69" s="951"/>
      <c r="B69" s="952"/>
      <c r="C69" s="306"/>
      <c r="D69" s="970" t="s">
        <v>762</v>
      </c>
      <c r="E69" s="950" t="s">
        <v>763</v>
      </c>
      <c r="F69" s="333">
        <f ca="1">F41</f>
        <v>44.59</v>
      </c>
      <c r="O69" s="1428" t="s">
        <v>411</v>
      </c>
      <c r="P69" s="1467" t="s">
        <v>872</v>
      </c>
      <c r="Q69" s="1420">
        <f ca="1">C39</f>
        <v>11850</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0.90710000000000002</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343240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-0.39900000000000002</v>
      </c>
    </row>
    <row r="80" spans="1:18">
      <c r="B80" s="340" t="s">
        <v>800</v>
      </c>
      <c r="C80" s="274">
        <f ca="1">ROUND(C75/C39,3)</f>
        <v>1.399</v>
      </c>
    </row>
    <row r="81" spans="2:3">
      <c r="B81" s="270" t="s">
        <v>801</v>
      </c>
      <c r="C81" s="238"/>
    </row>
    <row r="82" spans="2:3">
      <c r="B82" s="273" t="s">
        <v>802</v>
      </c>
      <c r="C82" s="275">
        <f ca="1">1-C83</f>
        <v>0.25700000000000001</v>
      </c>
    </row>
    <row r="83" spans="2:3">
      <c r="B83" s="273" t="s">
        <v>803</v>
      </c>
      <c r="C83" s="274">
        <f ca="1">ROUND(C13/C40,3)</f>
        <v>0.74299999999999999</v>
      </c>
    </row>
  </sheetData>
  <sheetProtection formatCells="0" formatColumns="0" formatRows="0"/>
  <mergeCells count="3">
    <mergeCell ref="B6:B9"/>
    <mergeCell ref="I6:I9"/>
    <mergeCell ref="K53:L53"/>
  </mergeCells>
  <phoneticPr fontId="13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0"/>
  <sheetViews>
    <sheetView zoomScale="140" zoomScaleNormal="140" workbookViewId="0">
      <selection activeCell="B17" sqref="B17"/>
    </sheetView>
  </sheetViews>
  <sheetFormatPr defaultRowHeight="14.4"/>
  <cols>
    <col min="2" max="2" width="12.77734375" bestFit="1" customWidth="1"/>
    <col min="17" max="17" width="12.44140625" customWidth="1"/>
  </cols>
  <sheetData>
    <row r="2" spans="1:20">
      <c r="A2" s="3449" t="s">
        <v>4344</v>
      </c>
      <c r="B2">
        <v>13691549935</v>
      </c>
      <c r="C2" s="3449" t="s">
        <v>4345</v>
      </c>
    </row>
    <row r="3" spans="1:20">
      <c r="A3" s="3449" t="s">
        <v>4346</v>
      </c>
      <c r="B3" s="3449" t="s">
        <v>4347</v>
      </c>
      <c r="C3" s="3449" t="s">
        <v>4348</v>
      </c>
      <c r="D3" s="3449" t="s">
        <v>4349</v>
      </c>
      <c r="E3" s="3449" t="s">
        <v>4350</v>
      </c>
      <c r="F3" s="3449" t="s">
        <v>4351</v>
      </c>
      <c r="H3" s="3449" t="s">
        <v>4390</v>
      </c>
      <c r="I3">
        <v>1500</v>
      </c>
    </row>
    <row r="4" spans="1:20" s="3464" customFormat="1">
      <c r="B4" s="3464">
        <v>95</v>
      </c>
      <c r="C4" s="3464">
        <v>2</v>
      </c>
      <c r="D4" s="3464" t="s">
        <v>4352</v>
      </c>
      <c r="E4" s="3464">
        <v>180</v>
      </c>
      <c r="F4" s="3464">
        <f>ROUND(E4*10000/B4,0)</f>
        <v>18947</v>
      </c>
    </row>
    <row r="5" spans="1:20">
      <c r="B5">
        <v>60</v>
      </c>
      <c r="C5">
        <v>4</v>
      </c>
      <c r="D5" s="3449" t="s">
        <v>4353</v>
      </c>
      <c r="E5">
        <v>125</v>
      </c>
      <c r="F5">
        <f t="shared" ref="F5:F6" si="0">ROUND(E5*10000/B5,0)</f>
        <v>20833</v>
      </c>
    </row>
    <row r="6" spans="1:20">
      <c r="B6">
        <v>60</v>
      </c>
      <c r="C6">
        <v>3</v>
      </c>
      <c r="D6" s="3449" t="s">
        <v>4354</v>
      </c>
      <c r="E6">
        <v>140</v>
      </c>
      <c r="F6">
        <f t="shared" si="0"/>
        <v>23333</v>
      </c>
    </row>
    <row r="8" spans="1:20" ht="15" thickBot="1"/>
    <row r="9" spans="1:20" ht="15" thickBot="1">
      <c r="A9" s="3616" t="s">
        <v>3884</v>
      </c>
      <c r="B9" s="3616" t="s">
        <v>3473</v>
      </c>
      <c r="C9" s="3616" t="s">
        <v>3474</v>
      </c>
      <c r="D9" s="3616" t="s">
        <v>3475</v>
      </c>
      <c r="E9" s="3616" t="s">
        <v>3476</v>
      </c>
      <c r="F9" s="3616" t="s">
        <v>3477</v>
      </c>
      <c r="G9" s="3616" t="s">
        <v>3478</v>
      </c>
      <c r="H9" s="3616" t="s">
        <v>3479</v>
      </c>
      <c r="I9" s="3616" t="s">
        <v>3480</v>
      </c>
      <c r="J9" s="3616" t="s">
        <v>3481</v>
      </c>
      <c r="K9" s="3616" t="s">
        <v>3482</v>
      </c>
      <c r="L9" s="3616" t="s">
        <v>3885</v>
      </c>
      <c r="M9" s="3616" t="s">
        <v>3886</v>
      </c>
      <c r="N9" s="3616" t="s">
        <v>3483</v>
      </c>
      <c r="O9" s="3616" t="s">
        <v>3484</v>
      </c>
      <c r="P9" s="3616" t="s">
        <v>3485</v>
      </c>
      <c r="Q9" s="3616" t="s">
        <v>3486</v>
      </c>
      <c r="R9" s="3615" t="s">
        <v>4380</v>
      </c>
    </row>
    <row r="10" spans="1:20" ht="23.4" thickBot="1">
      <c r="A10" s="3617" t="s">
        <v>4359</v>
      </c>
      <c r="B10" s="3617" t="s">
        <v>4360</v>
      </c>
      <c r="C10" s="3617" t="s">
        <v>4361</v>
      </c>
      <c r="D10" s="3617" t="s">
        <v>4362</v>
      </c>
      <c r="E10" s="3617" t="s">
        <v>3498</v>
      </c>
      <c r="F10" s="3617">
        <v>98.59</v>
      </c>
      <c r="G10" s="3617" t="s">
        <v>3386</v>
      </c>
      <c r="H10" s="3617">
        <v>5</v>
      </c>
      <c r="I10" s="3617">
        <v>2</v>
      </c>
      <c r="J10" s="3617">
        <v>1996</v>
      </c>
      <c r="K10" s="3617" t="s">
        <v>633</v>
      </c>
      <c r="L10" s="3617" t="s">
        <v>633</v>
      </c>
      <c r="M10" s="3617" t="s">
        <v>633</v>
      </c>
      <c r="N10" s="3617">
        <v>16229</v>
      </c>
      <c r="O10" s="3617">
        <v>16489</v>
      </c>
      <c r="P10" s="3617">
        <v>1625651</v>
      </c>
      <c r="Q10" s="3618">
        <v>45525</v>
      </c>
    </row>
    <row r="11" spans="1:20" s="3464" customFormat="1" ht="57.6" thickBot="1">
      <c r="A11" s="3619" t="s">
        <v>4359</v>
      </c>
      <c r="B11" s="3619" t="s">
        <v>4379</v>
      </c>
      <c r="C11" s="3619" t="s">
        <v>4363</v>
      </c>
      <c r="D11" s="3619" t="s">
        <v>4362</v>
      </c>
      <c r="E11" s="3619" t="s">
        <v>3498</v>
      </c>
      <c r="F11" s="3619">
        <v>113.03</v>
      </c>
      <c r="G11" s="3619" t="s">
        <v>3386</v>
      </c>
      <c r="H11" s="3619">
        <v>6</v>
      </c>
      <c r="I11" s="3619">
        <v>3</v>
      </c>
      <c r="J11" s="3619" t="s">
        <v>633</v>
      </c>
      <c r="K11" s="3619">
        <v>2003</v>
      </c>
      <c r="L11" s="3619" t="s">
        <v>633</v>
      </c>
      <c r="M11" s="3619" t="s">
        <v>633</v>
      </c>
      <c r="N11" s="3619">
        <v>21145</v>
      </c>
      <c r="O11" s="3619">
        <v>18796</v>
      </c>
      <c r="P11" s="3619">
        <v>2124512</v>
      </c>
      <c r="Q11" s="3620">
        <v>45505</v>
      </c>
      <c r="R11" s="3620" t="s">
        <v>4381</v>
      </c>
      <c r="S11" s="3620" t="s">
        <v>4382</v>
      </c>
      <c r="T11" s="3620" t="s">
        <v>4383</v>
      </c>
    </row>
    <row r="12" spans="1:20" ht="23.4" thickBot="1">
      <c r="A12" s="3617" t="s">
        <v>4359</v>
      </c>
      <c r="B12" s="3617" t="s">
        <v>4364</v>
      </c>
      <c r="C12" s="3617" t="s">
        <v>4386</v>
      </c>
      <c r="D12" s="3617" t="s">
        <v>4362</v>
      </c>
      <c r="E12" s="3617" t="s">
        <v>3498</v>
      </c>
      <c r="F12" s="3617">
        <v>126.8</v>
      </c>
      <c r="G12" s="3617" t="s">
        <v>3386</v>
      </c>
      <c r="H12" s="3617">
        <v>6</v>
      </c>
      <c r="I12" s="3617">
        <v>5</v>
      </c>
      <c r="J12" s="3617">
        <v>2003</v>
      </c>
      <c r="K12" s="3617" t="s">
        <v>633</v>
      </c>
      <c r="L12" s="3617" t="s">
        <v>633</v>
      </c>
      <c r="M12" s="3617" t="s">
        <v>633</v>
      </c>
      <c r="N12" s="3617">
        <v>18139</v>
      </c>
      <c r="O12" s="3617">
        <v>18306</v>
      </c>
      <c r="P12" s="3617">
        <v>2321201</v>
      </c>
      <c r="Q12" s="3618">
        <v>45503</v>
      </c>
    </row>
    <row r="13" spans="1:20" ht="23.4" thickBot="1">
      <c r="A13" s="3617" t="s">
        <v>4359</v>
      </c>
      <c r="B13" s="3617" t="s">
        <v>4365</v>
      </c>
      <c r="C13" s="3617" t="s">
        <v>4366</v>
      </c>
      <c r="D13" s="3617" t="s">
        <v>4362</v>
      </c>
      <c r="E13" s="3617" t="s">
        <v>3498</v>
      </c>
      <c r="F13" s="3617">
        <v>53.49</v>
      </c>
      <c r="G13" s="3617" t="s">
        <v>3386</v>
      </c>
      <c r="H13" s="3617">
        <v>6</v>
      </c>
      <c r="I13" s="3617">
        <v>6</v>
      </c>
      <c r="J13" s="3617" t="s">
        <v>633</v>
      </c>
      <c r="K13" s="3617">
        <v>2008</v>
      </c>
      <c r="L13" s="3617" t="s">
        <v>633</v>
      </c>
      <c r="M13" s="3617" t="s">
        <v>633</v>
      </c>
      <c r="N13" s="3617">
        <v>19817</v>
      </c>
      <c r="O13" s="3617">
        <v>19945</v>
      </c>
      <c r="P13" s="3617">
        <v>1066858</v>
      </c>
      <c r="Q13" s="3618">
        <v>45470</v>
      </c>
    </row>
    <row r="14" spans="1:20" ht="23.4" thickBot="1">
      <c r="A14" s="3617" t="s">
        <v>4359</v>
      </c>
      <c r="B14" s="3617" t="s">
        <v>4378</v>
      </c>
      <c r="C14" s="3617" t="s">
        <v>4377</v>
      </c>
      <c r="D14" s="3617" t="s">
        <v>4362</v>
      </c>
      <c r="E14" s="3617" t="s">
        <v>3498</v>
      </c>
      <c r="F14" s="3617">
        <v>108.65</v>
      </c>
      <c r="G14" s="3617" t="s">
        <v>3386</v>
      </c>
      <c r="H14" s="3617">
        <v>6</v>
      </c>
      <c r="I14" s="3617">
        <v>3</v>
      </c>
      <c r="J14" s="3617" t="s">
        <v>633</v>
      </c>
      <c r="K14" s="3617">
        <v>2002</v>
      </c>
      <c r="L14" s="3617" t="s">
        <v>633</v>
      </c>
      <c r="M14" s="3617" t="s">
        <v>633</v>
      </c>
      <c r="N14" s="3617">
        <v>18408</v>
      </c>
      <c r="O14" s="3617">
        <v>17535</v>
      </c>
      <c r="P14" s="3617">
        <v>1905178</v>
      </c>
      <c r="Q14" s="3618">
        <v>45460</v>
      </c>
    </row>
    <row r="15" spans="1:20" ht="57.6" thickBot="1">
      <c r="A15" s="3619" t="s">
        <v>4359</v>
      </c>
      <c r="B15" s="3619" t="s">
        <v>4399</v>
      </c>
      <c r="C15" s="3619" t="s">
        <v>4372</v>
      </c>
      <c r="D15" s="3619" t="s">
        <v>4362</v>
      </c>
      <c r="E15" s="3619" t="s">
        <v>3498</v>
      </c>
      <c r="F15" s="3619">
        <v>93.6</v>
      </c>
      <c r="G15" s="3619" t="s">
        <v>3386</v>
      </c>
      <c r="H15" s="3619">
        <v>6</v>
      </c>
      <c r="I15" s="3619">
        <v>3</v>
      </c>
      <c r="J15" s="3619">
        <v>1994</v>
      </c>
      <c r="K15" s="3619" t="s">
        <v>633</v>
      </c>
      <c r="L15" s="3619" t="s">
        <v>633</v>
      </c>
      <c r="M15" s="3619" t="s">
        <v>633</v>
      </c>
      <c r="N15" s="3619">
        <v>20299</v>
      </c>
      <c r="O15" s="3619">
        <v>20317</v>
      </c>
      <c r="P15" s="3619">
        <v>1901671</v>
      </c>
      <c r="Q15" s="3620">
        <v>45441</v>
      </c>
      <c r="R15" s="3620" t="s">
        <v>4381</v>
      </c>
      <c r="S15" s="3620" t="s">
        <v>4382</v>
      </c>
      <c r="T15" s="3620" t="s">
        <v>4383</v>
      </c>
    </row>
    <row r="16" spans="1:20" ht="23.4" thickBot="1">
      <c r="A16" s="3617" t="s">
        <v>4359</v>
      </c>
      <c r="B16" s="3617" t="s">
        <v>4367</v>
      </c>
      <c r="C16" s="3617" t="s">
        <v>4376</v>
      </c>
      <c r="D16" s="3617" t="s">
        <v>4362</v>
      </c>
      <c r="E16" s="3617" t="s">
        <v>3498</v>
      </c>
      <c r="F16" s="3617">
        <v>94.28</v>
      </c>
      <c r="G16" s="3617" t="s">
        <v>3386</v>
      </c>
      <c r="H16" s="3617">
        <v>6</v>
      </c>
      <c r="I16" s="3617">
        <v>2</v>
      </c>
      <c r="J16" s="3617" t="s">
        <v>633</v>
      </c>
      <c r="K16" s="3617">
        <v>1996</v>
      </c>
      <c r="L16" s="3617" t="s">
        <v>633</v>
      </c>
      <c r="M16" s="3617" t="s">
        <v>633</v>
      </c>
      <c r="N16" s="3617">
        <v>16228</v>
      </c>
      <c r="O16" s="3617">
        <v>16137</v>
      </c>
      <c r="P16" s="3617">
        <v>1521396</v>
      </c>
      <c r="Q16" s="3618">
        <v>45441</v>
      </c>
    </row>
    <row r="17" spans="1:20" ht="46.2" thickBot="1">
      <c r="A17" s="3619" t="s">
        <v>4359</v>
      </c>
      <c r="B17" s="3619" t="s">
        <v>4400</v>
      </c>
      <c r="C17" s="3619" t="s">
        <v>4366</v>
      </c>
      <c r="D17" s="3619" t="s">
        <v>4362</v>
      </c>
      <c r="E17" s="3619" t="s">
        <v>3498</v>
      </c>
      <c r="F17" s="3619">
        <v>96.82</v>
      </c>
      <c r="G17" s="3619" t="s">
        <v>3386</v>
      </c>
      <c r="H17" s="3619">
        <v>6</v>
      </c>
      <c r="I17" s="3619">
        <v>6</v>
      </c>
      <c r="J17" s="3619" t="s">
        <v>633</v>
      </c>
      <c r="K17" s="3619">
        <v>2008</v>
      </c>
      <c r="L17" s="3619" t="s">
        <v>633</v>
      </c>
      <c r="M17" s="3619" t="s">
        <v>633</v>
      </c>
      <c r="N17" s="3619">
        <v>17662</v>
      </c>
      <c r="O17" s="3619">
        <v>17585</v>
      </c>
      <c r="P17" s="3619">
        <v>1702580</v>
      </c>
      <c r="Q17" s="3620">
        <v>45360</v>
      </c>
      <c r="R17" s="3620" t="s">
        <v>4381</v>
      </c>
      <c r="S17" s="3620" t="s">
        <v>4384</v>
      </c>
      <c r="T17" s="3620" t="s">
        <v>4383</v>
      </c>
    </row>
    <row r="18" spans="1:20" ht="15" thickBot="1"/>
    <row r="19" spans="1:20" ht="23.4" thickBot="1">
      <c r="A19" s="3617" t="s">
        <v>4359</v>
      </c>
      <c r="B19" s="3617" t="s">
        <v>4368</v>
      </c>
      <c r="C19" s="3617" t="s">
        <v>4369</v>
      </c>
      <c r="D19" s="3617"/>
      <c r="E19" s="3617" t="s">
        <v>4370</v>
      </c>
      <c r="F19" s="3617">
        <v>70.52</v>
      </c>
      <c r="G19" s="3617" t="s">
        <v>3386</v>
      </c>
      <c r="H19" s="3617">
        <v>6</v>
      </c>
      <c r="I19" s="3617">
        <v>5</v>
      </c>
      <c r="J19" s="3617">
        <v>1995</v>
      </c>
      <c r="K19" s="3617" t="s">
        <v>633</v>
      </c>
      <c r="L19" s="3617" t="s">
        <v>633</v>
      </c>
      <c r="M19" s="3617" t="s">
        <v>633</v>
      </c>
      <c r="N19" s="3617">
        <v>0</v>
      </c>
      <c r="O19" s="3617">
        <v>20564</v>
      </c>
      <c r="P19" s="3617">
        <v>1450173</v>
      </c>
      <c r="Q19" s="3618">
        <v>45447</v>
      </c>
    </row>
    <row r="20" spans="1:20" ht="23.4" thickBot="1">
      <c r="A20" s="3617" t="s">
        <v>4359</v>
      </c>
      <c r="B20" s="3617" t="s">
        <v>4371</v>
      </c>
      <c r="C20" s="3617" t="s">
        <v>4369</v>
      </c>
      <c r="D20" s="3617" t="s">
        <v>4362</v>
      </c>
      <c r="E20" s="3617" t="s">
        <v>3498</v>
      </c>
      <c r="F20" s="3617">
        <v>93.88</v>
      </c>
      <c r="G20" s="3617" t="s">
        <v>3386</v>
      </c>
      <c r="H20" s="3617">
        <v>6</v>
      </c>
      <c r="I20" s="3617">
        <v>3</v>
      </c>
      <c r="J20" s="3617" t="s">
        <v>633</v>
      </c>
      <c r="K20" s="3617">
        <v>1997</v>
      </c>
      <c r="L20" s="3617" t="s">
        <v>633</v>
      </c>
      <c r="M20" s="3617" t="s">
        <v>633</v>
      </c>
      <c r="N20" s="3617">
        <v>21836</v>
      </c>
      <c r="O20" s="3617">
        <v>20050</v>
      </c>
      <c r="P20" s="3617">
        <v>1882294</v>
      </c>
      <c r="Q20" s="3618">
        <v>44856</v>
      </c>
    </row>
  </sheetData>
  <phoneticPr fontId="13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2"/>
  <sheetViews>
    <sheetView workbookViewId="0">
      <selection activeCell="S35" sqref="S35"/>
    </sheetView>
  </sheetViews>
  <sheetFormatPr defaultRowHeight="14.4"/>
  <cols>
    <col min="17" max="17" width="10.44140625" customWidth="1"/>
  </cols>
  <sheetData>
    <row r="1" spans="1:19">
      <c r="A1" s="3628" t="s">
        <v>4391</v>
      </c>
    </row>
    <row r="11" spans="1:19">
      <c r="N11" s="3449" t="s">
        <v>4347</v>
      </c>
      <c r="O11" s="3449" t="s">
        <v>4392</v>
      </c>
      <c r="P11" s="3449" t="s">
        <v>4393</v>
      </c>
      <c r="Q11" s="3449" t="s">
        <v>4394</v>
      </c>
      <c r="R11" s="3449" t="s">
        <v>4396</v>
      </c>
    </row>
    <row r="12" spans="1:19">
      <c r="N12">
        <v>83.58</v>
      </c>
      <c r="P12">
        <v>1694710</v>
      </c>
      <c r="Q12">
        <f>P12/N12</f>
        <v>20276.501555396029</v>
      </c>
      <c r="R12">
        <v>949037.6</v>
      </c>
      <c r="S12">
        <f>R12/N12</f>
        <v>11354.840871021775</v>
      </c>
    </row>
    <row r="24" spans="1:1">
      <c r="A24" s="3628" t="s">
        <v>4395</v>
      </c>
    </row>
    <row r="34" spans="1:19">
      <c r="N34" s="3449" t="s">
        <v>4347</v>
      </c>
      <c r="O34" s="3449" t="s">
        <v>4392</v>
      </c>
      <c r="P34" s="3449" t="s">
        <v>4393</v>
      </c>
      <c r="Q34" s="3449" t="s">
        <v>4394</v>
      </c>
      <c r="R34" s="3449" t="s">
        <v>4396</v>
      </c>
    </row>
    <row r="35" spans="1:19">
      <c r="N35">
        <v>99.95</v>
      </c>
      <c r="P35">
        <v>2067299</v>
      </c>
      <c r="Q35">
        <f>P35/N35</f>
        <v>20683.331665832917</v>
      </c>
      <c r="R35">
        <v>1320000</v>
      </c>
      <c r="S35">
        <f>R35/N35</f>
        <v>13206.603301650825</v>
      </c>
    </row>
    <row r="47" spans="1:19">
      <c r="A47" s="3628" t="s">
        <v>4397</v>
      </c>
    </row>
    <row r="60" spans="14:19">
      <c r="N60" s="3449" t="s">
        <v>4347</v>
      </c>
      <c r="O60" s="3449" t="s">
        <v>4392</v>
      </c>
      <c r="P60" s="3449" t="s">
        <v>4393</v>
      </c>
      <c r="Q60" s="3449" t="s">
        <v>4394</v>
      </c>
      <c r="R60" s="3449" t="s">
        <v>4396</v>
      </c>
    </row>
    <row r="61" spans="14:19">
      <c r="N61">
        <v>101.66</v>
      </c>
      <c r="P61">
        <v>2024694.66</v>
      </c>
      <c r="Q61">
        <f>P61/N61</f>
        <v>19916.335431831594</v>
      </c>
      <c r="R61">
        <v>2100000</v>
      </c>
      <c r="S61">
        <f>R61/N61</f>
        <v>20657.092268345466</v>
      </c>
    </row>
    <row r="70" spans="1:1">
      <c r="A70" s="3628" t="s">
        <v>4398</v>
      </c>
    </row>
    <row r="81" spans="15:20">
      <c r="O81" s="3449" t="s">
        <v>4347</v>
      </c>
      <c r="P81" s="3449" t="s">
        <v>4392</v>
      </c>
      <c r="Q81" s="3449" t="s">
        <v>4393</v>
      </c>
      <c r="R81" s="3449" t="s">
        <v>4394</v>
      </c>
      <c r="S81" s="3449" t="s">
        <v>4396</v>
      </c>
    </row>
    <row r="82" spans="15:20">
      <c r="O82">
        <v>125.73</v>
      </c>
      <c r="Q82">
        <v>1782500</v>
      </c>
      <c r="R82">
        <f>Q82/O82</f>
        <v>14177.205122087011</v>
      </c>
      <c r="S82">
        <v>1426000</v>
      </c>
      <c r="T82">
        <f>S82/O82</f>
        <v>11341.764097669609</v>
      </c>
    </row>
  </sheetData>
  <phoneticPr fontId="136" type="noConversion"/>
  <hyperlinks>
    <hyperlink ref="A1" r:id="rId1"/>
    <hyperlink ref="A24" r:id="rId2"/>
    <hyperlink ref="A47" r:id="rId3"/>
    <hyperlink ref="A70" r:id="rId4"/>
  </hyperlinks>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606" t="s">
        <v>4314</v>
      </c>
      <c r="B1" s="3606" t="s">
        <v>4315</v>
      </c>
      <c r="C1" s="3606" t="s">
        <v>4316</v>
      </c>
      <c r="D1" s="3606" t="s">
        <v>4317</v>
      </c>
      <c r="E1" s="3606" t="s">
        <v>4318</v>
      </c>
      <c r="F1" s="3606" t="s">
        <v>4319</v>
      </c>
      <c r="G1" s="3606" t="s">
        <v>4320</v>
      </c>
      <c r="H1" s="3606" t="s">
        <v>4321</v>
      </c>
      <c r="I1" s="3607" t="s">
        <v>4322</v>
      </c>
      <c r="J1" s="3606" t="s">
        <v>4323</v>
      </c>
      <c r="K1" s="3606" t="s">
        <v>3480</v>
      </c>
      <c r="L1" s="3606" t="s">
        <v>4324</v>
      </c>
    </row>
    <row r="2" spans="1:12">
      <c r="A2" s="3608" t="s">
        <v>4325</v>
      </c>
      <c r="B2" s="3608" t="s">
        <v>3908</v>
      </c>
      <c r="C2" s="3608">
        <v>7800000</v>
      </c>
      <c r="D2" s="3608">
        <v>97.36</v>
      </c>
      <c r="E2" s="3608" t="s">
        <v>4326</v>
      </c>
      <c r="F2" s="3608" t="s">
        <v>4327</v>
      </c>
      <c r="G2" s="3608" t="s">
        <v>4273</v>
      </c>
      <c r="H2" s="3608">
        <v>20</v>
      </c>
      <c r="I2" s="3609">
        <v>42802</v>
      </c>
      <c r="J2" s="3608">
        <v>80116</v>
      </c>
      <c r="K2" s="3608" t="s">
        <v>4328</v>
      </c>
      <c r="L2" s="3608">
        <v>24</v>
      </c>
    </row>
    <row r="3" spans="1:12">
      <c r="A3" s="3610" t="s">
        <v>4325</v>
      </c>
      <c r="B3" s="3610" t="s">
        <v>3908</v>
      </c>
      <c r="C3" s="3610">
        <v>3450000</v>
      </c>
      <c r="D3" s="3610">
        <v>48.95</v>
      </c>
      <c r="E3" s="3610" t="s">
        <v>4326</v>
      </c>
      <c r="F3" s="3610" t="s">
        <v>4329</v>
      </c>
      <c r="G3" s="3610" t="s">
        <v>4274</v>
      </c>
      <c r="H3" s="3610">
        <v>12</v>
      </c>
      <c r="I3" s="3611">
        <v>42810</v>
      </c>
      <c r="J3" s="3610">
        <v>70481</v>
      </c>
      <c r="K3" s="3610" t="s">
        <v>4330</v>
      </c>
      <c r="L3" s="3610">
        <v>24</v>
      </c>
    </row>
    <row r="4" spans="1:12">
      <c r="A4" t="s">
        <v>4325</v>
      </c>
      <c r="B4" t="s">
        <v>4331</v>
      </c>
      <c r="C4">
        <v>6150000</v>
      </c>
      <c r="D4">
        <v>93</v>
      </c>
      <c r="E4" t="s">
        <v>4326</v>
      </c>
      <c r="F4" t="s">
        <v>4332</v>
      </c>
      <c r="G4" t="s">
        <v>4292</v>
      </c>
      <c r="H4">
        <v>20</v>
      </c>
      <c r="I4" s="3566">
        <v>42863</v>
      </c>
      <c r="J4">
        <v>66130</v>
      </c>
      <c r="K4" t="s">
        <v>4328</v>
      </c>
      <c r="L4">
        <v>24</v>
      </c>
    </row>
    <row r="5" spans="1:12">
      <c r="A5" s="3610" t="s">
        <v>4325</v>
      </c>
      <c r="B5" s="3610" t="s">
        <v>4331</v>
      </c>
      <c r="C5" s="3610">
        <v>5950000</v>
      </c>
      <c r="D5" s="3610">
        <v>82.11</v>
      </c>
      <c r="E5" s="3610" t="s">
        <v>4326</v>
      </c>
      <c r="F5" s="3610" t="s">
        <v>4332</v>
      </c>
      <c r="G5" s="3610" t="s">
        <v>4292</v>
      </c>
      <c r="H5" s="3610">
        <v>8</v>
      </c>
      <c r="I5" s="3611">
        <v>42797</v>
      </c>
      <c r="J5" s="3610">
        <v>72464</v>
      </c>
      <c r="K5" s="3610" t="s">
        <v>4330</v>
      </c>
      <c r="L5" s="3610">
        <v>16</v>
      </c>
    </row>
    <row r="6" spans="1:12">
      <c r="A6" t="s">
        <v>4325</v>
      </c>
      <c r="B6" t="s">
        <v>4331</v>
      </c>
      <c r="C6">
        <v>9700000</v>
      </c>
      <c r="D6">
        <v>185.55</v>
      </c>
      <c r="E6" t="s">
        <v>4326</v>
      </c>
      <c r="F6" t="s">
        <v>4333</v>
      </c>
      <c r="G6" t="s">
        <v>4312</v>
      </c>
      <c r="H6" t="s">
        <v>4334</v>
      </c>
      <c r="I6" s="3566">
        <v>42806</v>
      </c>
      <c r="J6">
        <v>52278</v>
      </c>
      <c r="K6" t="s">
        <v>4335</v>
      </c>
      <c r="L6">
        <v>6</v>
      </c>
    </row>
    <row r="7" spans="1:12">
      <c r="A7" t="s">
        <v>4325</v>
      </c>
      <c r="B7" t="s">
        <v>4331</v>
      </c>
      <c r="C7">
        <v>6900000</v>
      </c>
      <c r="D7">
        <v>82.11</v>
      </c>
      <c r="E7" t="s">
        <v>4326</v>
      </c>
      <c r="F7" t="s">
        <v>4332</v>
      </c>
      <c r="G7" t="s">
        <v>4267</v>
      </c>
      <c r="H7">
        <v>20</v>
      </c>
      <c r="I7" s="3566">
        <v>42815</v>
      </c>
      <c r="J7">
        <v>84034</v>
      </c>
      <c r="K7" t="s">
        <v>4328</v>
      </c>
      <c r="L7">
        <v>24</v>
      </c>
    </row>
    <row r="8" spans="1:12">
      <c r="A8" s="3608" t="s">
        <v>4325</v>
      </c>
      <c r="B8" s="3608" t="s">
        <v>4331</v>
      </c>
      <c r="C8" s="3608">
        <v>9380000</v>
      </c>
      <c r="D8" s="3608">
        <v>126.88</v>
      </c>
      <c r="E8" s="3608" t="s">
        <v>4326</v>
      </c>
      <c r="F8" s="3608" t="s">
        <v>4327</v>
      </c>
      <c r="G8" s="3608" t="s">
        <v>4292</v>
      </c>
      <c r="H8" s="3608">
        <v>4</v>
      </c>
      <c r="I8" s="3609">
        <v>42810</v>
      </c>
      <c r="J8" s="3608">
        <v>73929</v>
      </c>
      <c r="K8" s="3608" t="s">
        <v>4336</v>
      </c>
      <c r="L8" s="3608">
        <v>24</v>
      </c>
    </row>
    <row r="9" spans="1:12">
      <c r="A9" s="3612" t="s">
        <v>4325</v>
      </c>
      <c r="B9" s="3612" t="s">
        <v>4331</v>
      </c>
      <c r="C9" s="3612">
        <v>6120000</v>
      </c>
      <c r="D9" s="3612">
        <v>80.709999999999994</v>
      </c>
      <c r="E9" s="3612" t="s">
        <v>4326</v>
      </c>
      <c r="F9" s="3612" t="s">
        <v>4332</v>
      </c>
      <c r="G9" s="3612" t="s">
        <v>4312</v>
      </c>
      <c r="H9" s="3612">
        <v>3</v>
      </c>
      <c r="I9" s="3613">
        <v>42798</v>
      </c>
      <c r="J9" s="3612">
        <v>75828</v>
      </c>
      <c r="K9" s="3612" t="s">
        <v>4330</v>
      </c>
      <c r="L9" s="3612">
        <v>6</v>
      </c>
    </row>
    <row r="10" spans="1:12">
      <c r="A10" s="3610" t="s">
        <v>4325</v>
      </c>
      <c r="B10" s="3610" t="s">
        <v>4331</v>
      </c>
      <c r="C10" s="3610">
        <v>6100000</v>
      </c>
      <c r="D10" s="3610">
        <v>81.61</v>
      </c>
      <c r="E10" s="3610" t="s">
        <v>4326</v>
      </c>
      <c r="F10" s="3610" t="s">
        <v>4332</v>
      </c>
      <c r="G10" s="3610" t="s">
        <v>4267</v>
      </c>
      <c r="H10" s="3610">
        <v>3</v>
      </c>
      <c r="I10" s="3611">
        <v>42814</v>
      </c>
      <c r="J10" s="3610">
        <v>74746</v>
      </c>
      <c r="K10" s="3610" t="s">
        <v>4336</v>
      </c>
      <c r="L10" s="3610">
        <v>16</v>
      </c>
    </row>
    <row r="11" spans="1:12">
      <c r="A11" t="s">
        <v>4325</v>
      </c>
      <c r="B11" t="s">
        <v>4331</v>
      </c>
      <c r="C11">
        <v>5800000</v>
      </c>
      <c r="D11">
        <v>81.61</v>
      </c>
      <c r="E11" t="s">
        <v>4326</v>
      </c>
      <c r="F11" t="s">
        <v>4332</v>
      </c>
      <c r="G11" t="s">
        <v>4267</v>
      </c>
      <c r="H11">
        <v>20</v>
      </c>
      <c r="I11" s="3566">
        <v>42770</v>
      </c>
      <c r="J11">
        <v>71070</v>
      </c>
      <c r="K11" t="s">
        <v>4328</v>
      </c>
      <c r="L11">
        <v>24</v>
      </c>
    </row>
    <row r="12" spans="1:12">
      <c r="A12" t="s">
        <v>4325</v>
      </c>
      <c r="B12" t="s">
        <v>4331</v>
      </c>
      <c r="C12">
        <v>9200000</v>
      </c>
      <c r="D12">
        <v>139.16999999999999</v>
      </c>
      <c r="E12" t="s">
        <v>4326</v>
      </c>
      <c r="F12" t="s">
        <v>4337</v>
      </c>
      <c r="G12" t="s">
        <v>4267</v>
      </c>
      <c r="H12">
        <v>12</v>
      </c>
      <c r="I12" s="3566">
        <v>42821</v>
      </c>
      <c r="J12">
        <v>66107</v>
      </c>
      <c r="K12" t="s">
        <v>4330</v>
      </c>
      <c r="L12">
        <v>24</v>
      </c>
    </row>
    <row r="13" spans="1:12">
      <c r="A13" t="s">
        <v>4325</v>
      </c>
      <c r="B13" t="s">
        <v>4331</v>
      </c>
      <c r="C13">
        <v>6350000</v>
      </c>
      <c r="D13">
        <v>93.63</v>
      </c>
      <c r="E13" t="s">
        <v>4326</v>
      </c>
      <c r="F13" t="s">
        <v>4332</v>
      </c>
      <c r="G13" t="s">
        <v>4292</v>
      </c>
      <c r="H13">
        <v>12</v>
      </c>
      <c r="I13" s="3566">
        <v>42813</v>
      </c>
      <c r="J13">
        <v>67821</v>
      </c>
      <c r="K13" t="s">
        <v>4330</v>
      </c>
      <c r="L13">
        <v>24</v>
      </c>
    </row>
    <row r="14" spans="1:12">
      <c r="A14" t="s">
        <v>4325</v>
      </c>
      <c r="B14" t="s">
        <v>4331</v>
      </c>
      <c r="C14">
        <v>6000000</v>
      </c>
      <c r="D14">
        <v>80</v>
      </c>
      <c r="E14" t="s">
        <v>4326</v>
      </c>
      <c r="F14" t="s">
        <v>4332</v>
      </c>
      <c r="G14" t="s">
        <v>4312</v>
      </c>
      <c r="H14">
        <v>1</v>
      </c>
      <c r="I14" s="3566">
        <v>42801</v>
      </c>
      <c r="J14">
        <v>75000</v>
      </c>
      <c r="K14" t="s">
        <v>4336</v>
      </c>
      <c r="L14">
        <v>6</v>
      </c>
    </row>
    <row r="15" spans="1:12">
      <c r="A15" t="s">
        <v>4338</v>
      </c>
      <c r="B15" t="s">
        <v>4331</v>
      </c>
      <c r="C15">
        <v>5950000</v>
      </c>
      <c r="D15">
        <v>101.87</v>
      </c>
      <c r="E15" t="s">
        <v>4326</v>
      </c>
      <c r="F15" t="s">
        <v>4327</v>
      </c>
      <c r="G15" t="s">
        <v>4339</v>
      </c>
      <c r="H15">
        <v>4</v>
      </c>
      <c r="I15" s="3566">
        <v>42751</v>
      </c>
      <c r="J15">
        <v>58408</v>
      </c>
      <c r="K15" t="s">
        <v>4336</v>
      </c>
      <c r="L15">
        <v>21</v>
      </c>
    </row>
    <row r="16" spans="1:12">
      <c r="A16" t="s">
        <v>4325</v>
      </c>
      <c r="B16" t="s">
        <v>3493</v>
      </c>
      <c r="C16">
        <v>6250000</v>
      </c>
      <c r="D16">
        <v>104.67</v>
      </c>
      <c r="E16" t="s">
        <v>4326</v>
      </c>
      <c r="F16" t="s">
        <v>4327</v>
      </c>
      <c r="G16" t="s">
        <v>4312</v>
      </c>
      <c r="H16" t="s">
        <v>4334</v>
      </c>
      <c r="I16" s="3566">
        <v>42802</v>
      </c>
      <c r="J16">
        <v>59712</v>
      </c>
      <c r="K16" t="s">
        <v>4335</v>
      </c>
      <c r="L16">
        <v>6</v>
      </c>
    </row>
    <row r="17" spans="1:12">
      <c r="A17" t="s">
        <v>4325</v>
      </c>
      <c r="B17" t="s">
        <v>3493</v>
      </c>
      <c r="C17">
        <v>3530000</v>
      </c>
      <c r="D17">
        <v>41.86</v>
      </c>
      <c r="E17" t="s">
        <v>4326</v>
      </c>
      <c r="F17" t="s">
        <v>4329</v>
      </c>
      <c r="G17" t="s">
        <v>4312</v>
      </c>
      <c r="H17" t="s">
        <v>4340</v>
      </c>
      <c r="I17" s="3566">
        <v>42844</v>
      </c>
      <c r="J17">
        <v>84329</v>
      </c>
      <c r="K17" t="s">
        <v>4341</v>
      </c>
      <c r="L17">
        <v>6</v>
      </c>
    </row>
    <row r="18" spans="1:12">
      <c r="A18" t="s">
        <v>4325</v>
      </c>
      <c r="B18" t="s">
        <v>3493</v>
      </c>
      <c r="C18">
        <v>4200000</v>
      </c>
      <c r="D18">
        <v>59.47</v>
      </c>
      <c r="E18" t="s">
        <v>4326</v>
      </c>
      <c r="F18" t="s">
        <v>4332</v>
      </c>
      <c r="G18" t="s">
        <v>4312</v>
      </c>
      <c r="H18">
        <v>5</v>
      </c>
      <c r="I18" s="3566">
        <v>42793</v>
      </c>
      <c r="J18">
        <v>70624</v>
      </c>
      <c r="K18" t="s">
        <v>4328</v>
      </c>
      <c r="L18">
        <v>6</v>
      </c>
    </row>
    <row r="19" spans="1:12">
      <c r="A19" t="s">
        <v>4325</v>
      </c>
      <c r="B19" t="s">
        <v>3493</v>
      </c>
      <c r="C19">
        <v>3960000</v>
      </c>
      <c r="D19">
        <v>59.47</v>
      </c>
      <c r="E19" t="s">
        <v>4326</v>
      </c>
      <c r="F19" t="s">
        <v>4332</v>
      </c>
      <c r="G19" t="s">
        <v>4312</v>
      </c>
      <c r="H19">
        <v>3</v>
      </c>
      <c r="I19" s="3566">
        <v>42788</v>
      </c>
      <c r="J19">
        <v>66588</v>
      </c>
      <c r="K19" t="s">
        <v>4330</v>
      </c>
      <c r="L19">
        <v>6</v>
      </c>
    </row>
    <row r="20" spans="1:12">
      <c r="A20" t="s">
        <v>4325</v>
      </c>
      <c r="B20" t="s">
        <v>3493</v>
      </c>
      <c r="C20">
        <v>3810000</v>
      </c>
      <c r="D20">
        <v>59.47</v>
      </c>
      <c r="E20" t="s">
        <v>4326</v>
      </c>
      <c r="F20" t="s">
        <v>4332</v>
      </c>
      <c r="G20" t="s">
        <v>4312</v>
      </c>
      <c r="H20">
        <v>1</v>
      </c>
      <c r="I20" s="3566">
        <v>42746</v>
      </c>
      <c r="J20">
        <v>64066</v>
      </c>
      <c r="K20" t="s">
        <v>4336</v>
      </c>
      <c r="L20">
        <v>6</v>
      </c>
    </row>
    <row r="21" spans="1:12">
      <c r="A21" t="s">
        <v>4325</v>
      </c>
      <c r="B21" t="s">
        <v>3494</v>
      </c>
      <c r="C21">
        <v>6000000</v>
      </c>
      <c r="D21">
        <v>90.99</v>
      </c>
      <c r="E21" t="s">
        <v>4326</v>
      </c>
      <c r="F21" t="s">
        <v>4332</v>
      </c>
      <c r="G21" t="s">
        <v>4292</v>
      </c>
      <c r="H21">
        <v>17</v>
      </c>
      <c r="I21" s="3566">
        <v>42830</v>
      </c>
      <c r="J21">
        <v>65942</v>
      </c>
      <c r="K21" t="s">
        <v>4328</v>
      </c>
      <c r="L21">
        <v>20</v>
      </c>
    </row>
    <row r="22" spans="1:12">
      <c r="A22" t="s">
        <v>4325</v>
      </c>
      <c r="B22" t="s">
        <v>3494</v>
      </c>
      <c r="C22">
        <v>5490000</v>
      </c>
      <c r="D22">
        <v>90.5</v>
      </c>
      <c r="E22" t="s">
        <v>4326</v>
      </c>
      <c r="F22" t="s">
        <v>4332</v>
      </c>
      <c r="G22" t="s">
        <v>4292</v>
      </c>
      <c r="H22">
        <v>10</v>
      </c>
      <c r="I22" s="3566">
        <v>42987</v>
      </c>
      <c r="J22">
        <v>60663</v>
      </c>
      <c r="K22" t="s">
        <v>4330</v>
      </c>
      <c r="L22">
        <v>20</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504" customWidth="1"/>
    <col min="2" max="3" width="0" style="3504" hidden="1" customWidth="1"/>
    <col min="4" max="4" width="3.33203125" style="3504" hidden="1" customWidth="1"/>
    <col min="5" max="5" width="9" style="3504"/>
    <col min="6" max="6" width="20.6640625" style="3504" customWidth="1"/>
    <col min="7" max="7" width="9" style="3504"/>
    <col min="8" max="8" width="0" style="3504" hidden="1" customWidth="1"/>
    <col min="9" max="9" width="9" style="3504"/>
    <col min="10" max="10" width="7.109375" style="3504" customWidth="1"/>
    <col min="11" max="11" width="9" style="3504"/>
    <col min="12" max="12" width="7.33203125" style="3504" customWidth="1"/>
    <col min="13" max="13" width="7.6640625" style="3504" customWidth="1"/>
    <col min="14" max="14" width="15.21875" style="3504" customWidth="1"/>
    <col min="15" max="15" width="7.77734375" style="3504" customWidth="1"/>
    <col min="16" max="17" width="0" style="3504" hidden="1" customWidth="1"/>
    <col min="18" max="18" width="8.109375" style="3504" customWidth="1"/>
    <col min="19" max="19" width="7.88671875" style="3504" customWidth="1"/>
    <col min="20" max="20" width="7.44140625" style="3504" customWidth="1"/>
    <col min="21" max="21" width="12.77734375" style="3504" customWidth="1"/>
    <col min="22" max="16384" width="9" style="3504"/>
  </cols>
  <sheetData>
    <row r="1" spans="1:21" ht="27" customHeight="1" thickBot="1">
      <c r="A1" s="3503" t="s">
        <v>4218</v>
      </c>
      <c r="B1" s="3503" t="s">
        <v>4219</v>
      </c>
      <c r="C1" s="3503" t="s">
        <v>3882</v>
      </c>
      <c r="D1" s="3503" t="s">
        <v>3883</v>
      </c>
      <c r="E1" s="3503" t="s">
        <v>3884</v>
      </c>
      <c r="F1" s="3503" t="s">
        <v>3473</v>
      </c>
      <c r="G1" s="3503" t="s">
        <v>3474</v>
      </c>
      <c r="H1" s="3503" t="s">
        <v>3475</v>
      </c>
      <c r="I1" s="3503" t="s">
        <v>3476</v>
      </c>
      <c r="J1" s="3503" t="s">
        <v>3477</v>
      </c>
      <c r="K1" s="3503" t="s">
        <v>3478</v>
      </c>
      <c r="L1" s="3503" t="s">
        <v>3479</v>
      </c>
      <c r="M1" s="3503" t="s">
        <v>3480</v>
      </c>
      <c r="N1" s="3503" t="s">
        <v>3481</v>
      </c>
      <c r="O1" s="3503" t="s">
        <v>3482</v>
      </c>
      <c r="P1" s="3503" t="s">
        <v>3885</v>
      </c>
      <c r="Q1" s="3503" t="s">
        <v>3886</v>
      </c>
      <c r="R1" s="3503" t="s">
        <v>3483</v>
      </c>
      <c r="S1" s="3503" t="s">
        <v>3484</v>
      </c>
      <c r="T1" s="3503" t="s">
        <v>3485</v>
      </c>
      <c r="U1" s="3503" t="s">
        <v>3486</v>
      </c>
    </row>
    <row r="2" spans="1:21" ht="27" hidden="1" customHeight="1" thickBot="1">
      <c r="A2" s="3505">
        <v>1</v>
      </c>
      <c r="B2" s="3506" t="s">
        <v>3887</v>
      </c>
      <c r="C2" s="3505" t="s">
        <v>3888</v>
      </c>
      <c r="D2" s="3505" t="s">
        <v>3889</v>
      </c>
      <c r="E2" s="3505" t="s">
        <v>3890</v>
      </c>
      <c r="F2" s="3505" t="s">
        <v>3891</v>
      </c>
      <c r="G2" s="3505" t="s">
        <v>3493</v>
      </c>
      <c r="H2" s="3505" t="s">
        <v>3489</v>
      </c>
      <c r="I2" s="3505" t="s">
        <v>3490</v>
      </c>
      <c r="J2" s="3505">
        <v>72.59</v>
      </c>
      <c r="K2" s="3505" t="s">
        <v>3386</v>
      </c>
      <c r="L2" s="3505">
        <v>7</v>
      </c>
      <c r="M2" s="3505">
        <v>4</v>
      </c>
      <c r="N2" s="3505">
        <v>1999</v>
      </c>
      <c r="O2" s="3505" t="s">
        <v>633</v>
      </c>
      <c r="P2" s="3505" t="s">
        <v>633</v>
      </c>
      <c r="Q2" s="3505" t="s">
        <v>633</v>
      </c>
      <c r="R2" s="3505">
        <v>46838</v>
      </c>
      <c r="S2" s="3505">
        <v>46887</v>
      </c>
      <c r="T2" s="3505">
        <v>3403527</v>
      </c>
      <c r="U2" s="3507">
        <v>45385</v>
      </c>
    </row>
    <row r="3" spans="1:21" ht="27" customHeight="1" thickBot="1">
      <c r="A3" s="3500">
        <v>2</v>
      </c>
      <c r="B3" s="3501" t="s">
        <v>3887</v>
      </c>
      <c r="C3" s="3500" t="s">
        <v>3892</v>
      </c>
      <c r="D3" s="3500" t="s">
        <v>3893</v>
      </c>
      <c r="E3" s="3500" t="s">
        <v>3890</v>
      </c>
      <c r="F3" s="3500" t="s">
        <v>3894</v>
      </c>
      <c r="G3" s="3500" t="s">
        <v>3494</v>
      </c>
      <c r="H3" s="3500" t="s">
        <v>3489</v>
      </c>
      <c r="I3" s="3500" t="s">
        <v>3498</v>
      </c>
      <c r="J3" s="3500">
        <v>76.66</v>
      </c>
      <c r="K3" s="3500" t="s">
        <v>3386</v>
      </c>
      <c r="L3" s="3500" t="s">
        <v>3499</v>
      </c>
      <c r="M3" s="3500">
        <v>1</v>
      </c>
      <c r="N3" s="3500">
        <v>2005</v>
      </c>
      <c r="O3" s="3500" t="s">
        <v>3895</v>
      </c>
      <c r="P3" s="3500" t="s">
        <v>633</v>
      </c>
      <c r="Q3" s="3500" t="s">
        <v>633</v>
      </c>
      <c r="R3" s="3500">
        <v>49309</v>
      </c>
      <c r="S3" s="3500">
        <v>48759</v>
      </c>
      <c r="T3" s="3500">
        <v>3737865</v>
      </c>
      <c r="U3" s="3502">
        <v>45370</v>
      </c>
    </row>
    <row r="4" spans="1:21" ht="27" hidden="1" customHeight="1" thickBot="1">
      <c r="A4" s="3505">
        <v>3</v>
      </c>
      <c r="B4" s="3506" t="s">
        <v>3887</v>
      </c>
      <c r="C4" s="3505" t="s">
        <v>3896</v>
      </c>
      <c r="D4" s="3505" t="s">
        <v>3897</v>
      </c>
      <c r="E4" s="3505" t="s">
        <v>3890</v>
      </c>
      <c r="F4" s="3505" t="s">
        <v>3898</v>
      </c>
      <c r="G4" s="3505" t="s">
        <v>3493</v>
      </c>
      <c r="H4" s="3505" t="s">
        <v>3489</v>
      </c>
      <c r="I4" s="3505" t="s">
        <v>3490</v>
      </c>
      <c r="J4" s="3505">
        <v>55.35</v>
      </c>
      <c r="K4" s="3505" t="s">
        <v>3386</v>
      </c>
      <c r="L4" s="3505">
        <v>6</v>
      </c>
      <c r="M4" s="3505">
        <v>6</v>
      </c>
      <c r="N4" s="3505" t="s">
        <v>633</v>
      </c>
      <c r="O4" s="3505">
        <v>1998</v>
      </c>
      <c r="P4" s="3505" t="s">
        <v>633</v>
      </c>
      <c r="Q4" s="3505" t="s">
        <v>633</v>
      </c>
      <c r="R4" s="3505">
        <v>60524</v>
      </c>
      <c r="S4" s="3505">
        <v>58230</v>
      </c>
      <c r="T4" s="3505">
        <v>3223031</v>
      </c>
      <c r="U4" s="3507">
        <v>45022</v>
      </c>
    </row>
    <row r="5" spans="1:21" ht="27" customHeight="1" thickBot="1">
      <c r="A5" s="3500">
        <v>4</v>
      </c>
      <c r="B5" s="3501" t="s">
        <v>3887</v>
      </c>
      <c r="C5" s="3500" t="s">
        <v>3899</v>
      </c>
      <c r="D5" s="3500" t="s">
        <v>3900</v>
      </c>
      <c r="E5" s="3500" t="s">
        <v>3890</v>
      </c>
      <c r="F5" s="3500" t="s">
        <v>3901</v>
      </c>
      <c r="G5" s="3500" t="s">
        <v>3494</v>
      </c>
      <c r="H5" s="3500" t="s">
        <v>3489</v>
      </c>
      <c r="I5" s="3500" t="s">
        <v>3495</v>
      </c>
      <c r="J5" s="3500">
        <v>88.43</v>
      </c>
      <c r="K5" s="3500" t="s">
        <v>3386</v>
      </c>
      <c r="L5" s="3500" t="s">
        <v>3499</v>
      </c>
      <c r="M5" s="3500">
        <v>10</v>
      </c>
      <c r="N5" s="3500">
        <v>2005</v>
      </c>
      <c r="O5" s="3500" t="s">
        <v>633</v>
      </c>
      <c r="P5" s="3500" t="s">
        <v>633</v>
      </c>
      <c r="Q5" s="3500" t="s">
        <v>633</v>
      </c>
      <c r="R5" s="3500">
        <v>61631</v>
      </c>
      <c r="S5" s="3500">
        <v>58819</v>
      </c>
      <c r="T5" s="3500">
        <v>5201364</v>
      </c>
      <c r="U5" s="3502">
        <v>45006</v>
      </c>
    </row>
    <row r="6" spans="1:21" ht="27" hidden="1" customHeight="1" thickBot="1">
      <c r="A6" s="3505">
        <v>5</v>
      </c>
      <c r="B6" s="3506" t="s">
        <v>3887</v>
      </c>
      <c r="C6" s="3505" t="s">
        <v>3902</v>
      </c>
      <c r="D6" s="3505" t="s">
        <v>3903</v>
      </c>
      <c r="E6" s="3505" t="s">
        <v>3890</v>
      </c>
      <c r="F6" s="3505" t="s">
        <v>3904</v>
      </c>
      <c r="G6" s="3505" t="s">
        <v>3502</v>
      </c>
      <c r="H6" s="3505" t="s">
        <v>3489</v>
      </c>
      <c r="I6" s="3505" t="s">
        <v>3498</v>
      </c>
      <c r="J6" s="3505">
        <v>68.790000000000006</v>
      </c>
      <c r="K6" s="3505" t="s">
        <v>3386</v>
      </c>
      <c r="L6" s="3505">
        <v>27</v>
      </c>
      <c r="M6" s="3505">
        <v>25</v>
      </c>
      <c r="N6" s="3505">
        <v>2011</v>
      </c>
      <c r="O6" s="3505" t="s">
        <v>633</v>
      </c>
      <c r="P6" s="3505" t="s">
        <v>633</v>
      </c>
      <c r="Q6" s="3505" t="s">
        <v>633</v>
      </c>
      <c r="R6" s="3505">
        <v>69632</v>
      </c>
      <c r="S6" s="3505">
        <v>64834</v>
      </c>
      <c r="T6" s="3505">
        <v>4459931</v>
      </c>
      <c r="U6" s="3507">
        <v>45000</v>
      </c>
    </row>
    <row r="7" spans="1:21" ht="27" customHeight="1" thickBot="1">
      <c r="A7" s="3571">
        <v>6</v>
      </c>
      <c r="B7" s="3572" t="s">
        <v>3887</v>
      </c>
      <c r="C7" s="3571" t="s">
        <v>3905</v>
      </c>
      <c r="D7" s="3571" t="s">
        <v>3906</v>
      </c>
      <c r="E7" s="3571" t="s">
        <v>3890</v>
      </c>
      <c r="F7" s="3571" t="s">
        <v>3907</v>
      </c>
      <c r="G7" s="3571" t="s">
        <v>3908</v>
      </c>
      <c r="H7" s="3571" t="s">
        <v>3489</v>
      </c>
      <c r="I7" s="3571" t="s">
        <v>3490</v>
      </c>
      <c r="J7" s="3571">
        <v>43.81</v>
      </c>
      <c r="K7" s="3571" t="s">
        <v>3386</v>
      </c>
      <c r="L7" s="3571" t="s">
        <v>3909</v>
      </c>
      <c r="M7" s="3571">
        <v>3</v>
      </c>
      <c r="N7" s="3571" t="s">
        <v>633</v>
      </c>
      <c r="O7" s="3571">
        <v>1998</v>
      </c>
      <c r="P7" s="3571" t="s">
        <v>633</v>
      </c>
      <c r="Q7" s="3571" t="s">
        <v>633</v>
      </c>
      <c r="R7" s="3571">
        <v>65282</v>
      </c>
      <c r="S7" s="3571">
        <v>62279</v>
      </c>
      <c r="T7" s="3571">
        <v>2728443</v>
      </c>
      <c r="U7" s="3573">
        <v>44979</v>
      </c>
    </row>
    <row r="8" spans="1:21" ht="27" hidden="1" customHeight="1" thickBot="1">
      <c r="A8" s="3505">
        <v>7</v>
      </c>
      <c r="B8" s="3506" t="s">
        <v>3887</v>
      </c>
      <c r="C8" s="3505" t="s">
        <v>3910</v>
      </c>
      <c r="D8" s="3505" t="s">
        <v>3911</v>
      </c>
      <c r="E8" s="3505" t="s">
        <v>3890</v>
      </c>
      <c r="F8" s="3505" t="s">
        <v>3912</v>
      </c>
      <c r="G8" s="3505" t="s">
        <v>3493</v>
      </c>
      <c r="H8" s="3505" t="s">
        <v>3489</v>
      </c>
      <c r="I8" s="3505" t="s">
        <v>3498</v>
      </c>
      <c r="J8" s="3505">
        <v>59.47</v>
      </c>
      <c r="K8" s="3505" t="s">
        <v>3386</v>
      </c>
      <c r="L8" s="3505">
        <v>6</v>
      </c>
      <c r="M8" s="3505">
        <v>2</v>
      </c>
      <c r="N8" s="3505" t="s">
        <v>633</v>
      </c>
      <c r="O8" s="3505">
        <v>1998</v>
      </c>
      <c r="P8" s="3505" t="s">
        <v>633</v>
      </c>
      <c r="Q8" s="3505" t="s">
        <v>633</v>
      </c>
      <c r="R8" s="3505">
        <v>65579</v>
      </c>
      <c r="S8" s="3505">
        <v>61852</v>
      </c>
      <c r="T8" s="3505">
        <v>3678338</v>
      </c>
      <c r="U8" s="3507">
        <v>44979</v>
      </c>
    </row>
    <row r="9" spans="1:21" ht="27" customHeight="1" thickBot="1">
      <c r="A9" s="3500">
        <v>8</v>
      </c>
      <c r="B9" s="3501" t="s">
        <v>3887</v>
      </c>
      <c r="C9" s="3500" t="s">
        <v>3913</v>
      </c>
      <c r="D9" s="3500" t="s">
        <v>3914</v>
      </c>
      <c r="E9" s="3500" t="s">
        <v>3890</v>
      </c>
      <c r="F9" s="3500" t="s">
        <v>3915</v>
      </c>
      <c r="G9" s="3500" t="s">
        <v>3494</v>
      </c>
      <c r="H9" s="3500" t="s">
        <v>3489</v>
      </c>
      <c r="I9" s="3500" t="s">
        <v>3498</v>
      </c>
      <c r="J9" s="3500">
        <v>83.43</v>
      </c>
      <c r="K9" s="3500" t="s">
        <v>3386</v>
      </c>
      <c r="L9" s="3500" t="s">
        <v>3499</v>
      </c>
      <c r="M9" s="3500">
        <v>9</v>
      </c>
      <c r="N9" s="3500">
        <v>2005</v>
      </c>
      <c r="O9" s="3500" t="s">
        <v>633</v>
      </c>
      <c r="P9" s="3500" t="s">
        <v>633</v>
      </c>
      <c r="Q9" s="3500" t="s">
        <v>633</v>
      </c>
      <c r="R9" s="3500">
        <v>53698</v>
      </c>
      <c r="S9" s="3500">
        <v>52206</v>
      </c>
      <c r="T9" s="3500">
        <v>4355547</v>
      </c>
      <c r="U9" s="3502">
        <v>44976</v>
      </c>
    </row>
    <row r="10" spans="1:21" ht="27" hidden="1" customHeight="1" thickBot="1">
      <c r="A10" s="3505">
        <v>9</v>
      </c>
      <c r="B10" s="3506" t="s">
        <v>3887</v>
      </c>
      <c r="C10" s="3505" t="s">
        <v>3916</v>
      </c>
      <c r="D10" s="3505" t="s">
        <v>3917</v>
      </c>
      <c r="E10" s="3505" t="s">
        <v>3890</v>
      </c>
      <c r="F10" s="3505" t="s">
        <v>3918</v>
      </c>
      <c r="G10" s="3505" t="s">
        <v>3502</v>
      </c>
      <c r="H10" s="3505" t="s">
        <v>3919</v>
      </c>
      <c r="I10" s="3505" t="s">
        <v>3498</v>
      </c>
      <c r="J10" s="3505">
        <v>88.12</v>
      </c>
      <c r="K10" s="3505" t="s">
        <v>3386</v>
      </c>
      <c r="L10" s="3505" t="s">
        <v>3920</v>
      </c>
      <c r="M10" s="3505">
        <v>12</v>
      </c>
      <c r="N10" s="3505">
        <v>2011</v>
      </c>
      <c r="O10" s="3505" t="s">
        <v>633</v>
      </c>
      <c r="P10" s="3505" t="s">
        <v>633</v>
      </c>
      <c r="Q10" s="3505" t="s">
        <v>633</v>
      </c>
      <c r="R10" s="3505">
        <v>72061</v>
      </c>
      <c r="S10" s="3505">
        <v>67350</v>
      </c>
      <c r="T10" s="3505">
        <v>5934882</v>
      </c>
      <c r="U10" s="3507">
        <v>44959</v>
      </c>
    </row>
    <row r="11" spans="1:21" ht="27" hidden="1" customHeight="1" thickBot="1">
      <c r="A11" s="3505">
        <v>10</v>
      </c>
      <c r="B11" s="3506" t="s">
        <v>3887</v>
      </c>
      <c r="C11" s="3505" t="s">
        <v>3921</v>
      </c>
      <c r="D11" s="3505" t="s">
        <v>3922</v>
      </c>
      <c r="E11" s="3505" t="s">
        <v>3890</v>
      </c>
      <c r="F11" s="3505" t="s">
        <v>3923</v>
      </c>
      <c r="G11" s="3505" t="s">
        <v>3502</v>
      </c>
      <c r="H11" s="3505" t="s">
        <v>3489</v>
      </c>
      <c r="I11" s="3505" t="s">
        <v>3498</v>
      </c>
      <c r="J11" s="3505">
        <v>68.790000000000006</v>
      </c>
      <c r="K11" s="3505" t="s">
        <v>3386</v>
      </c>
      <c r="L11" s="3505" t="s">
        <v>3503</v>
      </c>
      <c r="M11" s="3505">
        <v>18</v>
      </c>
      <c r="N11" s="3505" t="s">
        <v>633</v>
      </c>
      <c r="O11" s="3505">
        <v>2011</v>
      </c>
      <c r="P11" s="3505" t="s">
        <v>633</v>
      </c>
      <c r="Q11" s="3505" t="s">
        <v>633</v>
      </c>
      <c r="R11" s="3505">
        <v>69487</v>
      </c>
      <c r="S11" s="3505">
        <v>66899</v>
      </c>
      <c r="T11" s="3505">
        <v>4601982</v>
      </c>
      <c r="U11" s="3507">
        <v>44929</v>
      </c>
    </row>
    <row r="12" spans="1:21" ht="27" hidden="1" customHeight="1" thickBot="1">
      <c r="A12" s="3505">
        <v>11</v>
      </c>
      <c r="B12" s="3506" t="s">
        <v>3887</v>
      </c>
      <c r="C12" s="3505" t="s">
        <v>3924</v>
      </c>
      <c r="D12" s="3505" t="s">
        <v>3925</v>
      </c>
      <c r="E12" s="3505" t="s">
        <v>3890</v>
      </c>
      <c r="F12" s="3505" t="s">
        <v>3926</v>
      </c>
      <c r="G12" s="3505" t="s">
        <v>3493</v>
      </c>
      <c r="H12" s="3505" t="s">
        <v>3489</v>
      </c>
      <c r="I12" s="3505" t="s">
        <v>3490</v>
      </c>
      <c r="J12" s="3505">
        <v>149.15</v>
      </c>
      <c r="K12" s="3505" t="s">
        <v>3386</v>
      </c>
      <c r="L12" s="3505">
        <v>7</v>
      </c>
      <c r="M12" s="3508">
        <v>45450</v>
      </c>
      <c r="N12" s="3505">
        <v>1996</v>
      </c>
      <c r="O12" s="3505" t="s">
        <v>633</v>
      </c>
      <c r="P12" s="3505" t="s">
        <v>633</v>
      </c>
      <c r="Q12" s="3505" t="s">
        <v>633</v>
      </c>
      <c r="R12" s="3505">
        <v>43580</v>
      </c>
      <c r="S12" s="3505">
        <v>41497</v>
      </c>
      <c r="T12" s="3505">
        <v>6189278</v>
      </c>
      <c r="U12" s="3507">
        <v>44904</v>
      </c>
    </row>
    <row r="13" spans="1:21" ht="27" hidden="1" customHeight="1" thickBot="1">
      <c r="A13" s="3505">
        <v>12</v>
      </c>
      <c r="B13" s="3506" t="s">
        <v>3887</v>
      </c>
      <c r="C13" s="3505" t="s">
        <v>3927</v>
      </c>
      <c r="D13" s="3505" t="s">
        <v>3928</v>
      </c>
      <c r="E13" s="3505" t="s">
        <v>3890</v>
      </c>
      <c r="F13" s="3505" t="s">
        <v>3929</v>
      </c>
      <c r="G13" s="3505" t="s">
        <v>3493</v>
      </c>
      <c r="H13" s="3505" t="s">
        <v>3489</v>
      </c>
      <c r="I13" s="3505" t="s">
        <v>3490</v>
      </c>
      <c r="J13" s="3505">
        <v>97.76</v>
      </c>
      <c r="K13" s="3505" t="s">
        <v>3386</v>
      </c>
      <c r="L13" s="3505">
        <v>7</v>
      </c>
      <c r="M13" s="3505">
        <v>3</v>
      </c>
      <c r="N13" s="3505">
        <v>1996</v>
      </c>
      <c r="O13" s="3505" t="s">
        <v>633</v>
      </c>
      <c r="P13" s="3505" t="s">
        <v>633</v>
      </c>
      <c r="Q13" s="3505" t="s">
        <v>633</v>
      </c>
      <c r="R13" s="3505">
        <v>58920</v>
      </c>
      <c r="S13" s="3505">
        <v>57864</v>
      </c>
      <c r="T13" s="3505">
        <v>5656785</v>
      </c>
      <c r="U13" s="3507">
        <v>44850</v>
      </c>
    </row>
    <row r="14" spans="1:21" ht="27" hidden="1" customHeight="1" thickBot="1">
      <c r="A14" s="3505">
        <v>13</v>
      </c>
      <c r="B14" s="3506" t="s">
        <v>3887</v>
      </c>
      <c r="C14" s="3505" t="s">
        <v>3930</v>
      </c>
      <c r="D14" s="3505" t="s">
        <v>3931</v>
      </c>
      <c r="E14" s="3505" t="s">
        <v>3890</v>
      </c>
      <c r="F14" s="3505" t="s">
        <v>3932</v>
      </c>
      <c r="G14" s="3505" t="s">
        <v>3502</v>
      </c>
      <c r="H14" s="3505" t="s">
        <v>3489</v>
      </c>
      <c r="I14" s="3505" t="s">
        <v>3498</v>
      </c>
      <c r="J14" s="3505">
        <v>95.41</v>
      </c>
      <c r="K14" s="3505" t="s">
        <v>3386</v>
      </c>
      <c r="L14" s="3505" t="s">
        <v>3933</v>
      </c>
      <c r="M14" s="3505">
        <v>14</v>
      </c>
      <c r="N14" s="3505">
        <v>2011</v>
      </c>
      <c r="O14" s="3505" t="s">
        <v>633</v>
      </c>
      <c r="P14" s="3505" t="s">
        <v>633</v>
      </c>
      <c r="Q14" s="3505" t="s">
        <v>633</v>
      </c>
      <c r="R14" s="3505">
        <v>72319</v>
      </c>
      <c r="S14" s="3505">
        <v>68651</v>
      </c>
      <c r="T14" s="3505">
        <v>6549992</v>
      </c>
      <c r="U14" s="3507">
        <v>44790</v>
      </c>
    </row>
    <row r="15" spans="1:21" ht="27" hidden="1" customHeight="1" thickBot="1">
      <c r="A15" s="3505">
        <v>14</v>
      </c>
      <c r="B15" s="3506" t="s">
        <v>3887</v>
      </c>
      <c r="C15" s="3505" t="s">
        <v>3934</v>
      </c>
      <c r="D15" s="3505" t="s">
        <v>3935</v>
      </c>
      <c r="E15" s="3505" t="s">
        <v>3890</v>
      </c>
      <c r="F15" s="3505" t="s">
        <v>3936</v>
      </c>
      <c r="G15" s="3505" t="s">
        <v>3502</v>
      </c>
      <c r="H15" s="3505" t="s">
        <v>3489</v>
      </c>
      <c r="I15" s="3505" t="s">
        <v>3498</v>
      </c>
      <c r="J15" s="3505">
        <v>76.67</v>
      </c>
      <c r="K15" s="3505" t="s">
        <v>3386</v>
      </c>
      <c r="L15" s="3505" t="s">
        <v>3933</v>
      </c>
      <c r="M15" s="3505">
        <v>23</v>
      </c>
      <c r="N15" s="3505">
        <v>2011</v>
      </c>
      <c r="O15" s="3505" t="s">
        <v>633</v>
      </c>
      <c r="P15" s="3505" t="s">
        <v>633</v>
      </c>
      <c r="Q15" s="3505" t="s">
        <v>633</v>
      </c>
      <c r="R15" s="3505">
        <v>68736</v>
      </c>
      <c r="S15" s="3505">
        <v>64943</v>
      </c>
      <c r="T15" s="3505">
        <v>4979180</v>
      </c>
      <c r="U15" s="3507">
        <v>44770</v>
      </c>
    </row>
    <row r="16" spans="1:21" ht="27" hidden="1" customHeight="1" thickBot="1">
      <c r="A16" s="3505">
        <v>15</v>
      </c>
      <c r="B16" s="3506" t="s">
        <v>3887</v>
      </c>
      <c r="C16" s="3505" t="s">
        <v>3937</v>
      </c>
      <c r="D16" s="3505" t="s">
        <v>3938</v>
      </c>
      <c r="E16" s="3505" t="s">
        <v>3890</v>
      </c>
      <c r="F16" s="3505" t="s">
        <v>3939</v>
      </c>
      <c r="G16" s="3505" t="s">
        <v>3502</v>
      </c>
      <c r="H16" s="3505" t="s">
        <v>3489</v>
      </c>
      <c r="I16" s="3505" t="s">
        <v>3498</v>
      </c>
      <c r="J16" s="3505">
        <v>68.790000000000006</v>
      </c>
      <c r="K16" s="3505" t="s">
        <v>3386</v>
      </c>
      <c r="L16" s="3505" t="s">
        <v>3940</v>
      </c>
      <c r="M16" s="3505">
        <v>6</v>
      </c>
      <c r="N16" s="3505" t="s">
        <v>633</v>
      </c>
      <c r="O16" s="3505">
        <v>2011</v>
      </c>
      <c r="P16" s="3505" t="s">
        <v>633</v>
      </c>
      <c r="Q16" s="3505" t="s">
        <v>633</v>
      </c>
      <c r="R16" s="3505">
        <v>69312</v>
      </c>
      <c r="S16" s="3505">
        <v>63698</v>
      </c>
      <c r="T16" s="3505">
        <v>4381785</v>
      </c>
      <c r="U16" s="3507">
        <v>44801</v>
      </c>
    </row>
    <row r="17" spans="1:21" ht="27" hidden="1" customHeight="1" thickBot="1">
      <c r="A17" s="3509">
        <v>16</v>
      </c>
      <c r="B17" s="3510" t="s">
        <v>3887</v>
      </c>
      <c r="C17" s="3509" t="s">
        <v>3941</v>
      </c>
      <c r="D17" s="3509" t="s">
        <v>3942</v>
      </c>
      <c r="E17" s="3509" t="s">
        <v>3890</v>
      </c>
      <c r="F17" s="3509" t="s">
        <v>3943</v>
      </c>
      <c r="G17" s="3509" t="s">
        <v>3502</v>
      </c>
      <c r="H17" s="3509" t="s">
        <v>3489</v>
      </c>
      <c r="I17" s="3509" t="s">
        <v>3498</v>
      </c>
      <c r="J17" s="3509">
        <v>93.69</v>
      </c>
      <c r="K17" s="3509" t="s">
        <v>3386</v>
      </c>
      <c r="L17" s="3509" t="s">
        <v>3503</v>
      </c>
      <c r="M17" s="3509">
        <v>21</v>
      </c>
      <c r="N17" s="3509" t="s">
        <v>633</v>
      </c>
      <c r="O17" s="3509">
        <v>2011</v>
      </c>
      <c r="P17" s="3509" t="s">
        <v>633</v>
      </c>
      <c r="Q17" s="3509" t="s">
        <v>633</v>
      </c>
      <c r="R17" s="3509">
        <v>67883</v>
      </c>
      <c r="S17" s="3509">
        <v>64315</v>
      </c>
      <c r="T17" s="3509">
        <v>6025672</v>
      </c>
      <c r="U17" s="3511">
        <v>44768</v>
      </c>
    </row>
    <row r="18" spans="1:21" ht="27" hidden="1" customHeight="1" thickBot="1">
      <c r="A18" s="3505">
        <v>17</v>
      </c>
      <c r="B18" s="3506" t="s">
        <v>3887</v>
      </c>
      <c r="C18" s="3505" t="s">
        <v>3944</v>
      </c>
      <c r="D18" s="3505" t="s">
        <v>3945</v>
      </c>
      <c r="E18" s="3505" t="s">
        <v>3890</v>
      </c>
      <c r="F18" s="3505" t="s">
        <v>3946</v>
      </c>
      <c r="G18" s="3505" t="s">
        <v>3502</v>
      </c>
      <c r="H18" s="3505" t="s">
        <v>3489</v>
      </c>
      <c r="I18" s="3505" t="s">
        <v>3498</v>
      </c>
      <c r="J18" s="3505">
        <v>68.790000000000006</v>
      </c>
      <c r="K18" s="3505" t="s">
        <v>3386</v>
      </c>
      <c r="L18" s="3505" t="s">
        <v>3503</v>
      </c>
      <c r="M18" s="3505">
        <v>12</v>
      </c>
      <c r="N18" s="3505" t="s">
        <v>633</v>
      </c>
      <c r="O18" s="3505">
        <v>2011</v>
      </c>
      <c r="P18" s="3505" t="s">
        <v>633</v>
      </c>
      <c r="Q18" s="3505" t="s">
        <v>633</v>
      </c>
      <c r="R18" s="3505">
        <v>73485</v>
      </c>
      <c r="S18" s="3505">
        <v>73452</v>
      </c>
      <c r="T18" s="3505">
        <v>5052763</v>
      </c>
      <c r="U18" s="3507">
        <v>44764</v>
      </c>
    </row>
    <row r="19" spans="1:21" ht="27" customHeight="1" thickBot="1">
      <c r="A19" s="3500">
        <v>18</v>
      </c>
      <c r="B19" s="3501" t="s">
        <v>3887</v>
      </c>
      <c r="C19" s="3500" t="s">
        <v>3947</v>
      </c>
      <c r="D19" s="3500" t="s">
        <v>3948</v>
      </c>
      <c r="E19" s="3500" t="s">
        <v>3890</v>
      </c>
      <c r="F19" s="3500" t="s">
        <v>3949</v>
      </c>
      <c r="G19" s="3500" t="s">
        <v>3494</v>
      </c>
      <c r="H19" s="3500" t="s">
        <v>3489</v>
      </c>
      <c r="I19" s="3500" t="s">
        <v>3495</v>
      </c>
      <c r="J19" s="3500">
        <v>89.19</v>
      </c>
      <c r="K19" s="3500" t="s">
        <v>3386</v>
      </c>
      <c r="L19" s="3500" t="s">
        <v>3496</v>
      </c>
      <c r="M19" s="3500">
        <v>16</v>
      </c>
      <c r="N19" s="3500" t="s">
        <v>633</v>
      </c>
      <c r="O19" s="3500">
        <v>2006</v>
      </c>
      <c r="P19" s="3500" t="s">
        <v>633</v>
      </c>
      <c r="Q19" s="3500" t="s">
        <v>633</v>
      </c>
      <c r="R19" s="3500">
        <v>59087</v>
      </c>
      <c r="S19" s="3500">
        <v>55407</v>
      </c>
      <c r="T19" s="3500">
        <v>4941750</v>
      </c>
      <c r="U19" s="3502">
        <v>44761</v>
      </c>
    </row>
    <row r="20" spans="1:21" s="3518" customFormat="1" ht="27" customHeight="1" thickBot="1">
      <c r="A20" s="3571">
        <v>19</v>
      </c>
      <c r="B20" s="3572" t="s">
        <v>3887</v>
      </c>
      <c r="C20" s="3571" t="s">
        <v>3950</v>
      </c>
      <c r="D20" s="3571" t="s">
        <v>3951</v>
      </c>
      <c r="E20" s="3571" t="s">
        <v>3890</v>
      </c>
      <c r="F20" s="3571" t="s">
        <v>3952</v>
      </c>
      <c r="G20" s="3571" t="s">
        <v>3488</v>
      </c>
      <c r="H20" s="3571" t="s">
        <v>3489</v>
      </c>
      <c r="I20" s="3571" t="s">
        <v>3498</v>
      </c>
      <c r="J20" s="3571">
        <v>75.92</v>
      </c>
      <c r="K20" s="3571" t="s">
        <v>3386</v>
      </c>
      <c r="L20" s="3571" t="s">
        <v>3953</v>
      </c>
      <c r="M20" s="3571">
        <v>21</v>
      </c>
      <c r="N20" s="3571" t="s">
        <v>633</v>
      </c>
      <c r="O20" s="3571">
        <v>1999</v>
      </c>
      <c r="P20" s="3571" t="s">
        <v>633</v>
      </c>
      <c r="Q20" s="3571" t="s">
        <v>633</v>
      </c>
      <c r="R20" s="3571">
        <v>61907</v>
      </c>
      <c r="S20" s="3571">
        <v>55788</v>
      </c>
      <c r="T20" s="3571">
        <v>4235425</v>
      </c>
      <c r="U20" s="3573">
        <v>44755</v>
      </c>
    </row>
    <row r="21" spans="1:21" ht="27" hidden="1" customHeight="1" thickBot="1">
      <c r="A21" s="3571">
        <v>20</v>
      </c>
      <c r="B21" s="3572" t="s">
        <v>3887</v>
      </c>
      <c r="C21" s="3571" t="s">
        <v>3954</v>
      </c>
      <c r="D21" s="3571" t="s">
        <v>3955</v>
      </c>
      <c r="E21" s="3571" t="s">
        <v>3890</v>
      </c>
      <c r="F21" s="3571" t="s">
        <v>3956</v>
      </c>
      <c r="G21" s="3571" t="s">
        <v>3493</v>
      </c>
      <c r="H21" s="3571" t="s">
        <v>3489</v>
      </c>
      <c r="I21" s="3571" t="s">
        <v>3498</v>
      </c>
      <c r="J21" s="3571">
        <v>97.76</v>
      </c>
      <c r="K21" s="3571" t="s">
        <v>3386</v>
      </c>
      <c r="L21" s="3571">
        <v>7</v>
      </c>
      <c r="M21" s="3571">
        <v>5</v>
      </c>
      <c r="N21" s="3571">
        <v>1996</v>
      </c>
      <c r="O21" s="3571" t="s">
        <v>633</v>
      </c>
      <c r="P21" s="3571" t="s">
        <v>633</v>
      </c>
      <c r="Q21" s="3571" t="s">
        <v>633</v>
      </c>
      <c r="R21" s="3571">
        <v>55953</v>
      </c>
      <c r="S21" s="3571">
        <v>53141</v>
      </c>
      <c r="T21" s="3571">
        <v>5195064</v>
      </c>
      <c r="U21" s="3573">
        <v>44738</v>
      </c>
    </row>
    <row r="22" spans="1:21" ht="27" hidden="1" customHeight="1" thickBot="1">
      <c r="A22" s="3571">
        <v>21</v>
      </c>
      <c r="B22" s="3572" t="s">
        <v>3887</v>
      </c>
      <c r="C22" s="3571" t="s">
        <v>3957</v>
      </c>
      <c r="D22" s="3571" t="s">
        <v>3958</v>
      </c>
      <c r="E22" s="3571" t="s">
        <v>3890</v>
      </c>
      <c r="F22" s="3571" t="s">
        <v>3959</v>
      </c>
      <c r="G22" s="3571" t="s">
        <v>3502</v>
      </c>
      <c r="H22" s="3571" t="s">
        <v>3489</v>
      </c>
      <c r="I22" s="3571" t="s">
        <v>3498</v>
      </c>
      <c r="J22" s="3571">
        <v>93.69</v>
      </c>
      <c r="K22" s="3571" t="s">
        <v>3386</v>
      </c>
      <c r="L22" s="3571" t="s">
        <v>3503</v>
      </c>
      <c r="M22" s="3571">
        <v>13</v>
      </c>
      <c r="N22" s="3571" t="s">
        <v>633</v>
      </c>
      <c r="O22" s="3571">
        <v>2011</v>
      </c>
      <c r="P22" s="3571" t="s">
        <v>633</v>
      </c>
      <c r="Q22" s="3571" t="s">
        <v>633</v>
      </c>
      <c r="R22" s="3571">
        <v>68684</v>
      </c>
      <c r="S22" s="3571">
        <v>64239</v>
      </c>
      <c r="T22" s="3571">
        <v>6018552</v>
      </c>
      <c r="U22" s="3573">
        <v>44735</v>
      </c>
    </row>
    <row r="23" spans="1:21" ht="27" hidden="1" customHeight="1" thickBot="1">
      <c r="A23" s="3571">
        <v>22</v>
      </c>
      <c r="B23" s="3572" t="s">
        <v>3887</v>
      </c>
      <c r="C23" s="3571" t="s">
        <v>3960</v>
      </c>
      <c r="D23" s="3571" t="s">
        <v>3961</v>
      </c>
      <c r="E23" s="3571" t="s">
        <v>3890</v>
      </c>
      <c r="F23" s="3571" t="s">
        <v>3962</v>
      </c>
      <c r="G23" s="3571" t="s">
        <v>3493</v>
      </c>
      <c r="H23" s="3571" t="s">
        <v>3489</v>
      </c>
      <c r="I23" s="3571" t="s">
        <v>3490</v>
      </c>
      <c r="J23" s="3571">
        <v>115.81</v>
      </c>
      <c r="K23" s="3571" t="s">
        <v>3386</v>
      </c>
      <c r="L23" s="3571">
        <v>7</v>
      </c>
      <c r="M23" s="3574">
        <v>45450</v>
      </c>
      <c r="N23" s="3571">
        <v>1999</v>
      </c>
      <c r="O23" s="3571" t="s">
        <v>633</v>
      </c>
      <c r="P23" s="3571" t="s">
        <v>633</v>
      </c>
      <c r="Q23" s="3571" t="s">
        <v>633</v>
      </c>
      <c r="R23" s="3571">
        <v>43174</v>
      </c>
      <c r="S23" s="3571">
        <v>42241</v>
      </c>
      <c r="T23" s="3571">
        <v>4891930</v>
      </c>
      <c r="U23" s="3573">
        <v>44736</v>
      </c>
    </row>
    <row r="24" spans="1:21" ht="27" hidden="1" customHeight="1" thickBot="1">
      <c r="A24" s="3571">
        <v>23</v>
      </c>
      <c r="B24" s="3572" t="s">
        <v>3887</v>
      </c>
      <c r="C24" s="3571" t="s">
        <v>3963</v>
      </c>
      <c r="D24" s="3571" t="s">
        <v>3964</v>
      </c>
      <c r="E24" s="3571" t="s">
        <v>3890</v>
      </c>
      <c r="F24" s="3571" t="s">
        <v>3965</v>
      </c>
      <c r="G24" s="3571" t="s">
        <v>3493</v>
      </c>
      <c r="H24" s="3571" t="s">
        <v>3966</v>
      </c>
      <c r="I24" s="3571" t="s">
        <v>3498</v>
      </c>
      <c r="J24" s="3571">
        <v>78.5</v>
      </c>
      <c r="K24" s="3571" t="s">
        <v>3386</v>
      </c>
      <c r="L24" s="3571">
        <v>6</v>
      </c>
      <c r="M24" s="3571">
        <v>2</v>
      </c>
      <c r="N24" s="3571" t="s">
        <v>633</v>
      </c>
      <c r="O24" s="3571">
        <v>1998</v>
      </c>
      <c r="P24" s="3571" t="s">
        <v>633</v>
      </c>
      <c r="Q24" s="3571" t="s">
        <v>633</v>
      </c>
      <c r="R24" s="3571">
        <v>69427</v>
      </c>
      <c r="S24" s="3571">
        <v>63456</v>
      </c>
      <c r="T24" s="3571">
        <v>4981296</v>
      </c>
      <c r="U24" s="3573">
        <v>44699</v>
      </c>
    </row>
    <row r="25" spans="1:21" ht="27" customHeight="1" thickBot="1">
      <c r="A25" s="3571">
        <v>24</v>
      </c>
      <c r="B25" s="3572" t="s">
        <v>3887</v>
      </c>
      <c r="C25" s="3571" t="s">
        <v>3967</v>
      </c>
      <c r="D25" s="3571" t="s">
        <v>3968</v>
      </c>
      <c r="E25" s="3571" t="s">
        <v>3890</v>
      </c>
      <c r="F25" s="3571" t="s">
        <v>3969</v>
      </c>
      <c r="G25" s="3571" t="s">
        <v>3488</v>
      </c>
      <c r="H25" s="3571" t="s">
        <v>3489</v>
      </c>
      <c r="I25" s="3571" t="s">
        <v>3490</v>
      </c>
      <c r="J25" s="3571">
        <v>97.36</v>
      </c>
      <c r="K25" s="3571" t="s">
        <v>3386</v>
      </c>
      <c r="L25" s="3571" t="s">
        <v>3491</v>
      </c>
      <c r="M25" s="3571">
        <v>21</v>
      </c>
      <c r="N25" s="3571" t="s">
        <v>633</v>
      </c>
      <c r="O25" s="3571">
        <v>1999</v>
      </c>
      <c r="P25" s="3571" t="s">
        <v>633</v>
      </c>
      <c r="Q25" s="3571" t="s">
        <v>633</v>
      </c>
      <c r="R25" s="3571">
        <v>72412</v>
      </c>
      <c r="S25" s="3571">
        <v>65534</v>
      </c>
      <c r="T25" s="3571">
        <v>6380390</v>
      </c>
      <c r="U25" s="3573">
        <v>44687</v>
      </c>
    </row>
    <row r="26" spans="1:21" ht="27" hidden="1" customHeight="1" thickBot="1">
      <c r="A26" s="3505">
        <v>25</v>
      </c>
      <c r="B26" s="3506" t="s">
        <v>3887</v>
      </c>
      <c r="C26" s="3505" t="s">
        <v>3970</v>
      </c>
      <c r="D26" s="3505" t="s">
        <v>3971</v>
      </c>
      <c r="E26" s="3505" t="s">
        <v>3890</v>
      </c>
      <c r="F26" s="3505" t="s">
        <v>3972</v>
      </c>
      <c r="G26" s="3505" t="s">
        <v>3502</v>
      </c>
      <c r="H26" s="3505" t="s">
        <v>3489</v>
      </c>
      <c r="I26" s="3505" t="s">
        <v>3498</v>
      </c>
      <c r="J26" s="3505">
        <v>77.58</v>
      </c>
      <c r="K26" s="3505" t="s">
        <v>3386</v>
      </c>
      <c r="L26" s="3505" t="s">
        <v>3933</v>
      </c>
      <c r="M26" s="3505">
        <v>11</v>
      </c>
      <c r="N26" s="3505">
        <v>2011</v>
      </c>
      <c r="O26" s="3505" t="s">
        <v>633</v>
      </c>
      <c r="P26" s="3505" t="s">
        <v>633</v>
      </c>
      <c r="Q26" s="3505" t="s">
        <v>633</v>
      </c>
      <c r="R26" s="3505">
        <v>71926</v>
      </c>
      <c r="S26" s="3505">
        <v>65319</v>
      </c>
      <c r="T26" s="3505">
        <v>5067448</v>
      </c>
      <c r="U26" s="3507">
        <v>44674</v>
      </c>
    </row>
    <row r="27" spans="1:21" ht="27" hidden="1" customHeight="1" thickBot="1">
      <c r="A27" s="3505">
        <v>26</v>
      </c>
      <c r="B27" s="3506" t="s">
        <v>3887</v>
      </c>
      <c r="C27" s="3505" t="s">
        <v>3973</v>
      </c>
      <c r="D27" s="3505" t="s">
        <v>3974</v>
      </c>
      <c r="E27" s="3505" t="s">
        <v>3890</v>
      </c>
      <c r="F27" s="3505" t="s">
        <v>3975</v>
      </c>
      <c r="G27" s="3505" t="s">
        <v>3493</v>
      </c>
      <c r="H27" s="3505" t="s">
        <v>3489</v>
      </c>
      <c r="I27" s="3505" t="s">
        <v>3490</v>
      </c>
      <c r="J27" s="3505">
        <v>72.59</v>
      </c>
      <c r="K27" s="3505" t="s">
        <v>3386</v>
      </c>
      <c r="L27" s="3505">
        <v>7</v>
      </c>
      <c r="M27" s="3505">
        <v>3</v>
      </c>
      <c r="N27" s="3505">
        <v>1999</v>
      </c>
      <c r="O27" s="3505" t="s">
        <v>633</v>
      </c>
      <c r="P27" s="3505" t="s">
        <v>633</v>
      </c>
      <c r="Q27" s="3505" t="s">
        <v>633</v>
      </c>
      <c r="R27" s="3505">
        <v>57859</v>
      </c>
      <c r="S27" s="3505">
        <v>55210</v>
      </c>
      <c r="T27" s="3505">
        <v>4007694</v>
      </c>
      <c r="U27" s="3507">
        <v>44642</v>
      </c>
    </row>
    <row r="28" spans="1:21" ht="27" customHeight="1" thickBot="1">
      <c r="A28" s="3500">
        <v>27</v>
      </c>
      <c r="B28" s="3501" t="s">
        <v>3887</v>
      </c>
      <c r="C28" s="3500" t="s">
        <v>3976</v>
      </c>
      <c r="D28" s="3500" t="s">
        <v>3977</v>
      </c>
      <c r="E28" s="3500" t="s">
        <v>3890</v>
      </c>
      <c r="F28" s="3500" t="s">
        <v>3978</v>
      </c>
      <c r="G28" s="3500" t="s">
        <v>3494</v>
      </c>
      <c r="H28" s="3500" t="s">
        <v>3489</v>
      </c>
      <c r="I28" s="3500" t="s">
        <v>3498</v>
      </c>
      <c r="J28" s="3500">
        <v>83.43</v>
      </c>
      <c r="K28" s="3500" t="s">
        <v>3386</v>
      </c>
      <c r="L28" s="3500" t="s">
        <v>3499</v>
      </c>
      <c r="M28" s="3500">
        <v>14</v>
      </c>
      <c r="N28" s="3500">
        <v>2005</v>
      </c>
      <c r="O28" s="3500" t="s">
        <v>633</v>
      </c>
      <c r="P28" s="3500" t="s">
        <v>633</v>
      </c>
      <c r="Q28" s="3500" t="s">
        <v>633</v>
      </c>
      <c r="R28" s="3500">
        <v>56095</v>
      </c>
      <c r="S28" s="3500">
        <v>56110</v>
      </c>
      <c r="T28" s="3500">
        <v>4681257</v>
      </c>
      <c r="U28" s="3502">
        <v>44653</v>
      </c>
    </row>
    <row r="29" spans="1:21" ht="27" customHeight="1" thickBot="1">
      <c r="A29" s="3500">
        <v>28</v>
      </c>
      <c r="B29" s="3501" t="s">
        <v>3887</v>
      </c>
      <c r="C29" s="3500" t="s">
        <v>3979</v>
      </c>
      <c r="D29" s="3500" t="s">
        <v>3980</v>
      </c>
      <c r="E29" s="3500" t="s">
        <v>3890</v>
      </c>
      <c r="F29" s="3500" t="s">
        <v>3981</v>
      </c>
      <c r="G29" s="3500" t="s">
        <v>3494</v>
      </c>
      <c r="H29" s="3500" t="s">
        <v>3489</v>
      </c>
      <c r="I29" s="3500" t="s">
        <v>3498</v>
      </c>
      <c r="J29" s="3500">
        <v>88.43</v>
      </c>
      <c r="K29" s="3500" t="s">
        <v>3386</v>
      </c>
      <c r="L29" s="3500">
        <v>22</v>
      </c>
      <c r="M29" s="3500">
        <v>2</v>
      </c>
      <c r="N29" s="3500">
        <v>2005</v>
      </c>
      <c r="O29" s="3500" t="s">
        <v>633</v>
      </c>
      <c r="P29" s="3500" t="s">
        <v>633</v>
      </c>
      <c r="Q29" s="3500" t="s">
        <v>633</v>
      </c>
      <c r="R29" s="3500">
        <v>0</v>
      </c>
      <c r="S29" s="3500">
        <v>52421</v>
      </c>
      <c r="T29" s="3500">
        <v>4635589</v>
      </c>
      <c r="U29" s="3502">
        <v>44631</v>
      </c>
    </row>
    <row r="30" spans="1:21" ht="27" customHeight="1" thickBot="1">
      <c r="A30" s="3500">
        <v>29</v>
      </c>
      <c r="B30" s="3501" t="s">
        <v>3887</v>
      </c>
      <c r="C30" s="3500" t="s">
        <v>3982</v>
      </c>
      <c r="D30" s="3500" t="s">
        <v>3983</v>
      </c>
      <c r="E30" s="3500" t="s">
        <v>3890</v>
      </c>
      <c r="F30" s="3500" t="s">
        <v>3984</v>
      </c>
      <c r="G30" s="3500" t="s">
        <v>3494</v>
      </c>
      <c r="H30" s="3500" t="s">
        <v>3489</v>
      </c>
      <c r="I30" s="3500" t="s">
        <v>3495</v>
      </c>
      <c r="J30" s="3500">
        <v>101.82</v>
      </c>
      <c r="K30" s="3500" t="s">
        <v>3386</v>
      </c>
      <c r="L30" s="3500" t="s">
        <v>3985</v>
      </c>
      <c r="M30" s="3500">
        <v>8</v>
      </c>
      <c r="N30" s="3500">
        <v>2006</v>
      </c>
      <c r="O30" s="3500" t="s">
        <v>633</v>
      </c>
      <c r="P30" s="3500" t="s">
        <v>633</v>
      </c>
      <c r="Q30" s="3500" t="s">
        <v>633</v>
      </c>
      <c r="R30" s="3500">
        <v>54852</v>
      </c>
      <c r="S30" s="3500">
        <v>52272</v>
      </c>
      <c r="T30" s="3500">
        <v>5322335</v>
      </c>
      <c r="U30" s="3502">
        <v>44623</v>
      </c>
    </row>
    <row r="31" spans="1:21" ht="27" hidden="1" customHeight="1" thickBot="1">
      <c r="A31" s="3505">
        <v>30</v>
      </c>
      <c r="B31" s="3506" t="s">
        <v>3887</v>
      </c>
      <c r="C31" s="3505" t="s">
        <v>3986</v>
      </c>
      <c r="D31" s="3505" t="s">
        <v>3987</v>
      </c>
      <c r="E31" s="3505" t="s">
        <v>3890</v>
      </c>
      <c r="F31" s="3505" t="s">
        <v>3988</v>
      </c>
      <c r="G31" s="3505" t="s">
        <v>3502</v>
      </c>
      <c r="H31" s="3505" t="s">
        <v>3489</v>
      </c>
      <c r="I31" s="3505" t="s">
        <v>3498</v>
      </c>
      <c r="J31" s="3505">
        <v>92.2</v>
      </c>
      <c r="K31" s="3505" t="s">
        <v>3386</v>
      </c>
      <c r="L31" s="3505" t="s">
        <v>3503</v>
      </c>
      <c r="M31" s="3505">
        <v>23</v>
      </c>
      <c r="N31" s="3505" t="s">
        <v>633</v>
      </c>
      <c r="O31" s="3505">
        <v>2011</v>
      </c>
      <c r="P31" s="3505" t="s">
        <v>633</v>
      </c>
      <c r="Q31" s="3505" t="s">
        <v>633</v>
      </c>
      <c r="R31" s="3505">
        <v>71800</v>
      </c>
      <c r="S31" s="3505">
        <v>66557</v>
      </c>
      <c r="T31" s="3505">
        <v>6136555</v>
      </c>
      <c r="U31" s="3507">
        <v>44616</v>
      </c>
    </row>
    <row r="32" spans="1:21" ht="27" customHeight="1" thickBot="1">
      <c r="A32" s="3515">
        <v>31</v>
      </c>
      <c r="B32" s="3516" t="s">
        <v>3887</v>
      </c>
      <c r="C32" s="3515" t="s">
        <v>3989</v>
      </c>
      <c r="D32" s="3515" t="s">
        <v>3990</v>
      </c>
      <c r="E32" s="3515" t="s">
        <v>3890</v>
      </c>
      <c r="F32" s="3515" t="s">
        <v>3991</v>
      </c>
      <c r="G32" s="3515" t="s">
        <v>3494</v>
      </c>
      <c r="H32" s="3515" t="s">
        <v>3992</v>
      </c>
      <c r="I32" s="3515" t="s">
        <v>3498</v>
      </c>
      <c r="J32" s="3515">
        <v>89.5</v>
      </c>
      <c r="K32" s="3515" t="s">
        <v>3386</v>
      </c>
      <c r="L32" s="3515" t="s">
        <v>3499</v>
      </c>
      <c r="M32" s="3515">
        <v>13</v>
      </c>
      <c r="N32" s="3515">
        <v>2005</v>
      </c>
      <c r="O32" s="3515" t="s">
        <v>633</v>
      </c>
      <c r="P32" s="3515" t="s">
        <v>633</v>
      </c>
      <c r="Q32" s="3515" t="s">
        <v>633</v>
      </c>
      <c r="R32" s="3515">
        <v>55028</v>
      </c>
      <c r="S32" s="3515">
        <v>52510</v>
      </c>
      <c r="T32" s="3515">
        <v>4699645</v>
      </c>
      <c r="U32" s="3517">
        <v>44610</v>
      </c>
    </row>
    <row r="33" spans="1:21" ht="27" hidden="1" customHeight="1" thickBot="1">
      <c r="A33" s="3505">
        <v>32</v>
      </c>
      <c r="B33" s="3506" t="s">
        <v>3887</v>
      </c>
      <c r="C33" s="3505" t="s">
        <v>3993</v>
      </c>
      <c r="D33" s="3505" t="s">
        <v>3994</v>
      </c>
      <c r="E33" s="3505" t="s">
        <v>3890</v>
      </c>
      <c r="F33" s="3505" t="s">
        <v>3995</v>
      </c>
      <c r="G33" s="3505" t="s">
        <v>3493</v>
      </c>
      <c r="H33" s="3505" t="s">
        <v>3489</v>
      </c>
      <c r="I33" s="3505" t="s">
        <v>3490</v>
      </c>
      <c r="J33" s="3505">
        <v>101.95</v>
      </c>
      <c r="K33" s="3505" t="s">
        <v>3386</v>
      </c>
      <c r="L33" s="3505">
        <v>7</v>
      </c>
      <c r="M33" s="3508">
        <v>45450</v>
      </c>
      <c r="N33" s="3505">
        <v>1999</v>
      </c>
      <c r="O33" s="3505" t="s">
        <v>633</v>
      </c>
      <c r="P33" s="3505" t="s">
        <v>633</v>
      </c>
      <c r="Q33" s="3505" t="s">
        <v>633</v>
      </c>
      <c r="R33" s="3505">
        <v>43355</v>
      </c>
      <c r="S33" s="3505">
        <v>43353</v>
      </c>
      <c r="T33" s="3505">
        <v>4419838</v>
      </c>
      <c r="U33" s="3507">
        <v>44568</v>
      </c>
    </row>
    <row r="34" spans="1:21" ht="27" customHeight="1" thickBot="1">
      <c r="A34" s="3500">
        <v>33</v>
      </c>
      <c r="B34" s="3501" t="s">
        <v>3887</v>
      </c>
      <c r="C34" s="3500" t="s">
        <v>3996</v>
      </c>
      <c r="D34" s="3500" t="s">
        <v>3997</v>
      </c>
      <c r="E34" s="3500" t="s">
        <v>3890</v>
      </c>
      <c r="F34" s="3500" t="s">
        <v>3998</v>
      </c>
      <c r="G34" s="3500" t="s">
        <v>3494</v>
      </c>
      <c r="H34" s="3500" t="s">
        <v>3489</v>
      </c>
      <c r="I34" s="3500" t="s">
        <v>3495</v>
      </c>
      <c r="J34" s="3500">
        <v>102.08</v>
      </c>
      <c r="K34" s="3500" t="s">
        <v>3386</v>
      </c>
      <c r="L34" s="3500">
        <v>14</v>
      </c>
      <c r="M34" s="3500">
        <v>6</v>
      </c>
      <c r="N34" s="3500">
        <v>2006</v>
      </c>
      <c r="O34" s="3500" t="s">
        <v>633</v>
      </c>
      <c r="P34" s="3500" t="s">
        <v>633</v>
      </c>
      <c r="Q34" s="3500" t="s">
        <v>633</v>
      </c>
      <c r="R34" s="3500">
        <v>53536</v>
      </c>
      <c r="S34" s="3500">
        <v>52484</v>
      </c>
      <c r="T34" s="3500">
        <v>5357567</v>
      </c>
      <c r="U34" s="3502">
        <v>44540</v>
      </c>
    </row>
    <row r="35" spans="1:21" s="3518" customFormat="1" ht="27" customHeight="1" thickBot="1">
      <c r="A35" s="3571">
        <v>34</v>
      </c>
      <c r="B35" s="3572" t="s">
        <v>3887</v>
      </c>
      <c r="C35" s="3571" t="s">
        <v>3999</v>
      </c>
      <c r="D35" s="3571" t="s">
        <v>4000</v>
      </c>
      <c r="E35" s="3571" t="s">
        <v>3890</v>
      </c>
      <c r="F35" s="3571" t="s">
        <v>4001</v>
      </c>
      <c r="G35" s="3571" t="s">
        <v>3488</v>
      </c>
      <c r="H35" s="3571" t="s">
        <v>3489</v>
      </c>
      <c r="I35" s="3571" t="s">
        <v>3490</v>
      </c>
      <c r="J35" s="3571">
        <v>98.06</v>
      </c>
      <c r="K35" s="3571" t="s">
        <v>3386</v>
      </c>
      <c r="L35" s="3571" t="s">
        <v>3491</v>
      </c>
      <c r="M35" s="3571">
        <v>6</v>
      </c>
      <c r="N35" s="3571" t="s">
        <v>633</v>
      </c>
      <c r="O35" s="3571">
        <v>1998</v>
      </c>
      <c r="P35" s="3571" t="s">
        <v>633</v>
      </c>
      <c r="Q35" s="3571" t="s">
        <v>633</v>
      </c>
      <c r="R35" s="3571">
        <v>58128</v>
      </c>
      <c r="S35" s="3571">
        <v>56104</v>
      </c>
      <c r="T35" s="3571">
        <v>5501558</v>
      </c>
      <c r="U35" s="3573">
        <v>44530</v>
      </c>
    </row>
    <row r="36" spans="1:21" s="3518" customFormat="1" ht="27" customHeight="1" thickBot="1">
      <c r="A36" s="3571">
        <v>35</v>
      </c>
      <c r="B36" s="3572" t="s">
        <v>3887</v>
      </c>
      <c r="C36" s="3571" t="s">
        <v>4002</v>
      </c>
      <c r="D36" s="3571" t="s">
        <v>4003</v>
      </c>
      <c r="E36" s="3571" t="s">
        <v>3890</v>
      </c>
      <c r="F36" s="3571" t="s">
        <v>4004</v>
      </c>
      <c r="G36" s="3571" t="s">
        <v>3488</v>
      </c>
      <c r="H36" s="3571" t="s">
        <v>3489</v>
      </c>
      <c r="I36" s="3571" t="s">
        <v>3490</v>
      </c>
      <c r="J36" s="3571">
        <v>118.96</v>
      </c>
      <c r="K36" s="3571" t="s">
        <v>3386</v>
      </c>
      <c r="L36" s="3571" t="s">
        <v>3953</v>
      </c>
      <c r="M36" s="3571">
        <v>15</v>
      </c>
      <c r="N36" s="3571" t="s">
        <v>633</v>
      </c>
      <c r="O36" s="3571">
        <v>1998</v>
      </c>
      <c r="P36" s="3571" t="s">
        <v>633</v>
      </c>
      <c r="Q36" s="3571" t="s">
        <v>633</v>
      </c>
      <c r="R36" s="3571">
        <v>68931</v>
      </c>
      <c r="S36" s="3571">
        <v>61817</v>
      </c>
      <c r="T36" s="3571">
        <v>7353750</v>
      </c>
      <c r="U36" s="3573">
        <v>44457</v>
      </c>
    </row>
    <row r="37" spans="1:21" s="3518" customFormat="1" ht="27" customHeight="1" thickBot="1">
      <c r="A37" s="3571">
        <v>36</v>
      </c>
      <c r="B37" s="3572" t="s">
        <v>3887</v>
      </c>
      <c r="C37" s="3571" t="s">
        <v>4005</v>
      </c>
      <c r="D37" s="3571" t="s">
        <v>4006</v>
      </c>
      <c r="E37" s="3571" t="s">
        <v>3890</v>
      </c>
      <c r="F37" s="3571" t="s">
        <v>4007</v>
      </c>
      <c r="G37" s="3571" t="s">
        <v>3488</v>
      </c>
      <c r="H37" s="3571" t="s">
        <v>3489</v>
      </c>
      <c r="I37" s="3571" t="s">
        <v>3490</v>
      </c>
      <c r="J37" s="3571">
        <v>75.92</v>
      </c>
      <c r="K37" s="3571" t="s">
        <v>3386</v>
      </c>
      <c r="L37" s="3571" t="s">
        <v>3491</v>
      </c>
      <c r="M37" s="3571">
        <v>5</v>
      </c>
      <c r="N37" s="3571" t="s">
        <v>633</v>
      </c>
      <c r="O37" s="3571">
        <v>1998</v>
      </c>
      <c r="P37" s="3571" t="s">
        <v>633</v>
      </c>
      <c r="Q37" s="3571" t="s">
        <v>633</v>
      </c>
      <c r="R37" s="3571">
        <v>63159</v>
      </c>
      <c r="S37" s="3571">
        <v>59396</v>
      </c>
      <c r="T37" s="3571">
        <v>4509344</v>
      </c>
      <c r="U37" s="3573">
        <v>44428</v>
      </c>
    </row>
    <row r="38" spans="1:21" ht="27" customHeight="1" thickBot="1">
      <c r="A38" s="3500">
        <v>37</v>
      </c>
      <c r="B38" s="3501" t="s">
        <v>3887</v>
      </c>
      <c r="C38" s="3500" t="s">
        <v>4008</v>
      </c>
      <c r="D38" s="3500" t="s">
        <v>3980</v>
      </c>
      <c r="E38" s="3500" t="s">
        <v>3890</v>
      </c>
      <c r="F38" s="3500" t="s">
        <v>4009</v>
      </c>
      <c r="G38" s="3500" t="s">
        <v>3494</v>
      </c>
      <c r="H38" s="3500" t="s">
        <v>3489</v>
      </c>
      <c r="I38" s="3500" t="s">
        <v>3495</v>
      </c>
      <c r="J38" s="3500">
        <v>83.29</v>
      </c>
      <c r="K38" s="3500" t="s">
        <v>3386</v>
      </c>
      <c r="L38" s="3500" t="s">
        <v>3499</v>
      </c>
      <c r="M38" s="3500">
        <v>1</v>
      </c>
      <c r="N38" s="3500">
        <v>2006</v>
      </c>
      <c r="O38" s="3500" t="s">
        <v>633</v>
      </c>
      <c r="P38" s="3500" t="s">
        <v>633</v>
      </c>
      <c r="Q38" s="3500" t="s">
        <v>633</v>
      </c>
      <c r="R38" s="3500">
        <v>0</v>
      </c>
      <c r="S38" s="3500">
        <v>52971</v>
      </c>
      <c r="T38" s="3500">
        <v>4411955</v>
      </c>
      <c r="U38" s="3502">
        <v>44419</v>
      </c>
    </row>
    <row r="39" spans="1:21" ht="27" hidden="1" customHeight="1" thickBot="1">
      <c r="A39" s="3505">
        <v>38</v>
      </c>
      <c r="B39" s="3506" t="s">
        <v>3887</v>
      </c>
      <c r="C39" s="3505" t="s">
        <v>4010</v>
      </c>
      <c r="D39" s="3505" t="s">
        <v>4011</v>
      </c>
      <c r="E39" s="3505" t="s">
        <v>3890</v>
      </c>
      <c r="F39" s="3505" t="s">
        <v>4012</v>
      </c>
      <c r="G39" s="3505" t="s">
        <v>3502</v>
      </c>
      <c r="H39" s="3505" t="s">
        <v>3919</v>
      </c>
      <c r="I39" s="3505" t="s">
        <v>3498</v>
      </c>
      <c r="J39" s="3505">
        <v>93.69</v>
      </c>
      <c r="K39" s="3505" t="s">
        <v>3386</v>
      </c>
      <c r="L39" s="3505" t="s">
        <v>3503</v>
      </c>
      <c r="M39" s="3505">
        <v>19</v>
      </c>
      <c r="N39" s="3505" t="s">
        <v>633</v>
      </c>
      <c r="O39" s="3505">
        <v>2011</v>
      </c>
      <c r="P39" s="3505" t="s">
        <v>633</v>
      </c>
      <c r="Q39" s="3505" t="s">
        <v>633</v>
      </c>
      <c r="R39" s="3505">
        <v>70445</v>
      </c>
      <c r="S39" s="3505">
        <v>61804</v>
      </c>
      <c r="T39" s="3505">
        <v>5790417</v>
      </c>
      <c r="U39" s="3507">
        <v>44405</v>
      </c>
    </row>
    <row r="40" spans="1:21" ht="27" hidden="1" customHeight="1" thickBot="1">
      <c r="A40" s="3505">
        <v>39</v>
      </c>
      <c r="B40" s="3506" t="s">
        <v>3887</v>
      </c>
      <c r="C40" s="3505" t="s">
        <v>4013</v>
      </c>
      <c r="D40" s="3505" t="s">
        <v>4014</v>
      </c>
      <c r="E40" s="3505" t="s">
        <v>3890</v>
      </c>
      <c r="F40" s="3505" t="s">
        <v>4015</v>
      </c>
      <c r="G40" s="3505" t="s">
        <v>3493</v>
      </c>
      <c r="H40" s="3505" t="s">
        <v>3489</v>
      </c>
      <c r="I40" s="3505" t="s">
        <v>3490</v>
      </c>
      <c r="J40" s="3505">
        <v>101.95</v>
      </c>
      <c r="K40" s="3505" t="s">
        <v>3386</v>
      </c>
      <c r="L40" s="3505">
        <v>7</v>
      </c>
      <c r="M40" s="3508">
        <v>45450</v>
      </c>
      <c r="N40" s="3505">
        <v>1999</v>
      </c>
      <c r="O40" s="3505" t="s">
        <v>633</v>
      </c>
      <c r="P40" s="3505" t="s">
        <v>633</v>
      </c>
      <c r="Q40" s="3505" t="s">
        <v>633</v>
      </c>
      <c r="R40" s="3505">
        <v>45120</v>
      </c>
      <c r="S40" s="3505">
        <v>45014</v>
      </c>
      <c r="T40" s="3505">
        <v>4589177</v>
      </c>
      <c r="U40" s="3507">
        <v>44378</v>
      </c>
    </row>
    <row r="41" spans="1:21" ht="27" customHeight="1" thickBot="1">
      <c r="A41" s="3500">
        <v>40</v>
      </c>
      <c r="B41" s="3501" t="s">
        <v>3887</v>
      </c>
      <c r="C41" s="3500" t="s">
        <v>4016</v>
      </c>
      <c r="D41" s="3500" t="s">
        <v>4017</v>
      </c>
      <c r="E41" s="3500" t="s">
        <v>3890</v>
      </c>
      <c r="F41" s="3500" t="s">
        <v>4018</v>
      </c>
      <c r="G41" s="3500" t="s">
        <v>3494</v>
      </c>
      <c r="H41" s="3500" t="s">
        <v>3489</v>
      </c>
      <c r="I41" s="3500" t="s">
        <v>3495</v>
      </c>
      <c r="J41" s="3500">
        <v>101.08</v>
      </c>
      <c r="K41" s="3500" t="s">
        <v>3386</v>
      </c>
      <c r="L41" s="3500" t="s">
        <v>3985</v>
      </c>
      <c r="M41" s="3500">
        <v>5</v>
      </c>
      <c r="N41" s="3500">
        <v>2006</v>
      </c>
      <c r="O41" s="3500" t="s">
        <v>633</v>
      </c>
      <c r="P41" s="3500" t="s">
        <v>633</v>
      </c>
      <c r="Q41" s="3500" t="s">
        <v>633</v>
      </c>
      <c r="R41" s="3500">
        <v>50455</v>
      </c>
      <c r="S41" s="3500">
        <v>47961</v>
      </c>
      <c r="T41" s="3500">
        <v>4847898</v>
      </c>
      <c r="U41" s="3502">
        <v>44370</v>
      </c>
    </row>
    <row r="42" spans="1:21" ht="27" customHeight="1" thickBot="1">
      <c r="A42" s="3500">
        <v>41</v>
      </c>
      <c r="B42" s="3501" t="s">
        <v>3887</v>
      </c>
      <c r="C42" s="3500" t="s">
        <v>4019</v>
      </c>
      <c r="D42" s="3500" t="s">
        <v>4020</v>
      </c>
      <c r="E42" s="3500" t="s">
        <v>3890</v>
      </c>
      <c r="F42" s="3500" t="s">
        <v>4021</v>
      </c>
      <c r="G42" s="3500" t="s">
        <v>3494</v>
      </c>
      <c r="H42" s="3500" t="s">
        <v>3489</v>
      </c>
      <c r="I42" s="3500" t="s">
        <v>3495</v>
      </c>
      <c r="J42" s="3500">
        <v>103.3</v>
      </c>
      <c r="K42" s="3500" t="s">
        <v>3386</v>
      </c>
      <c r="L42" s="3500" t="s">
        <v>3496</v>
      </c>
      <c r="M42" s="3500">
        <v>5</v>
      </c>
      <c r="N42" s="3500" t="s">
        <v>633</v>
      </c>
      <c r="O42" s="3500">
        <v>2005</v>
      </c>
      <c r="P42" s="3500" t="s">
        <v>633</v>
      </c>
      <c r="Q42" s="3500" t="s">
        <v>633</v>
      </c>
      <c r="R42" s="3500">
        <v>51016</v>
      </c>
      <c r="S42" s="3500">
        <v>50487</v>
      </c>
      <c r="T42" s="3500">
        <v>5215307</v>
      </c>
      <c r="U42" s="3502">
        <v>44363</v>
      </c>
    </row>
    <row r="43" spans="1:21" s="3518" customFormat="1" ht="27" customHeight="1" thickBot="1">
      <c r="A43" s="3571">
        <v>42</v>
      </c>
      <c r="B43" s="3572" t="s">
        <v>3887</v>
      </c>
      <c r="C43" s="3571" t="s">
        <v>4022</v>
      </c>
      <c r="D43" s="3571" t="s">
        <v>4023</v>
      </c>
      <c r="E43" s="3571" t="s">
        <v>3890</v>
      </c>
      <c r="F43" s="3571" t="s">
        <v>4024</v>
      </c>
      <c r="G43" s="3571" t="s">
        <v>3488</v>
      </c>
      <c r="H43" s="3571" t="s">
        <v>3489</v>
      </c>
      <c r="I43" s="3571" t="s">
        <v>3490</v>
      </c>
      <c r="J43" s="3571">
        <v>70.709999999999994</v>
      </c>
      <c r="K43" s="3571" t="s">
        <v>3386</v>
      </c>
      <c r="L43" s="3571" t="s">
        <v>3953</v>
      </c>
      <c r="M43" s="3571">
        <v>21</v>
      </c>
      <c r="N43" s="3571" t="s">
        <v>633</v>
      </c>
      <c r="O43" s="3571">
        <v>1998</v>
      </c>
      <c r="P43" s="3571" t="s">
        <v>633</v>
      </c>
      <c r="Q43" s="3571" t="s">
        <v>633</v>
      </c>
      <c r="R43" s="3571">
        <v>61731</v>
      </c>
      <c r="S43" s="3571">
        <v>59152</v>
      </c>
      <c r="T43" s="3571">
        <v>4182638</v>
      </c>
      <c r="U43" s="3573">
        <v>44351</v>
      </c>
    </row>
    <row r="44" spans="1:21" ht="27" customHeight="1" thickBot="1">
      <c r="A44" s="3500">
        <v>43</v>
      </c>
      <c r="B44" s="3501" t="s">
        <v>3887</v>
      </c>
      <c r="C44" s="3500" t="s">
        <v>4025</v>
      </c>
      <c r="D44" s="3500" t="s">
        <v>4026</v>
      </c>
      <c r="E44" s="3500" t="s">
        <v>3890</v>
      </c>
      <c r="F44" s="3500" t="s">
        <v>4027</v>
      </c>
      <c r="G44" s="3500" t="s">
        <v>3494</v>
      </c>
      <c r="H44" s="3500" t="s">
        <v>3489</v>
      </c>
      <c r="I44" s="3500" t="s">
        <v>3495</v>
      </c>
      <c r="J44" s="3500">
        <v>88.68</v>
      </c>
      <c r="K44" s="3500" t="s">
        <v>3386</v>
      </c>
      <c r="L44" s="3500" t="s">
        <v>3499</v>
      </c>
      <c r="M44" s="3500">
        <v>3</v>
      </c>
      <c r="N44" s="3500">
        <v>2005</v>
      </c>
      <c r="O44" s="3500" t="s">
        <v>633</v>
      </c>
      <c r="P44" s="3500" t="s">
        <v>633</v>
      </c>
      <c r="Q44" s="3500" t="s">
        <v>633</v>
      </c>
      <c r="R44" s="3500">
        <v>56270</v>
      </c>
      <c r="S44" s="3500">
        <v>47830</v>
      </c>
      <c r="T44" s="3500">
        <v>4241564</v>
      </c>
      <c r="U44" s="3502">
        <v>44330</v>
      </c>
    </row>
    <row r="45" spans="1:21" ht="27" customHeight="1" thickBot="1">
      <c r="A45" s="3500">
        <v>44</v>
      </c>
      <c r="B45" s="3501" t="s">
        <v>3887</v>
      </c>
      <c r="C45" s="3500" t="s">
        <v>4028</v>
      </c>
      <c r="D45" s="3500" t="s">
        <v>4029</v>
      </c>
      <c r="E45" s="3500" t="s">
        <v>3890</v>
      </c>
      <c r="F45" s="3500" t="s">
        <v>4030</v>
      </c>
      <c r="G45" s="3500" t="s">
        <v>3494</v>
      </c>
      <c r="H45" s="3500" t="s">
        <v>3489</v>
      </c>
      <c r="I45" s="3500" t="s">
        <v>3498</v>
      </c>
      <c r="J45" s="3500">
        <v>100.82</v>
      </c>
      <c r="K45" s="3500" t="s">
        <v>3386</v>
      </c>
      <c r="L45" s="3500" t="s">
        <v>4031</v>
      </c>
      <c r="M45" s="3500">
        <v>3</v>
      </c>
      <c r="N45" s="3500">
        <v>2006</v>
      </c>
      <c r="O45" s="3500" t="s">
        <v>633</v>
      </c>
      <c r="P45" s="3500" t="s">
        <v>633</v>
      </c>
      <c r="Q45" s="3500" t="s">
        <v>633</v>
      </c>
      <c r="R45" s="3500">
        <v>54553</v>
      </c>
      <c r="S45" s="3500">
        <v>48770</v>
      </c>
      <c r="T45" s="3500">
        <v>4916991</v>
      </c>
      <c r="U45" s="3502">
        <v>44307</v>
      </c>
    </row>
    <row r="46" spans="1:21" ht="27" hidden="1" customHeight="1" thickBot="1">
      <c r="A46" s="3505">
        <v>45</v>
      </c>
      <c r="B46" s="3506" t="s">
        <v>3887</v>
      </c>
      <c r="C46" s="3505" t="s">
        <v>4032</v>
      </c>
      <c r="D46" s="3505" t="s">
        <v>4033</v>
      </c>
      <c r="E46" s="3505" t="s">
        <v>3890</v>
      </c>
      <c r="F46" s="3505" t="s">
        <v>4034</v>
      </c>
      <c r="G46" s="3505" t="s">
        <v>3493</v>
      </c>
      <c r="H46" s="3505" t="s">
        <v>3489</v>
      </c>
      <c r="I46" s="3505" t="s">
        <v>3490</v>
      </c>
      <c r="J46" s="3505">
        <v>82.04</v>
      </c>
      <c r="K46" s="3505" t="s">
        <v>3386</v>
      </c>
      <c r="L46" s="3505" t="s">
        <v>4035</v>
      </c>
      <c r="M46" s="3505">
        <v>2</v>
      </c>
      <c r="N46" s="3505">
        <v>1998</v>
      </c>
      <c r="O46" s="3505" t="s">
        <v>633</v>
      </c>
      <c r="P46" s="3505" t="s">
        <v>633</v>
      </c>
      <c r="Q46" s="3505" t="s">
        <v>633</v>
      </c>
      <c r="R46" s="3505">
        <v>58508</v>
      </c>
      <c r="S46" s="3505">
        <v>54838</v>
      </c>
      <c r="T46" s="3505">
        <v>4498910</v>
      </c>
      <c r="U46" s="3507">
        <v>44287</v>
      </c>
    </row>
    <row r="47" spans="1:21" ht="27" hidden="1" customHeight="1" thickBot="1">
      <c r="A47" s="3509">
        <v>46</v>
      </c>
      <c r="B47" s="3510" t="s">
        <v>3887</v>
      </c>
      <c r="C47" s="3509" t="s">
        <v>4036</v>
      </c>
      <c r="D47" s="3509" t="s">
        <v>4037</v>
      </c>
      <c r="E47" s="3509" t="s">
        <v>3890</v>
      </c>
      <c r="F47" s="3509" t="s">
        <v>4038</v>
      </c>
      <c r="G47" s="3509" t="s">
        <v>3493</v>
      </c>
      <c r="H47" s="3509" t="s">
        <v>3489</v>
      </c>
      <c r="I47" s="3509" t="s">
        <v>3490</v>
      </c>
      <c r="J47" s="3509">
        <v>45.66</v>
      </c>
      <c r="K47" s="3509" t="s">
        <v>3386</v>
      </c>
      <c r="L47" s="3509">
        <v>6</v>
      </c>
      <c r="M47" s="3509">
        <v>5</v>
      </c>
      <c r="N47" s="3509" t="s">
        <v>633</v>
      </c>
      <c r="O47" s="3509">
        <v>1995</v>
      </c>
      <c r="P47" s="3509" t="s">
        <v>633</v>
      </c>
      <c r="Q47" s="3509" t="s">
        <v>633</v>
      </c>
      <c r="R47" s="3509">
        <v>58038</v>
      </c>
      <c r="S47" s="3509">
        <v>54901</v>
      </c>
      <c r="T47" s="3509">
        <v>2506780</v>
      </c>
      <c r="U47" s="3511">
        <v>44278</v>
      </c>
    </row>
    <row r="48" spans="1:21" ht="27" hidden="1" customHeight="1" thickBot="1">
      <c r="A48" s="3505">
        <v>47</v>
      </c>
      <c r="B48" s="3506" t="s">
        <v>3887</v>
      </c>
      <c r="C48" s="3505" t="s">
        <v>4039</v>
      </c>
      <c r="D48" s="3505" t="s">
        <v>4040</v>
      </c>
      <c r="E48" s="3505" t="s">
        <v>3890</v>
      </c>
      <c r="F48" s="3505" t="s">
        <v>4041</v>
      </c>
      <c r="G48" s="3505" t="s">
        <v>3493</v>
      </c>
      <c r="H48" s="3505" t="s">
        <v>3489</v>
      </c>
      <c r="I48" s="3505" t="s">
        <v>3498</v>
      </c>
      <c r="J48" s="3505">
        <v>59.47</v>
      </c>
      <c r="K48" s="3505" t="s">
        <v>3386</v>
      </c>
      <c r="L48" s="3505">
        <v>6</v>
      </c>
      <c r="M48" s="3505">
        <v>5</v>
      </c>
      <c r="N48" s="3505" t="s">
        <v>633</v>
      </c>
      <c r="O48" s="3505">
        <v>1998</v>
      </c>
      <c r="P48" s="3505" t="s">
        <v>633</v>
      </c>
      <c r="Q48" s="3505" t="s">
        <v>633</v>
      </c>
      <c r="R48" s="3505">
        <v>57004</v>
      </c>
      <c r="S48" s="3505">
        <v>55810</v>
      </c>
      <c r="T48" s="3505">
        <v>3319021</v>
      </c>
      <c r="U48" s="3507">
        <v>44274</v>
      </c>
    </row>
    <row r="49" spans="1:21" ht="27" customHeight="1" thickBot="1">
      <c r="A49" s="3500">
        <v>48</v>
      </c>
      <c r="B49" s="3501" t="s">
        <v>3887</v>
      </c>
      <c r="C49" s="3500" t="s">
        <v>4042</v>
      </c>
      <c r="D49" s="3500" t="s">
        <v>3980</v>
      </c>
      <c r="E49" s="3500" t="s">
        <v>3890</v>
      </c>
      <c r="F49" s="3500" t="s">
        <v>4043</v>
      </c>
      <c r="G49" s="3500" t="s">
        <v>3494</v>
      </c>
      <c r="H49" s="3500" t="s">
        <v>3489</v>
      </c>
      <c r="I49" s="3500" t="s">
        <v>3495</v>
      </c>
      <c r="J49" s="3500">
        <v>101.48</v>
      </c>
      <c r="K49" s="3500" t="s">
        <v>3386</v>
      </c>
      <c r="L49" s="3500" t="s">
        <v>4044</v>
      </c>
      <c r="M49" s="3500">
        <v>10</v>
      </c>
      <c r="N49" s="3500">
        <v>2005</v>
      </c>
      <c r="O49" s="3500" t="s">
        <v>633</v>
      </c>
      <c r="P49" s="3500" t="s">
        <v>633</v>
      </c>
      <c r="Q49" s="3500" t="s">
        <v>633</v>
      </c>
      <c r="R49" s="3500">
        <v>44639</v>
      </c>
      <c r="S49" s="3500">
        <v>48163</v>
      </c>
      <c r="T49" s="3500">
        <v>4887581</v>
      </c>
      <c r="U49" s="3502">
        <v>44227</v>
      </c>
    </row>
    <row r="50" spans="1:21" ht="27" customHeight="1" thickBot="1">
      <c r="A50" s="3500">
        <v>49</v>
      </c>
      <c r="B50" s="3501" t="s">
        <v>3887</v>
      </c>
      <c r="C50" s="3500" t="s">
        <v>4045</v>
      </c>
      <c r="D50" s="3500" t="s">
        <v>4046</v>
      </c>
      <c r="E50" s="3500" t="s">
        <v>3890</v>
      </c>
      <c r="F50" s="3500" t="s">
        <v>4047</v>
      </c>
      <c r="G50" s="3500" t="s">
        <v>3494</v>
      </c>
      <c r="H50" s="3500" t="s">
        <v>3489</v>
      </c>
      <c r="I50" s="3500" t="s">
        <v>3495</v>
      </c>
      <c r="J50" s="3500">
        <v>94.37</v>
      </c>
      <c r="K50" s="3500" t="s">
        <v>3386</v>
      </c>
      <c r="L50" s="3500" t="s">
        <v>4048</v>
      </c>
      <c r="M50" s="3500">
        <v>11</v>
      </c>
      <c r="N50" s="3500" t="s">
        <v>633</v>
      </c>
      <c r="O50" s="3500">
        <v>2005</v>
      </c>
      <c r="P50" s="3500" t="s">
        <v>633</v>
      </c>
      <c r="Q50" s="3500" t="s">
        <v>633</v>
      </c>
      <c r="R50" s="3500">
        <v>0</v>
      </c>
      <c r="S50" s="3500">
        <v>49593</v>
      </c>
      <c r="T50" s="3500">
        <v>4680091</v>
      </c>
      <c r="U50" s="3502">
        <v>44168</v>
      </c>
    </row>
    <row r="51" spans="1:21" ht="27" customHeight="1" thickBot="1">
      <c r="A51" s="3500">
        <v>50</v>
      </c>
      <c r="B51" s="3501" t="s">
        <v>3887</v>
      </c>
      <c r="C51" s="3500" t="s">
        <v>4049</v>
      </c>
      <c r="D51" s="3500" t="s">
        <v>4050</v>
      </c>
      <c r="E51" s="3500" t="s">
        <v>3890</v>
      </c>
      <c r="F51" s="3500" t="s">
        <v>4051</v>
      </c>
      <c r="G51" s="3500" t="s">
        <v>3494</v>
      </c>
      <c r="H51" s="3500" t="s">
        <v>3489</v>
      </c>
      <c r="I51" s="3500" t="s">
        <v>3495</v>
      </c>
      <c r="J51" s="3500">
        <v>127.22</v>
      </c>
      <c r="K51" s="3500" t="s">
        <v>3386</v>
      </c>
      <c r="L51" s="3500" t="s">
        <v>4052</v>
      </c>
      <c r="M51" s="3500">
        <v>15</v>
      </c>
      <c r="N51" s="3500">
        <v>2006</v>
      </c>
      <c r="O51" s="3500" t="s">
        <v>633</v>
      </c>
      <c r="P51" s="3500" t="s">
        <v>633</v>
      </c>
      <c r="Q51" s="3500" t="s">
        <v>633</v>
      </c>
      <c r="R51" s="3500">
        <v>0</v>
      </c>
      <c r="S51" s="3500">
        <v>50656</v>
      </c>
      <c r="T51" s="3500">
        <v>6444456</v>
      </c>
      <c r="U51" s="3502">
        <v>44168</v>
      </c>
    </row>
    <row r="52" spans="1:21" ht="27" customHeight="1" thickBot="1">
      <c r="A52" s="3500">
        <v>51</v>
      </c>
      <c r="B52" s="3501" t="s">
        <v>3887</v>
      </c>
      <c r="C52" s="3500" t="s">
        <v>4053</v>
      </c>
      <c r="D52" s="3500" t="s">
        <v>4054</v>
      </c>
      <c r="E52" s="3500" t="s">
        <v>3890</v>
      </c>
      <c r="F52" s="3500" t="s">
        <v>4055</v>
      </c>
      <c r="G52" s="3500" t="s">
        <v>3494</v>
      </c>
      <c r="H52" s="3500" t="s">
        <v>3489</v>
      </c>
      <c r="I52" s="3500" t="s">
        <v>3498</v>
      </c>
      <c r="J52" s="3500">
        <v>125.02</v>
      </c>
      <c r="K52" s="3500" t="s">
        <v>3386</v>
      </c>
      <c r="L52" s="3500" t="s">
        <v>4031</v>
      </c>
      <c r="M52" s="3500">
        <v>11</v>
      </c>
      <c r="N52" s="3500">
        <v>2006</v>
      </c>
      <c r="O52" s="3500" t="s">
        <v>633</v>
      </c>
      <c r="P52" s="3500" t="s">
        <v>633</v>
      </c>
      <c r="Q52" s="3500" t="s">
        <v>633</v>
      </c>
      <c r="R52" s="3500">
        <v>0</v>
      </c>
      <c r="S52" s="3500">
        <v>46445</v>
      </c>
      <c r="T52" s="3500">
        <v>5806554</v>
      </c>
      <c r="U52" s="3502">
        <v>44159</v>
      </c>
    </row>
    <row r="53" spans="1:21" ht="27" customHeight="1" thickBot="1">
      <c r="A53" s="3500">
        <v>52</v>
      </c>
      <c r="B53" s="3501" t="s">
        <v>3887</v>
      </c>
      <c r="C53" s="3500" t="s">
        <v>4056</v>
      </c>
      <c r="D53" s="3500" t="s">
        <v>4057</v>
      </c>
      <c r="E53" s="3500" t="s">
        <v>3890</v>
      </c>
      <c r="F53" s="3500" t="s">
        <v>4058</v>
      </c>
      <c r="G53" s="3500" t="s">
        <v>3494</v>
      </c>
      <c r="H53" s="3500" t="s">
        <v>4059</v>
      </c>
      <c r="I53" s="3500" t="s">
        <v>3498</v>
      </c>
      <c r="J53" s="3500">
        <v>89.19</v>
      </c>
      <c r="K53" s="3500" t="s">
        <v>3386</v>
      </c>
      <c r="L53" s="3500" t="s">
        <v>3496</v>
      </c>
      <c r="M53" s="3500">
        <v>7</v>
      </c>
      <c r="N53" s="3500" t="s">
        <v>633</v>
      </c>
      <c r="O53" s="3500">
        <v>2005</v>
      </c>
      <c r="P53" s="3500" t="s">
        <v>633</v>
      </c>
      <c r="Q53" s="3500" t="s">
        <v>633</v>
      </c>
      <c r="R53" s="3500">
        <v>53593</v>
      </c>
      <c r="S53" s="3500">
        <v>45182</v>
      </c>
      <c r="T53" s="3500">
        <v>4029783</v>
      </c>
      <c r="U53" s="3502">
        <v>44078</v>
      </c>
    </row>
    <row r="54" spans="1:21" s="3518" customFormat="1" ht="27" customHeight="1" thickBot="1">
      <c r="A54" s="3571">
        <v>53</v>
      </c>
      <c r="B54" s="3572" t="s">
        <v>3887</v>
      </c>
      <c r="C54" s="3571" t="s">
        <v>4060</v>
      </c>
      <c r="D54" s="3571" t="s">
        <v>3980</v>
      </c>
      <c r="E54" s="3571" t="s">
        <v>3890</v>
      </c>
      <c r="F54" s="3571" t="s">
        <v>4061</v>
      </c>
      <c r="G54" s="3571" t="s">
        <v>3488</v>
      </c>
      <c r="H54" s="3571" t="s">
        <v>3489</v>
      </c>
      <c r="I54" s="3571" t="s">
        <v>3490</v>
      </c>
      <c r="J54" s="3571">
        <v>81.61</v>
      </c>
      <c r="K54" s="3571" t="s">
        <v>3386</v>
      </c>
      <c r="L54" s="3571" t="s">
        <v>3491</v>
      </c>
      <c r="M54" s="3571">
        <v>21</v>
      </c>
      <c r="N54" s="3571" t="s">
        <v>633</v>
      </c>
      <c r="O54" s="3571">
        <v>1998</v>
      </c>
      <c r="P54" s="3571" t="s">
        <v>633</v>
      </c>
      <c r="Q54" s="3571" t="s">
        <v>633</v>
      </c>
      <c r="R54" s="3571">
        <v>59061</v>
      </c>
      <c r="S54" s="3571">
        <v>54996</v>
      </c>
      <c r="T54" s="3571">
        <v>4488224</v>
      </c>
      <c r="U54" s="3573">
        <v>44030</v>
      </c>
    </row>
    <row r="55" spans="1:21" s="3518" customFormat="1" ht="27" customHeight="1" thickBot="1">
      <c r="A55" s="3500">
        <v>54</v>
      </c>
      <c r="B55" s="3506" t="s">
        <v>3887</v>
      </c>
      <c r="C55" s="3505" t="s">
        <v>4062</v>
      </c>
      <c r="D55" s="3505" t="s">
        <v>4063</v>
      </c>
      <c r="E55" s="3500" t="s">
        <v>3890</v>
      </c>
      <c r="F55" s="3500" t="s">
        <v>4064</v>
      </c>
      <c r="G55" s="3500" t="s">
        <v>3494</v>
      </c>
      <c r="H55" s="3505" t="s">
        <v>3489</v>
      </c>
      <c r="I55" s="3500" t="s">
        <v>3495</v>
      </c>
      <c r="J55" s="3500">
        <v>96.85</v>
      </c>
      <c r="K55" s="3500" t="s">
        <v>3386</v>
      </c>
      <c r="L55" s="3500" t="s">
        <v>4052</v>
      </c>
      <c r="M55" s="3500">
        <v>6</v>
      </c>
      <c r="N55" s="3500" t="s">
        <v>633</v>
      </c>
      <c r="O55" s="3500">
        <v>2006</v>
      </c>
      <c r="P55" s="3505" t="s">
        <v>633</v>
      </c>
      <c r="Q55" s="3505" t="s">
        <v>633</v>
      </c>
      <c r="R55" s="3500">
        <v>52555</v>
      </c>
      <c r="S55" s="3500">
        <v>49865</v>
      </c>
      <c r="T55" s="3500">
        <v>4829425</v>
      </c>
      <c r="U55" s="3502">
        <v>44033</v>
      </c>
    </row>
    <row r="56" spans="1:21" ht="27" hidden="1" customHeight="1" thickBot="1">
      <c r="A56" s="3505">
        <v>55</v>
      </c>
      <c r="B56" s="3506" t="s">
        <v>3887</v>
      </c>
      <c r="C56" s="3505" t="s">
        <v>4065</v>
      </c>
      <c r="D56" s="3505" t="s">
        <v>4066</v>
      </c>
      <c r="E56" s="3505" t="s">
        <v>3890</v>
      </c>
      <c r="F56" s="3505" t="s">
        <v>4067</v>
      </c>
      <c r="G56" s="3505" t="s">
        <v>3493</v>
      </c>
      <c r="H56" s="3505" t="s">
        <v>3489</v>
      </c>
      <c r="I56" s="3505" t="s">
        <v>3490</v>
      </c>
      <c r="J56" s="3505">
        <v>78.22</v>
      </c>
      <c r="K56" s="3505" t="s">
        <v>3386</v>
      </c>
      <c r="L56" s="3505">
        <v>7</v>
      </c>
      <c r="M56" s="3505">
        <v>2</v>
      </c>
      <c r="N56" s="3505">
        <v>1999</v>
      </c>
      <c r="O56" s="3505" t="s">
        <v>633</v>
      </c>
      <c r="P56" s="3505" t="s">
        <v>633</v>
      </c>
      <c r="Q56" s="3505" t="s">
        <v>633</v>
      </c>
      <c r="R56" s="3505">
        <v>0</v>
      </c>
      <c r="S56" s="3505">
        <v>43074</v>
      </c>
      <c r="T56" s="3505">
        <v>3369248</v>
      </c>
      <c r="U56" s="3507">
        <v>43999</v>
      </c>
    </row>
    <row r="57" spans="1:21" s="3518" customFormat="1" ht="27" customHeight="1" thickBot="1">
      <c r="A57" s="3500">
        <v>56</v>
      </c>
      <c r="B57" s="3501" t="s">
        <v>3887</v>
      </c>
      <c r="C57" s="3500" t="s">
        <v>4068</v>
      </c>
      <c r="D57" s="3500" t="s">
        <v>4069</v>
      </c>
      <c r="E57" s="3500" t="s">
        <v>3890</v>
      </c>
      <c r="F57" s="3500" t="s">
        <v>4070</v>
      </c>
      <c r="G57" s="3500" t="s">
        <v>3494</v>
      </c>
      <c r="H57" s="3500" t="s">
        <v>3489</v>
      </c>
      <c r="I57" s="3500" t="s">
        <v>3495</v>
      </c>
      <c r="J57" s="3500">
        <v>76.87</v>
      </c>
      <c r="K57" s="3500" t="s">
        <v>3386</v>
      </c>
      <c r="L57" s="3500" t="s">
        <v>3499</v>
      </c>
      <c r="M57" s="3500">
        <v>1</v>
      </c>
      <c r="N57" s="3500">
        <v>2005</v>
      </c>
      <c r="O57" s="3500" t="s">
        <v>633</v>
      </c>
      <c r="P57" s="3500" t="s">
        <v>633</v>
      </c>
      <c r="Q57" s="3500" t="s">
        <v>633</v>
      </c>
      <c r="R57" s="3500">
        <v>44621</v>
      </c>
      <c r="S57" s="3500">
        <v>41854</v>
      </c>
      <c r="T57" s="3500">
        <v>3217317</v>
      </c>
      <c r="U57" s="3502">
        <v>43960</v>
      </c>
    </row>
    <row r="58" spans="1:21" ht="27" hidden="1" customHeight="1" thickBot="1">
      <c r="A58" s="3505">
        <v>57</v>
      </c>
      <c r="B58" s="3506" t="s">
        <v>3887</v>
      </c>
      <c r="C58" s="3505" t="s">
        <v>4071</v>
      </c>
      <c r="D58" s="3505" t="s">
        <v>4072</v>
      </c>
      <c r="E58" s="3505" t="s">
        <v>3890</v>
      </c>
      <c r="F58" s="3505" t="s">
        <v>4073</v>
      </c>
      <c r="G58" s="3505" t="s">
        <v>3493</v>
      </c>
      <c r="H58" s="3505" t="s">
        <v>3489</v>
      </c>
      <c r="I58" s="3505" t="s">
        <v>3490</v>
      </c>
      <c r="J58" s="3505">
        <v>78.22</v>
      </c>
      <c r="K58" s="3505" t="s">
        <v>3386</v>
      </c>
      <c r="L58" s="3505">
        <v>7</v>
      </c>
      <c r="M58" s="3505">
        <v>4</v>
      </c>
      <c r="N58" s="3505">
        <v>1999</v>
      </c>
      <c r="O58" s="3505" t="s">
        <v>633</v>
      </c>
      <c r="P58" s="3505" t="s">
        <v>633</v>
      </c>
      <c r="Q58" s="3505" t="s">
        <v>633</v>
      </c>
      <c r="R58" s="3505">
        <v>44746</v>
      </c>
      <c r="S58" s="3505">
        <v>44068</v>
      </c>
      <c r="T58" s="3505">
        <v>3446999</v>
      </c>
      <c r="U58" s="3507">
        <v>43838</v>
      </c>
    </row>
    <row r="59" spans="1:21" s="3518" customFormat="1" ht="27" customHeight="1" thickBot="1">
      <c r="A59" s="3500">
        <v>58</v>
      </c>
      <c r="B59" s="3501" t="s">
        <v>3887</v>
      </c>
      <c r="C59" s="3500" t="s">
        <v>4074</v>
      </c>
      <c r="D59" s="3500" t="s">
        <v>4075</v>
      </c>
      <c r="E59" s="3500" t="s">
        <v>3890</v>
      </c>
      <c r="F59" s="3500" t="s">
        <v>4076</v>
      </c>
      <c r="G59" s="3500" t="s">
        <v>3494</v>
      </c>
      <c r="H59" s="3500" t="s">
        <v>3489</v>
      </c>
      <c r="I59" s="3500" t="s">
        <v>3498</v>
      </c>
      <c r="J59" s="3500">
        <v>88.43</v>
      </c>
      <c r="K59" s="3500" t="s">
        <v>3386</v>
      </c>
      <c r="L59" s="3500">
        <v>22</v>
      </c>
      <c r="M59" s="3500">
        <v>1</v>
      </c>
      <c r="N59" s="3500">
        <v>2005</v>
      </c>
      <c r="O59" s="3500" t="s">
        <v>633</v>
      </c>
      <c r="P59" s="3500" t="s">
        <v>633</v>
      </c>
      <c r="Q59" s="3500" t="s">
        <v>633</v>
      </c>
      <c r="R59" s="3500">
        <v>54619</v>
      </c>
      <c r="S59" s="3500">
        <v>51208</v>
      </c>
      <c r="T59" s="3500">
        <v>4528323</v>
      </c>
      <c r="U59" s="3502">
        <v>43817</v>
      </c>
    </row>
    <row r="60" spans="1:21" s="3518" customFormat="1" ht="27" customHeight="1" thickBot="1">
      <c r="A60" s="3500">
        <v>59</v>
      </c>
      <c r="B60" s="3501" t="s">
        <v>3887</v>
      </c>
      <c r="C60" s="3500" t="s">
        <v>4077</v>
      </c>
      <c r="D60" s="3500" t="s">
        <v>4078</v>
      </c>
      <c r="E60" s="3500" t="s">
        <v>3890</v>
      </c>
      <c r="F60" s="3500" t="s">
        <v>4079</v>
      </c>
      <c r="G60" s="3500" t="s">
        <v>3494</v>
      </c>
      <c r="H60" s="3500" t="s">
        <v>3489</v>
      </c>
      <c r="I60" s="3500" t="s">
        <v>3495</v>
      </c>
      <c r="J60" s="3500">
        <v>101.48</v>
      </c>
      <c r="K60" s="3500" t="s">
        <v>3386</v>
      </c>
      <c r="L60" s="3500" t="s">
        <v>4048</v>
      </c>
      <c r="M60" s="3500">
        <v>3</v>
      </c>
      <c r="N60" s="3500" t="s">
        <v>633</v>
      </c>
      <c r="O60" s="3500">
        <v>2005</v>
      </c>
      <c r="P60" s="3500" t="s">
        <v>633</v>
      </c>
      <c r="Q60" s="3500" t="s">
        <v>633</v>
      </c>
      <c r="R60" s="3500">
        <v>51045</v>
      </c>
      <c r="S60" s="3500">
        <v>48261</v>
      </c>
      <c r="T60" s="3500">
        <v>4897526</v>
      </c>
      <c r="U60" s="3502">
        <v>43792</v>
      </c>
    </row>
    <row r="61" spans="1:21" ht="27" hidden="1" customHeight="1" thickBot="1">
      <c r="A61" s="3505">
        <v>60</v>
      </c>
      <c r="B61" s="3506" t="s">
        <v>3887</v>
      </c>
      <c r="C61" s="3505" t="s">
        <v>4080</v>
      </c>
      <c r="D61" s="3505" t="s">
        <v>4081</v>
      </c>
      <c r="E61" s="3505" t="s">
        <v>3890</v>
      </c>
      <c r="F61" s="3505" t="s">
        <v>4082</v>
      </c>
      <c r="G61" s="3505" t="s">
        <v>3502</v>
      </c>
      <c r="H61" s="3505" t="s">
        <v>3489</v>
      </c>
      <c r="I61" s="3505" t="s">
        <v>3498</v>
      </c>
      <c r="J61" s="3505">
        <v>72.77</v>
      </c>
      <c r="K61" s="3505" t="s">
        <v>3386</v>
      </c>
      <c r="L61" s="3505" t="s">
        <v>3503</v>
      </c>
      <c r="M61" s="3505">
        <v>9</v>
      </c>
      <c r="N61" s="3505" t="s">
        <v>633</v>
      </c>
      <c r="O61" s="3505">
        <v>2011</v>
      </c>
      <c r="P61" s="3505" t="s">
        <v>633</v>
      </c>
      <c r="Q61" s="3505" t="s">
        <v>633</v>
      </c>
      <c r="R61" s="3505">
        <v>0</v>
      </c>
      <c r="S61" s="3505">
        <v>58049</v>
      </c>
      <c r="T61" s="3505">
        <v>4224226</v>
      </c>
      <c r="U61" s="3507">
        <v>43778</v>
      </c>
    </row>
    <row r="62" spans="1:21" ht="27" hidden="1" customHeight="1" thickBot="1">
      <c r="A62" s="3509">
        <v>61</v>
      </c>
      <c r="B62" s="3510" t="s">
        <v>3887</v>
      </c>
      <c r="C62" s="3509" t="s">
        <v>4083</v>
      </c>
      <c r="D62" s="3509" t="s">
        <v>4084</v>
      </c>
      <c r="E62" s="3509" t="s">
        <v>3890</v>
      </c>
      <c r="F62" s="3509" t="s">
        <v>4085</v>
      </c>
      <c r="G62" s="3509" t="s">
        <v>3493</v>
      </c>
      <c r="H62" s="3509" t="s">
        <v>3489</v>
      </c>
      <c r="I62" s="3509" t="s">
        <v>3490</v>
      </c>
      <c r="J62" s="3509">
        <v>97.76</v>
      </c>
      <c r="K62" s="3509" t="s">
        <v>3386</v>
      </c>
      <c r="L62" s="3509">
        <v>7</v>
      </c>
      <c r="M62" s="3509">
        <v>5</v>
      </c>
      <c r="N62" s="3509">
        <v>1996</v>
      </c>
      <c r="O62" s="3509" t="s">
        <v>633</v>
      </c>
      <c r="P62" s="3509" t="s">
        <v>633</v>
      </c>
      <c r="Q62" s="3509" t="s">
        <v>633</v>
      </c>
      <c r="R62" s="3509">
        <v>51299</v>
      </c>
      <c r="S62" s="3509">
        <v>48196</v>
      </c>
      <c r="T62" s="3509">
        <v>4711641</v>
      </c>
      <c r="U62" s="3511">
        <v>43770</v>
      </c>
    </row>
    <row r="63" spans="1:21" ht="27" hidden="1" customHeight="1" thickBot="1">
      <c r="A63" s="3505">
        <v>62</v>
      </c>
      <c r="B63" s="3506" t="s">
        <v>3887</v>
      </c>
      <c r="C63" s="3505" t="s">
        <v>4086</v>
      </c>
      <c r="D63" s="3505" t="s">
        <v>4087</v>
      </c>
      <c r="E63" s="3505" t="s">
        <v>3890</v>
      </c>
      <c r="F63" s="3505" t="s">
        <v>4088</v>
      </c>
      <c r="G63" s="3505" t="s">
        <v>3502</v>
      </c>
      <c r="H63" s="3505" t="s">
        <v>3489</v>
      </c>
      <c r="I63" s="3505" t="s">
        <v>3498</v>
      </c>
      <c r="J63" s="3505">
        <v>72.77</v>
      </c>
      <c r="K63" s="3505" t="s">
        <v>3386</v>
      </c>
      <c r="L63" s="3505" t="s">
        <v>3503</v>
      </c>
      <c r="M63" s="3505">
        <v>5</v>
      </c>
      <c r="N63" s="3505" t="s">
        <v>633</v>
      </c>
      <c r="O63" s="3505">
        <v>2011</v>
      </c>
      <c r="P63" s="3505" t="s">
        <v>633</v>
      </c>
      <c r="Q63" s="3505" t="s">
        <v>633</v>
      </c>
      <c r="R63" s="3505">
        <v>0</v>
      </c>
      <c r="S63" s="3505">
        <v>58629</v>
      </c>
      <c r="T63" s="3505">
        <v>4266432</v>
      </c>
      <c r="U63" s="3507">
        <v>43686</v>
      </c>
    </row>
    <row r="64" spans="1:21" ht="27" hidden="1" customHeight="1" thickBot="1">
      <c r="A64" s="3505">
        <v>63</v>
      </c>
      <c r="B64" s="3506" t="s">
        <v>3887</v>
      </c>
      <c r="C64" s="3505" t="s">
        <v>4089</v>
      </c>
      <c r="D64" s="3505" t="s">
        <v>4090</v>
      </c>
      <c r="E64" s="3505" t="s">
        <v>3890</v>
      </c>
      <c r="F64" s="3505" t="s">
        <v>4091</v>
      </c>
      <c r="G64" s="3505" t="s">
        <v>3493</v>
      </c>
      <c r="H64" s="3505" t="s">
        <v>3489</v>
      </c>
      <c r="I64" s="3505" t="s">
        <v>3490</v>
      </c>
      <c r="J64" s="3505">
        <v>72.59</v>
      </c>
      <c r="K64" s="3505" t="s">
        <v>3386</v>
      </c>
      <c r="L64" s="3505">
        <v>7</v>
      </c>
      <c r="M64" s="3505">
        <v>5</v>
      </c>
      <c r="N64" s="3505">
        <v>1999</v>
      </c>
      <c r="O64" s="3505" t="s">
        <v>633</v>
      </c>
      <c r="P64" s="3505" t="s">
        <v>633</v>
      </c>
      <c r="Q64" s="3505" t="s">
        <v>633</v>
      </c>
      <c r="R64" s="3505">
        <v>51247</v>
      </c>
      <c r="S64" s="3505">
        <v>49423</v>
      </c>
      <c r="T64" s="3505">
        <v>3587616</v>
      </c>
      <c r="U64" s="3507">
        <v>43679</v>
      </c>
    </row>
    <row r="65" spans="1:21" s="3518" customFormat="1" ht="27" customHeight="1" thickBot="1">
      <c r="A65" s="3571">
        <v>64</v>
      </c>
      <c r="B65" s="3572" t="s">
        <v>3887</v>
      </c>
      <c r="C65" s="3571" t="s">
        <v>4092</v>
      </c>
      <c r="D65" s="3571" t="s">
        <v>4093</v>
      </c>
      <c r="E65" s="3571" t="s">
        <v>3890</v>
      </c>
      <c r="F65" s="3571" t="s">
        <v>4094</v>
      </c>
      <c r="G65" s="3571" t="s">
        <v>3488</v>
      </c>
      <c r="H65" s="3571" t="s">
        <v>3489</v>
      </c>
      <c r="I65" s="3571" t="s">
        <v>3490</v>
      </c>
      <c r="J65" s="3571">
        <v>97.36</v>
      </c>
      <c r="K65" s="3571" t="s">
        <v>3386</v>
      </c>
      <c r="L65" s="3571" t="s">
        <v>3491</v>
      </c>
      <c r="M65" s="3571">
        <v>12</v>
      </c>
      <c r="N65" s="3571" t="s">
        <v>633</v>
      </c>
      <c r="O65" s="3571">
        <v>1998</v>
      </c>
      <c r="P65" s="3571" t="s">
        <v>633</v>
      </c>
      <c r="Q65" s="3571" t="s">
        <v>633</v>
      </c>
      <c r="R65" s="3571">
        <v>63168</v>
      </c>
      <c r="S65" s="3571">
        <v>52639</v>
      </c>
      <c r="T65" s="3571">
        <v>5124933</v>
      </c>
      <c r="U65" s="3573">
        <v>43664</v>
      </c>
    </row>
    <row r="66" spans="1:21" ht="27" hidden="1" customHeight="1" thickBot="1">
      <c r="A66" s="3505">
        <v>65</v>
      </c>
      <c r="B66" s="3506" t="s">
        <v>3887</v>
      </c>
      <c r="C66" s="3505" t="s">
        <v>4095</v>
      </c>
      <c r="D66" s="3505" t="s">
        <v>4096</v>
      </c>
      <c r="E66" s="3505" t="s">
        <v>3890</v>
      </c>
      <c r="F66" s="3505" t="s">
        <v>4097</v>
      </c>
      <c r="G66" s="3505" t="s">
        <v>3493</v>
      </c>
      <c r="H66" s="3505" t="s">
        <v>3489</v>
      </c>
      <c r="I66" s="3505" t="s">
        <v>3490</v>
      </c>
      <c r="J66" s="3505">
        <v>45.66</v>
      </c>
      <c r="K66" s="3505" t="s">
        <v>3386</v>
      </c>
      <c r="L66" s="3505">
        <v>6</v>
      </c>
      <c r="M66" s="3505">
        <v>4</v>
      </c>
      <c r="N66" s="3505" t="s">
        <v>633</v>
      </c>
      <c r="O66" s="3505">
        <v>1996</v>
      </c>
      <c r="P66" s="3505" t="s">
        <v>633</v>
      </c>
      <c r="Q66" s="3505" t="s">
        <v>633</v>
      </c>
      <c r="R66" s="3505">
        <v>58914</v>
      </c>
      <c r="S66" s="3505">
        <v>55946</v>
      </c>
      <c r="T66" s="3505">
        <v>2554494</v>
      </c>
      <c r="U66" s="3507">
        <v>43595</v>
      </c>
    </row>
    <row r="67" spans="1:21" s="3518" customFormat="1" ht="27" customHeight="1" thickBot="1">
      <c r="A67" s="3500">
        <v>66</v>
      </c>
      <c r="B67" s="3506" t="s">
        <v>3887</v>
      </c>
      <c r="C67" s="3505" t="s">
        <v>4098</v>
      </c>
      <c r="D67" s="3505" t="s">
        <v>4099</v>
      </c>
      <c r="E67" s="3500" t="s">
        <v>3890</v>
      </c>
      <c r="F67" s="3500" t="s">
        <v>4100</v>
      </c>
      <c r="G67" s="3500" t="s">
        <v>3494</v>
      </c>
      <c r="H67" s="3505" t="s">
        <v>3489</v>
      </c>
      <c r="I67" s="3500" t="s">
        <v>3495</v>
      </c>
      <c r="J67" s="3500">
        <v>88.24</v>
      </c>
      <c r="K67" s="3500" t="s">
        <v>3386</v>
      </c>
      <c r="L67" s="3500" t="s">
        <v>3496</v>
      </c>
      <c r="M67" s="3500">
        <v>16</v>
      </c>
      <c r="N67" s="3500" t="s">
        <v>633</v>
      </c>
      <c r="O67" s="3500">
        <v>2005</v>
      </c>
      <c r="P67" s="3505" t="s">
        <v>633</v>
      </c>
      <c r="Q67" s="3505" t="s">
        <v>633</v>
      </c>
      <c r="R67" s="3500">
        <v>58930</v>
      </c>
      <c r="S67" s="3500">
        <v>54808</v>
      </c>
      <c r="T67" s="3500">
        <v>4836258</v>
      </c>
      <c r="U67" s="3502">
        <v>43581</v>
      </c>
    </row>
    <row r="68" spans="1:21" ht="27" hidden="1" customHeight="1" thickBot="1">
      <c r="A68" s="3505">
        <v>67</v>
      </c>
      <c r="B68" s="3506" t="s">
        <v>3887</v>
      </c>
      <c r="C68" s="3512" t="s">
        <v>4101</v>
      </c>
      <c r="D68" s="3512" t="s">
        <v>4102</v>
      </c>
      <c r="E68" s="3512" t="s">
        <v>3890</v>
      </c>
      <c r="F68" s="3512" t="s">
        <v>4103</v>
      </c>
      <c r="G68" s="3512" t="s">
        <v>3493</v>
      </c>
      <c r="H68" s="3512" t="s">
        <v>3489</v>
      </c>
      <c r="I68" s="3512" t="s">
        <v>3490</v>
      </c>
      <c r="J68" s="3512">
        <v>78.22</v>
      </c>
      <c r="K68" s="3512" t="s">
        <v>3386</v>
      </c>
      <c r="L68" s="3512">
        <v>7</v>
      </c>
      <c r="M68" s="3512">
        <v>5</v>
      </c>
      <c r="N68" s="3512">
        <v>1999</v>
      </c>
      <c r="O68" s="3512" t="s">
        <v>633</v>
      </c>
      <c r="P68" s="3512" t="s">
        <v>633</v>
      </c>
      <c r="Q68" s="3512" t="s">
        <v>633</v>
      </c>
      <c r="R68" s="3512">
        <v>44106</v>
      </c>
      <c r="S68" s="3512">
        <v>44082</v>
      </c>
      <c r="T68" s="3512">
        <v>3448094</v>
      </c>
      <c r="U68" s="3513">
        <v>43572</v>
      </c>
    </row>
    <row r="69" spans="1:21" s="3518" customFormat="1" ht="27" customHeight="1" thickBot="1">
      <c r="A69" s="3500">
        <v>68</v>
      </c>
      <c r="B69" s="3506" t="s">
        <v>3887</v>
      </c>
      <c r="C69" s="3505" t="s">
        <v>4104</v>
      </c>
      <c r="D69" s="3505" t="s">
        <v>4105</v>
      </c>
      <c r="E69" s="3500" t="s">
        <v>3890</v>
      </c>
      <c r="F69" s="3500" t="s">
        <v>4106</v>
      </c>
      <c r="G69" s="3500" t="s">
        <v>3494</v>
      </c>
      <c r="H69" s="3505" t="s">
        <v>3867</v>
      </c>
      <c r="I69" s="3500" t="s">
        <v>3498</v>
      </c>
      <c r="J69" s="3500">
        <v>83.43</v>
      </c>
      <c r="K69" s="3500" t="s">
        <v>3386</v>
      </c>
      <c r="L69" s="3500" t="s">
        <v>3499</v>
      </c>
      <c r="M69" s="3500">
        <v>20</v>
      </c>
      <c r="N69" s="3500">
        <v>2005</v>
      </c>
      <c r="O69" s="3500" t="s">
        <v>633</v>
      </c>
      <c r="P69" s="3505" t="s">
        <v>633</v>
      </c>
      <c r="Q69" s="3505" t="s">
        <v>633</v>
      </c>
      <c r="R69" s="3500">
        <v>56095</v>
      </c>
      <c r="S69" s="3500">
        <v>50726</v>
      </c>
      <c r="T69" s="3500">
        <v>4232070</v>
      </c>
      <c r="U69" s="3502">
        <v>43559</v>
      </c>
    </row>
    <row r="70" spans="1:21" s="3518" customFormat="1" ht="27" customHeight="1" thickBot="1">
      <c r="A70" s="3500">
        <v>69</v>
      </c>
      <c r="B70" s="3506" t="s">
        <v>3887</v>
      </c>
      <c r="C70" s="3505" t="s">
        <v>4107</v>
      </c>
      <c r="D70" s="3505" t="s">
        <v>4108</v>
      </c>
      <c r="E70" s="3500" t="s">
        <v>3890</v>
      </c>
      <c r="F70" s="3500" t="s">
        <v>4109</v>
      </c>
      <c r="G70" s="3500" t="s">
        <v>3494</v>
      </c>
      <c r="H70" s="3505" t="s">
        <v>3867</v>
      </c>
      <c r="I70" s="3500" t="s">
        <v>3498</v>
      </c>
      <c r="J70" s="3500">
        <v>89.5</v>
      </c>
      <c r="K70" s="3500" t="s">
        <v>3386</v>
      </c>
      <c r="L70" s="3500" t="s">
        <v>3499</v>
      </c>
      <c r="M70" s="3500">
        <v>6</v>
      </c>
      <c r="N70" s="3500">
        <v>2005</v>
      </c>
      <c r="O70" s="3500" t="s">
        <v>633</v>
      </c>
      <c r="P70" s="3505" t="s">
        <v>633</v>
      </c>
      <c r="Q70" s="3505" t="s">
        <v>633</v>
      </c>
      <c r="R70" s="3500">
        <v>53520</v>
      </c>
      <c r="S70" s="3500">
        <v>48237</v>
      </c>
      <c r="T70" s="3500">
        <v>4317212</v>
      </c>
      <c r="U70" s="3502">
        <v>43558</v>
      </c>
    </row>
    <row r="71" spans="1:21" ht="27" hidden="1" customHeight="1" thickBot="1">
      <c r="A71" s="3505">
        <v>70</v>
      </c>
      <c r="B71" s="3506" t="s">
        <v>3887</v>
      </c>
      <c r="C71" s="3505" t="s">
        <v>4110</v>
      </c>
      <c r="D71" s="3505" t="s">
        <v>4111</v>
      </c>
      <c r="E71" s="3505" t="s">
        <v>3890</v>
      </c>
      <c r="F71" s="3505" t="s">
        <v>4112</v>
      </c>
      <c r="G71" s="3505" t="s">
        <v>3493</v>
      </c>
      <c r="H71" s="3505" t="s">
        <v>3867</v>
      </c>
      <c r="I71" s="3505" t="s">
        <v>3490</v>
      </c>
      <c r="J71" s="3505">
        <v>82.96</v>
      </c>
      <c r="K71" s="3505" t="s">
        <v>3386</v>
      </c>
      <c r="L71" s="3505" t="s">
        <v>4035</v>
      </c>
      <c r="M71" s="3505">
        <v>2</v>
      </c>
      <c r="N71" s="3505">
        <v>1998</v>
      </c>
      <c r="O71" s="3505" t="s">
        <v>633</v>
      </c>
      <c r="P71" s="3505" t="s">
        <v>633</v>
      </c>
      <c r="Q71" s="3505" t="s">
        <v>633</v>
      </c>
      <c r="R71" s="3505">
        <v>57257</v>
      </c>
      <c r="S71" s="3505">
        <v>52531</v>
      </c>
      <c r="T71" s="3505">
        <v>4357972</v>
      </c>
      <c r="U71" s="3507">
        <v>43553</v>
      </c>
    </row>
    <row r="72" spans="1:21" ht="27" hidden="1" customHeight="1" thickBot="1">
      <c r="A72" s="3505">
        <v>71</v>
      </c>
      <c r="B72" s="3506" t="s">
        <v>3887</v>
      </c>
      <c r="C72" s="3505" t="s">
        <v>4113</v>
      </c>
      <c r="D72" s="3505" t="s">
        <v>4114</v>
      </c>
      <c r="E72" s="3505" t="s">
        <v>3890</v>
      </c>
      <c r="F72" s="3505" t="s">
        <v>4115</v>
      </c>
      <c r="G72" s="3505" t="s">
        <v>3493</v>
      </c>
      <c r="H72" s="3505" t="s">
        <v>3867</v>
      </c>
      <c r="I72" s="3505" t="s">
        <v>3490</v>
      </c>
      <c r="J72" s="3505">
        <v>75.260000000000005</v>
      </c>
      <c r="K72" s="3505" t="s">
        <v>3386</v>
      </c>
      <c r="L72" s="3505">
        <v>6</v>
      </c>
      <c r="M72" s="3505">
        <v>5</v>
      </c>
      <c r="N72" s="3505" t="s">
        <v>633</v>
      </c>
      <c r="O72" s="3505">
        <v>1996</v>
      </c>
      <c r="P72" s="3505" t="s">
        <v>633</v>
      </c>
      <c r="Q72" s="3505" t="s">
        <v>633</v>
      </c>
      <c r="R72" s="3505">
        <v>57135</v>
      </c>
      <c r="S72" s="3505">
        <v>52496</v>
      </c>
      <c r="T72" s="3505">
        <v>3950849</v>
      </c>
      <c r="U72" s="3507">
        <v>43536</v>
      </c>
    </row>
    <row r="73" spans="1:21" ht="27" hidden="1" customHeight="1" thickBot="1">
      <c r="A73" s="3505">
        <v>72</v>
      </c>
      <c r="B73" s="3506" t="s">
        <v>3887</v>
      </c>
      <c r="C73" s="3505" t="s">
        <v>4116</v>
      </c>
      <c r="D73" s="3505" t="s">
        <v>4117</v>
      </c>
      <c r="E73" s="3505" t="s">
        <v>3890</v>
      </c>
      <c r="F73" s="3505" t="s">
        <v>4118</v>
      </c>
      <c r="G73" s="3505" t="s">
        <v>3493</v>
      </c>
      <c r="H73" s="3505" t="s">
        <v>3867</v>
      </c>
      <c r="I73" s="3505" t="s">
        <v>3490</v>
      </c>
      <c r="J73" s="3505">
        <v>115.81</v>
      </c>
      <c r="K73" s="3505" t="s">
        <v>3386</v>
      </c>
      <c r="L73" s="3505">
        <v>7</v>
      </c>
      <c r="M73" s="3508">
        <v>45450</v>
      </c>
      <c r="N73" s="3505">
        <v>1999</v>
      </c>
      <c r="O73" s="3505" t="s">
        <v>633</v>
      </c>
      <c r="P73" s="3505" t="s">
        <v>633</v>
      </c>
      <c r="Q73" s="3505" t="s">
        <v>633</v>
      </c>
      <c r="R73" s="3505">
        <v>45592</v>
      </c>
      <c r="S73" s="3505">
        <v>50898</v>
      </c>
      <c r="T73" s="3505">
        <v>5894497</v>
      </c>
      <c r="U73" s="3507">
        <v>43516</v>
      </c>
    </row>
    <row r="74" spans="1:21" ht="27" hidden="1" customHeight="1" thickBot="1">
      <c r="A74" s="3505">
        <v>73</v>
      </c>
      <c r="B74" s="3506" t="s">
        <v>3887</v>
      </c>
      <c r="C74" s="3505" t="s">
        <v>4119</v>
      </c>
      <c r="D74" s="3505" t="s">
        <v>4120</v>
      </c>
      <c r="E74" s="3505" t="s">
        <v>3890</v>
      </c>
      <c r="F74" s="3505" t="s">
        <v>4121</v>
      </c>
      <c r="G74" s="3505" t="s">
        <v>3493</v>
      </c>
      <c r="H74" s="3505" t="s">
        <v>3867</v>
      </c>
      <c r="I74" s="3505" t="s">
        <v>3498</v>
      </c>
      <c r="J74" s="3505">
        <v>45.66</v>
      </c>
      <c r="K74" s="3505" t="s">
        <v>3386</v>
      </c>
      <c r="L74" s="3505">
        <v>6</v>
      </c>
      <c r="M74" s="3505">
        <v>5</v>
      </c>
      <c r="N74" s="3505" t="s">
        <v>633</v>
      </c>
      <c r="O74" s="3505">
        <v>1996</v>
      </c>
      <c r="P74" s="3505" t="s">
        <v>633</v>
      </c>
      <c r="Q74" s="3505" t="s">
        <v>633</v>
      </c>
      <c r="R74" s="3505">
        <v>57381</v>
      </c>
      <c r="S74" s="3505">
        <v>54291</v>
      </c>
      <c r="T74" s="3505">
        <v>2478927</v>
      </c>
      <c r="U74" s="3507">
        <v>43445</v>
      </c>
    </row>
    <row r="75" spans="1:21" ht="27" hidden="1" customHeight="1" thickBot="1">
      <c r="A75" s="3505">
        <v>74</v>
      </c>
      <c r="B75" s="3506" t="s">
        <v>3887</v>
      </c>
      <c r="C75" s="3505" t="s">
        <v>4122</v>
      </c>
      <c r="D75" s="3505" t="s">
        <v>4123</v>
      </c>
      <c r="E75" s="3505" t="s">
        <v>3890</v>
      </c>
      <c r="F75" s="3505" t="s">
        <v>4124</v>
      </c>
      <c r="G75" s="3505" t="s">
        <v>3493</v>
      </c>
      <c r="H75" s="3505" t="s">
        <v>3867</v>
      </c>
      <c r="I75" s="3505" t="s">
        <v>3498</v>
      </c>
      <c r="J75" s="3505">
        <v>72.59</v>
      </c>
      <c r="K75" s="3505" t="s">
        <v>3386</v>
      </c>
      <c r="L75" s="3505">
        <v>7</v>
      </c>
      <c r="M75" s="3505">
        <v>5</v>
      </c>
      <c r="N75" s="3505">
        <v>1999</v>
      </c>
      <c r="O75" s="3505" t="s">
        <v>633</v>
      </c>
      <c r="P75" s="3505" t="s">
        <v>633</v>
      </c>
      <c r="Q75" s="3505" t="s">
        <v>633</v>
      </c>
      <c r="R75" s="3505">
        <v>0</v>
      </c>
      <c r="S75" s="3505">
        <v>53046</v>
      </c>
      <c r="T75" s="3505">
        <v>3850609</v>
      </c>
      <c r="U75" s="3507">
        <v>43442</v>
      </c>
    </row>
    <row r="76" spans="1:21" ht="27" hidden="1" customHeight="1" thickBot="1">
      <c r="A76" s="3505">
        <v>75</v>
      </c>
      <c r="B76" s="3506" t="s">
        <v>3887</v>
      </c>
      <c r="C76" s="3505" t="s">
        <v>4125</v>
      </c>
      <c r="D76" s="3505" t="s">
        <v>4126</v>
      </c>
      <c r="E76" s="3505" t="s">
        <v>3890</v>
      </c>
      <c r="F76" s="3505" t="s">
        <v>4127</v>
      </c>
      <c r="G76" s="3505" t="s">
        <v>3502</v>
      </c>
      <c r="H76" s="3505" t="s">
        <v>3867</v>
      </c>
      <c r="I76" s="3505" t="s">
        <v>3498</v>
      </c>
      <c r="J76" s="3505">
        <v>71.06</v>
      </c>
      <c r="K76" s="3505" t="s">
        <v>3386</v>
      </c>
      <c r="L76" s="3505" t="s">
        <v>3503</v>
      </c>
      <c r="M76" s="3505">
        <v>14</v>
      </c>
      <c r="N76" s="3505" t="s">
        <v>633</v>
      </c>
      <c r="O76" s="3505">
        <v>2011</v>
      </c>
      <c r="P76" s="3505" t="s">
        <v>633</v>
      </c>
      <c r="Q76" s="3505" t="s">
        <v>633</v>
      </c>
      <c r="R76" s="3505">
        <v>61920</v>
      </c>
      <c r="S76" s="3505">
        <v>55919</v>
      </c>
      <c r="T76" s="3505">
        <v>3973604</v>
      </c>
      <c r="U76" s="3507">
        <v>43404</v>
      </c>
    </row>
    <row r="77" spans="1:21" ht="27" hidden="1" customHeight="1" thickBot="1">
      <c r="A77" s="3509">
        <v>76</v>
      </c>
      <c r="B77" s="3510" t="s">
        <v>3887</v>
      </c>
      <c r="C77" s="3509" t="s">
        <v>4128</v>
      </c>
      <c r="D77" s="3509" t="s">
        <v>4129</v>
      </c>
      <c r="E77" s="3509" t="s">
        <v>3890</v>
      </c>
      <c r="F77" s="3509" t="s">
        <v>4130</v>
      </c>
      <c r="G77" s="3509" t="s">
        <v>3502</v>
      </c>
      <c r="H77" s="3509" t="s">
        <v>3867</v>
      </c>
      <c r="I77" s="3509" t="s">
        <v>3498</v>
      </c>
      <c r="J77" s="3509">
        <v>76.67</v>
      </c>
      <c r="K77" s="3509" t="s">
        <v>3386</v>
      </c>
      <c r="L77" s="3509" t="s">
        <v>3503</v>
      </c>
      <c r="M77" s="3509">
        <v>21</v>
      </c>
      <c r="N77" s="3509" t="s">
        <v>633</v>
      </c>
      <c r="O77" s="3509">
        <v>2011</v>
      </c>
      <c r="P77" s="3509" t="s">
        <v>633</v>
      </c>
      <c r="Q77" s="3509" t="s">
        <v>633</v>
      </c>
      <c r="R77" s="3509">
        <v>60258</v>
      </c>
      <c r="S77" s="3509">
        <v>56720</v>
      </c>
      <c r="T77" s="3509">
        <v>4348722</v>
      </c>
      <c r="U77" s="3511">
        <v>43361</v>
      </c>
    </row>
    <row r="78" spans="1:21" ht="27" hidden="1" customHeight="1" thickBot="1">
      <c r="A78" s="3505">
        <v>77</v>
      </c>
      <c r="B78" s="3506" t="s">
        <v>3887</v>
      </c>
      <c r="C78" s="3505" t="s">
        <v>4131</v>
      </c>
      <c r="D78" s="3505" t="s">
        <v>4132</v>
      </c>
      <c r="E78" s="3505" t="s">
        <v>3890</v>
      </c>
      <c r="F78" s="3505" t="s">
        <v>4133</v>
      </c>
      <c r="G78" s="3505" t="s">
        <v>3502</v>
      </c>
      <c r="H78" s="3505" t="s">
        <v>3867</v>
      </c>
      <c r="I78" s="3505" t="s">
        <v>3498</v>
      </c>
      <c r="J78" s="3505">
        <v>95.41</v>
      </c>
      <c r="K78" s="3505" t="s">
        <v>3386</v>
      </c>
      <c r="L78" s="3505" t="s">
        <v>3503</v>
      </c>
      <c r="M78" s="3505">
        <v>20</v>
      </c>
      <c r="N78" s="3505" t="s">
        <v>633</v>
      </c>
      <c r="O78" s="3505">
        <v>2011</v>
      </c>
      <c r="P78" s="3505" t="s">
        <v>633</v>
      </c>
      <c r="Q78" s="3505" t="s">
        <v>633</v>
      </c>
      <c r="R78" s="3505">
        <v>69699</v>
      </c>
      <c r="S78" s="3505">
        <v>61863</v>
      </c>
      <c r="T78" s="3505">
        <v>5902349</v>
      </c>
      <c r="U78" s="3507">
        <v>43287</v>
      </c>
    </row>
    <row r="79" spans="1:21" ht="27" hidden="1" customHeight="1" thickBot="1">
      <c r="A79" s="3505">
        <v>78</v>
      </c>
      <c r="B79" s="3506" t="s">
        <v>3887</v>
      </c>
      <c r="C79" s="3505" t="s">
        <v>4134</v>
      </c>
      <c r="D79" s="3505" t="s">
        <v>4135</v>
      </c>
      <c r="E79" s="3505" t="s">
        <v>3890</v>
      </c>
      <c r="F79" s="3505" t="s">
        <v>4136</v>
      </c>
      <c r="G79" s="3505" t="s">
        <v>3493</v>
      </c>
      <c r="H79" s="3505" t="s">
        <v>3867</v>
      </c>
      <c r="I79" s="3505" t="s">
        <v>3490</v>
      </c>
      <c r="J79" s="3505">
        <v>72.59</v>
      </c>
      <c r="K79" s="3505" t="s">
        <v>3386</v>
      </c>
      <c r="L79" s="3505">
        <v>7</v>
      </c>
      <c r="M79" s="3505">
        <v>2</v>
      </c>
      <c r="N79" s="3505">
        <v>1999</v>
      </c>
      <c r="O79" s="3505" t="s">
        <v>633</v>
      </c>
      <c r="P79" s="3505" t="s">
        <v>633</v>
      </c>
      <c r="Q79" s="3505" t="s">
        <v>633</v>
      </c>
      <c r="R79" s="3505">
        <v>57721</v>
      </c>
      <c r="S79" s="3505">
        <v>52940</v>
      </c>
      <c r="T79" s="3505">
        <v>3842915</v>
      </c>
      <c r="U79" s="3507">
        <v>43287</v>
      </c>
    </row>
    <row r="80" spans="1:21" s="3518" customFormat="1" ht="27" customHeight="1" thickBot="1">
      <c r="A80" s="3500">
        <v>79</v>
      </c>
      <c r="B80" s="3506" t="s">
        <v>3887</v>
      </c>
      <c r="C80" s="3505" t="s">
        <v>4137</v>
      </c>
      <c r="D80" s="3505" t="s">
        <v>4138</v>
      </c>
      <c r="E80" s="3500" t="s">
        <v>3890</v>
      </c>
      <c r="F80" s="3500" t="s">
        <v>4139</v>
      </c>
      <c r="G80" s="3500" t="s">
        <v>3494</v>
      </c>
      <c r="H80" s="3505" t="s">
        <v>3489</v>
      </c>
      <c r="I80" s="3500" t="s">
        <v>3495</v>
      </c>
      <c r="J80" s="3500">
        <v>96.85</v>
      </c>
      <c r="K80" s="3500" t="s">
        <v>3386</v>
      </c>
      <c r="L80" s="3500" t="s">
        <v>4052</v>
      </c>
      <c r="M80" s="3500">
        <v>11</v>
      </c>
      <c r="N80" s="3500" t="s">
        <v>633</v>
      </c>
      <c r="O80" s="3500">
        <v>2006</v>
      </c>
      <c r="P80" s="3505" t="s">
        <v>633</v>
      </c>
      <c r="Q80" s="3505" t="s">
        <v>633</v>
      </c>
      <c r="R80" s="3500">
        <v>0</v>
      </c>
      <c r="S80" s="3500">
        <v>47620</v>
      </c>
      <c r="T80" s="3500">
        <v>4611997</v>
      </c>
      <c r="U80" s="3502">
        <v>43161</v>
      </c>
    </row>
    <row r="81" spans="1:23" s="3518" customFormat="1" ht="27" customHeight="1" thickBot="1">
      <c r="A81" s="3537">
        <v>80</v>
      </c>
      <c r="B81" s="3597" t="s">
        <v>3887</v>
      </c>
      <c r="C81" s="3537" t="s">
        <v>4140</v>
      </c>
      <c r="D81" s="3537" t="s">
        <v>4141</v>
      </c>
      <c r="E81" s="3537" t="s">
        <v>4142</v>
      </c>
      <c r="F81" s="3537" t="s">
        <v>4143</v>
      </c>
      <c r="G81" s="3537" t="s">
        <v>3494</v>
      </c>
      <c r="H81" s="3537" t="s">
        <v>3489</v>
      </c>
      <c r="I81" s="3537" t="s">
        <v>3498</v>
      </c>
      <c r="J81" s="3537">
        <v>90.5</v>
      </c>
      <c r="K81" s="3537" t="s">
        <v>3386</v>
      </c>
      <c r="L81" s="3537" t="s">
        <v>3496</v>
      </c>
      <c r="M81" s="3537">
        <v>14</v>
      </c>
      <c r="N81" s="3537" t="s">
        <v>633</v>
      </c>
      <c r="O81" s="3537">
        <v>2005</v>
      </c>
      <c r="P81" s="3537" t="s">
        <v>633</v>
      </c>
      <c r="Q81" s="3537" t="s">
        <v>633</v>
      </c>
      <c r="R81" s="3537">
        <v>60663</v>
      </c>
      <c r="S81" s="3537">
        <v>53319</v>
      </c>
      <c r="T81" s="3537">
        <v>4825370</v>
      </c>
      <c r="U81" s="3538">
        <v>43003</v>
      </c>
    </row>
    <row r="82" spans="1:23" ht="27" hidden="1" customHeight="1" thickBot="1">
      <c r="A82" s="3537">
        <v>81</v>
      </c>
      <c r="B82" s="3597" t="s">
        <v>3887</v>
      </c>
      <c r="C82" s="3537" t="s">
        <v>4144</v>
      </c>
      <c r="D82" s="3537" t="s">
        <v>4145</v>
      </c>
      <c r="E82" s="3537" t="s">
        <v>3890</v>
      </c>
      <c r="F82" s="3537" t="s">
        <v>4146</v>
      </c>
      <c r="G82" s="3537" t="s">
        <v>3493</v>
      </c>
      <c r="H82" s="3537" t="s">
        <v>3489</v>
      </c>
      <c r="I82" s="3537" t="s">
        <v>3490</v>
      </c>
      <c r="J82" s="3537">
        <v>41.86</v>
      </c>
      <c r="K82" s="3537" t="s">
        <v>3386</v>
      </c>
      <c r="L82" s="3537">
        <v>6</v>
      </c>
      <c r="M82" s="3537">
        <v>1</v>
      </c>
      <c r="N82" s="3537" t="s">
        <v>633</v>
      </c>
      <c r="O82" s="3537">
        <v>1996</v>
      </c>
      <c r="P82" s="3537" t="s">
        <v>633</v>
      </c>
      <c r="Q82" s="3537" t="s">
        <v>633</v>
      </c>
      <c r="R82" s="3537">
        <v>84329</v>
      </c>
      <c r="S82" s="3537">
        <v>64261</v>
      </c>
      <c r="T82" s="3537">
        <v>2689965</v>
      </c>
      <c r="U82" s="3538">
        <v>42846</v>
      </c>
    </row>
    <row r="83" spans="1:23" s="3518" customFormat="1" ht="27" customHeight="1" thickBot="1">
      <c r="A83" s="3537">
        <v>82</v>
      </c>
      <c r="B83" s="3597" t="s">
        <v>3887</v>
      </c>
      <c r="C83" s="3537" t="s">
        <v>4147</v>
      </c>
      <c r="D83" s="3537" t="s">
        <v>4148</v>
      </c>
      <c r="E83" s="3537" t="s">
        <v>3890</v>
      </c>
      <c r="F83" s="3537" t="s">
        <v>4149</v>
      </c>
      <c r="G83" s="3537" t="s">
        <v>3494</v>
      </c>
      <c r="H83" s="3537" t="s">
        <v>3489</v>
      </c>
      <c r="I83" s="3537" t="s">
        <v>3495</v>
      </c>
      <c r="J83" s="3537">
        <v>90.99</v>
      </c>
      <c r="K83" s="3537" t="s">
        <v>3386</v>
      </c>
      <c r="L83" s="3537" t="s">
        <v>3496</v>
      </c>
      <c r="M83" s="3537">
        <v>16</v>
      </c>
      <c r="N83" s="3537">
        <v>2005</v>
      </c>
      <c r="O83" s="3537" t="s">
        <v>633</v>
      </c>
      <c r="P83" s="3537" t="s">
        <v>633</v>
      </c>
      <c r="Q83" s="3537" t="s">
        <v>633</v>
      </c>
      <c r="R83" s="3537">
        <v>65941</v>
      </c>
      <c r="S83" s="3537">
        <v>59463</v>
      </c>
      <c r="T83" s="3537">
        <v>5410538</v>
      </c>
      <c r="U83" s="3538">
        <v>42840</v>
      </c>
    </row>
    <row r="84" spans="1:23" ht="27" customHeight="1" thickBot="1">
      <c r="A84" s="3575">
        <v>83</v>
      </c>
      <c r="B84" s="3598" t="s">
        <v>3887</v>
      </c>
      <c r="C84" s="3575" t="s">
        <v>4150</v>
      </c>
      <c r="D84" s="3575" t="s">
        <v>4151</v>
      </c>
      <c r="E84" s="3575" t="s">
        <v>3890</v>
      </c>
      <c r="F84" s="3575" t="s">
        <v>3487</v>
      </c>
      <c r="G84" s="3575" t="s">
        <v>3488</v>
      </c>
      <c r="H84" s="3575" t="s">
        <v>3489</v>
      </c>
      <c r="I84" s="3575" t="s">
        <v>3490</v>
      </c>
      <c r="J84" s="3575">
        <v>48.95</v>
      </c>
      <c r="K84" s="3575" t="s">
        <v>3386</v>
      </c>
      <c r="L84" s="3575" t="s">
        <v>3491</v>
      </c>
      <c r="M84" s="3575">
        <v>15</v>
      </c>
      <c r="N84" s="3575" t="s">
        <v>633</v>
      </c>
      <c r="O84" s="3575">
        <v>1998</v>
      </c>
      <c r="P84" s="3575" t="s">
        <v>633</v>
      </c>
      <c r="Q84" s="3575" t="s">
        <v>633</v>
      </c>
      <c r="R84" s="3575">
        <v>70480</v>
      </c>
      <c r="S84" s="3575">
        <v>63450</v>
      </c>
      <c r="T84" s="3575">
        <v>3105878</v>
      </c>
      <c r="U84" s="3576">
        <v>42825</v>
      </c>
    </row>
    <row r="85" spans="1:23" ht="27" hidden="1" customHeight="1" thickBot="1">
      <c r="A85" s="3512">
        <v>84</v>
      </c>
      <c r="B85" s="3599" t="s">
        <v>3887</v>
      </c>
      <c r="C85" s="3512" t="s">
        <v>4152</v>
      </c>
      <c r="D85" s="3512" t="s">
        <v>4153</v>
      </c>
      <c r="E85" s="3512" t="s">
        <v>3890</v>
      </c>
      <c r="F85" s="3512" t="s">
        <v>3501</v>
      </c>
      <c r="G85" s="3512" t="s">
        <v>3502</v>
      </c>
      <c r="H85" s="3512" t="s">
        <v>3489</v>
      </c>
      <c r="I85" s="3512" t="s">
        <v>3498</v>
      </c>
      <c r="J85" s="3512">
        <v>71.06</v>
      </c>
      <c r="K85" s="3512" t="s">
        <v>3386</v>
      </c>
      <c r="L85" s="3512" t="s">
        <v>3503</v>
      </c>
      <c r="M85" s="3512">
        <v>16</v>
      </c>
      <c r="N85" s="3512" t="s">
        <v>633</v>
      </c>
      <c r="O85" s="3512">
        <v>2011</v>
      </c>
      <c r="P85" s="3512" t="s">
        <v>633</v>
      </c>
      <c r="Q85" s="3512" t="s">
        <v>633</v>
      </c>
      <c r="R85" s="3512">
        <v>61216</v>
      </c>
      <c r="S85" s="3512">
        <v>50338</v>
      </c>
      <c r="T85" s="3512">
        <v>3577018</v>
      </c>
      <c r="U85" s="3513">
        <v>42754</v>
      </c>
    </row>
    <row r="86" spans="1:23" ht="27" customHeight="1" thickBot="1">
      <c r="A86" s="3600">
        <v>85</v>
      </c>
      <c r="B86" s="3601" t="s">
        <v>3887</v>
      </c>
      <c r="C86" s="3600" t="s">
        <v>4154</v>
      </c>
      <c r="D86" s="3600" t="s">
        <v>4155</v>
      </c>
      <c r="E86" s="3600" t="s">
        <v>3890</v>
      </c>
      <c r="F86" s="3600" t="s">
        <v>4311</v>
      </c>
      <c r="G86" s="3600" t="s">
        <v>3488</v>
      </c>
      <c r="H86" s="3600" t="s">
        <v>3489</v>
      </c>
      <c r="I86" s="3600" t="s">
        <v>3490</v>
      </c>
      <c r="J86" s="3600">
        <v>70.709999999999994</v>
      </c>
      <c r="K86" s="3600" t="s">
        <v>3386</v>
      </c>
      <c r="L86" s="3600" t="s">
        <v>3491</v>
      </c>
      <c r="M86" s="3600">
        <v>13</v>
      </c>
      <c r="N86" s="3600" t="s">
        <v>633</v>
      </c>
      <c r="O86" s="3600">
        <v>1998</v>
      </c>
      <c r="P86" s="3600" t="s">
        <v>633</v>
      </c>
      <c r="Q86" s="3600" t="s">
        <v>633</v>
      </c>
      <c r="R86" s="3600">
        <v>49498</v>
      </c>
      <c r="S86" s="3600">
        <v>45429</v>
      </c>
      <c r="T86" s="3600">
        <v>3212285</v>
      </c>
      <c r="U86" s="3602">
        <v>42726</v>
      </c>
      <c r="V86" s="3563" t="s">
        <v>4275</v>
      </c>
      <c r="W86" s="3504">
        <f>R86-15.6</f>
        <v>49482.400000000001</v>
      </c>
    </row>
    <row r="87" spans="1:23" s="3518" customFormat="1" ht="27" customHeight="1" thickBot="1">
      <c r="A87" s="3600">
        <v>86</v>
      </c>
      <c r="B87" s="3601" t="s">
        <v>3887</v>
      </c>
      <c r="C87" s="3600" t="s">
        <v>4156</v>
      </c>
      <c r="D87" s="3600" t="s">
        <v>4157</v>
      </c>
      <c r="E87" s="3600" t="s">
        <v>3890</v>
      </c>
      <c r="F87" s="3600" t="s">
        <v>4305</v>
      </c>
      <c r="G87" s="3600" t="s">
        <v>3488</v>
      </c>
      <c r="H87" s="3600" t="s">
        <v>3492</v>
      </c>
      <c r="I87" s="3600" t="s">
        <v>3490</v>
      </c>
      <c r="J87" s="3600">
        <v>118.96</v>
      </c>
      <c r="K87" s="3600" t="s">
        <v>3386</v>
      </c>
      <c r="L87" s="3600" t="s">
        <v>3491</v>
      </c>
      <c r="M87" s="3600">
        <v>11</v>
      </c>
      <c r="N87" s="3600" t="s">
        <v>633</v>
      </c>
      <c r="O87" s="3600">
        <v>1998</v>
      </c>
      <c r="P87" s="3600" t="s">
        <v>633</v>
      </c>
      <c r="Q87" s="3600" t="s">
        <v>633</v>
      </c>
      <c r="R87" s="3600">
        <v>50437</v>
      </c>
      <c r="S87" s="3600">
        <v>40808</v>
      </c>
      <c r="T87" s="3600">
        <v>4854520</v>
      </c>
      <c r="U87" s="3602">
        <v>42669</v>
      </c>
    </row>
    <row r="88" spans="1:23" s="3518" customFormat="1" ht="27" customHeight="1" thickBot="1">
      <c r="A88" s="3537">
        <v>87</v>
      </c>
      <c r="B88" s="3597" t="s">
        <v>3887</v>
      </c>
      <c r="C88" s="3537" t="s">
        <v>4158</v>
      </c>
      <c r="D88" s="3537" t="s">
        <v>4159</v>
      </c>
      <c r="E88" s="3537" t="s">
        <v>3890</v>
      </c>
      <c r="F88" s="3537" t="s">
        <v>3497</v>
      </c>
      <c r="G88" s="3537" t="s">
        <v>3494</v>
      </c>
      <c r="H88" s="3537" t="s">
        <v>3489</v>
      </c>
      <c r="I88" s="3537" t="s">
        <v>3498</v>
      </c>
      <c r="J88" s="3537">
        <v>83.43</v>
      </c>
      <c r="K88" s="3537" t="s">
        <v>3386</v>
      </c>
      <c r="L88" s="3537" t="s">
        <v>3499</v>
      </c>
      <c r="M88" s="3537">
        <v>7</v>
      </c>
      <c r="N88" s="3537">
        <v>2005</v>
      </c>
      <c r="O88" s="3537" t="s">
        <v>633</v>
      </c>
      <c r="P88" s="3537" t="s">
        <v>633</v>
      </c>
      <c r="Q88" s="3537" t="s">
        <v>633</v>
      </c>
      <c r="R88" s="3537">
        <v>41712</v>
      </c>
      <c r="S88" s="3537">
        <v>37029</v>
      </c>
      <c r="T88" s="3537">
        <v>3089329</v>
      </c>
      <c r="U88" s="3538">
        <v>42703</v>
      </c>
    </row>
    <row r="89" spans="1:23" ht="27" hidden="1" customHeight="1" thickBot="1">
      <c r="A89" s="3537">
        <v>88</v>
      </c>
      <c r="B89" s="3597" t="s">
        <v>3887</v>
      </c>
      <c r="C89" s="3537" t="s">
        <v>4160</v>
      </c>
      <c r="D89" s="3537" t="s">
        <v>4161</v>
      </c>
      <c r="E89" s="3537" t="s">
        <v>3890</v>
      </c>
      <c r="F89" s="3537" t="s">
        <v>3500</v>
      </c>
      <c r="G89" s="3537" t="s">
        <v>3493</v>
      </c>
      <c r="H89" s="3537" t="s">
        <v>3489</v>
      </c>
      <c r="I89" s="3537" t="s">
        <v>3498</v>
      </c>
      <c r="J89" s="3537">
        <v>79.260000000000005</v>
      </c>
      <c r="K89" s="3537" t="s">
        <v>3386</v>
      </c>
      <c r="L89" s="3537">
        <v>6</v>
      </c>
      <c r="M89" s="3537">
        <v>4</v>
      </c>
      <c r="N89" s="3537" t="s">
        <v>633</v>
      </c>
      <c r="O89" s="3537">
        <v>1996</v>
      </c>
      <c r="P89" s="3537" t="s">
        <v>633</v>
      </c>
      <c r="Q89" s="3537" t="s">
        <v>633</v>
      </c>
      <c r="R89" s="3537">
        <v>42897</v>
      </c>
      <c r="S89" s="3537">
        <v>35906</v>
      </c>
      <c r="T89" s="3537">
        <v>2845910</v>
      </c>
      <c r="U89" s="3538">
        <v>42551</v>
      </c>
    </row>
    <row r="90" spans="1:23" s="3518" customFormat="1" ht="27" customHeight="1" thickBot="1">
      <c r="A90" s="3537">
        <v>89</v>
      </c>
      <c r="B90" s="3597" t="s">
        <v>3887</v>
      </c>
      <c r="C90" s="3537" t="s">
        <v>4162</v>
      </c>
      <c r="D90" s="3537" t="s">
        <v>4163</v>
      </c>
      <c r="E90" s="3537" t="s">
        <v>3890</v>
      </c>
      <c r="F90" s="3537" t="s">
        <v>4164</v>
      </c>
      <c r="G90" s="3537" t="s">
        <v>3494</v>
      </c>
      <c r="H90" s="3537" t="s">
        <v>3489</v>
      </c>
      <c r="I90" s="3537" t="s">
        <v>3495</v>
      </c>
      <c r="J90" s="3537">
        <v>83.43</v>
      </c>
      <c r="K90" s="3537" t="s">
        <v>3386</v>
      </c>
      <c r="L90" s="3537" t="s">
        <v>3496</v>
      </c>
      <c r="M90" s="3537">
        <v>6</v>
      </c>
      <c r="N90" s="3537">
        <v>2005</v>
      </c>
      <c r="O90" s="3537" t="s">
        <v>633</v>
      </c>
      <c r="P90" s="3537" t="s">
        <v>633</v>
      </c>
      <c r="Q90" s="3537" t="s">
        <v>633</v>
      </c>
      <c r="R90" s="3537">
        <v>35719</v>
      </c>
      <c r="S90" s="3537">
        <v>30903</v>
      </c>
      <c r="T90" s="3537">
        <v>2578237</v>
      </c>
      <c r="U90" s="3538">
        <v>42510</v>
      </c>
    </row>
    <row r="91" spans="1:23" s="3518" customFormat="1" ht="27" customHeight="1" thickBot="1">
      <c r="A91" s="3537">
        <v>90</v>
      </c>
      <c r="B91" s="3597" t="s">
        <v>3887</v>
      </c>
      <c r="C91" s="3537" t="s">
        <v>4165</v>
      </c>
      <c r="D91" s="3537" t="s">
        <v>4166</v>
      </c>
      <c r="E91" s="3537" t="s">
        <v>3890</v>
      </c>
      <c r="F91" s="3537" t="s">
        <v>4167</v>
      </c>
      <c r="G91" s="3537" t="s">
        <v>3494</v>
      </c>
      <c r="H91" s="3537" t="s">
        <v>3489</v>
      </c>
      <c r="I91" s="3537" t="s">
        <v>3495</v>
      </c>
      <c r="J91" s="3537">
        <v>101.83</v>
      </c>
      <c r="K91" s="3537" t="s">
        <v>3386</v>
      </c>
      <c r="L91" s="3537" t="s">
        <v>4052</v>
      </c>
      <c r="M91" s="3537">
        <v>9</v>
      </c>
      <c r="N91" s="3537">
        <v>2006</v>
      </c>
      <c r="O91" s="3537" t="s">
        <v>633</v>
      </c>
      <c r="P91" s="3537" t="s">
        <v>633</v>
      </c>
      <c r="Q91" s="3537" t="s">
        <v>633</v>
      </c>
      <c r="R91" s="3537">
        <v>35549</v>
      </c>
      <c r="S91" s="3537">
        <v>31148</v>
      </c>
      <c r="T91" s="3537">
        <v>3171801</v>
      </c>
      <c r="U91" s="3538">
        <v>42426</v>
      </c>
    </row>
    <row r="92" spans="1:23" ht="27" hidden="1" customHeight="1" thickBot="1">
      <c r="A92" s="3509">
        <v>91</v>
      </c>
      <c r="B92" s="3510" t="s">
        <v>3887</v>
      </c>
      <c r="C92" s="3509" t="s">
        <v>4168</v>
      </c>
      <c r="D92" s="3509" t="s">
        <v>4169</v>
      </c>
      <c r="E92" s="3509" t="s">
        <v>3890</v>
      </c>
      <c r="F92" s="3509" t="s">
        <v>4220</v>
      </c>
      <c r="G92" s="3509" t="s">
        <v>3502</v>
      </c>
      <c r="H92" s="3509" t="s">
        <v>3489</v>
      </c>
      <c r="I92" s="3509" t="s">
        <v>3498</v>
      </c>
      <c r="J92" s="3509">
        <v>76.67</v>
      </c>
      <c r="K92" s="3509" t="s">
        <v>3386</v>
      </c>
      <c r="L92" s="3509" t="s">
        <v>3503</v>
      </c>
      <c r="M92" s="3509">
        <v>19</v>
      </c>
      <c r="N92" s="3509" t="s">
        <v>633</v>
      </c>
      <c r="O92" s="3509">
        <v>2011</v>
      </c>
      <c r="P92" s="3509" t="s">
        <v>633</v>
      </c>
      <c r="Q92" s="3509" t="s">
        <v>633</v>
      </c>
      <c r="R92" s="3509">
        <v>38477</v>
      </c>
      <c r="S92" s="3509">
        <v>37727</v>
      </c>
      <c r="T92" s="3509">
        <v>2892529</v>
      </c>
      <c r="U92" s="3511">
        <v>42425</v>
      </c>
    </row>
    <row r="93" spans="1:23" ht="27" hidden="1" customHeight="1" thickBot="1">
      <c r="A93" s="3505">
        <v>92</v>
      </c>
      <c r="B93" s="3506" t="s">
        <v>3887</v>
      </c>
      <c r="C93" s="3505" t="s">
        <v>4170</v>
      </c>
      <c r="D93" s="3505" t="s">
        <v>4171</v>
      </c>
      <c r="E93" s="3505" t="s">
        <v>3890</v>
      </c>
      <c r="F93" s="3505" t="s">
        <v>4172</v>
      </c>
      <c r="G93" s="3505" t="s">
        <v>3502</v>
      </c>
      <c r="H93" s="3505" t="s">
        <v>4173</v>
      </c>
      <c r="I93" s="3505" t="s">
        <v>3498</v>
      </c>
      <c r="J93" s="3505">
        <v>98.01</v>
      </c>
      <c r="K93" s="3505" t="s">
        <v>3386</v>
      </c>
      <c r="L93" s="3505" t="s">
        <v>4174</v>
      </c>
      <c r="M93" s="3505">
        <v>13</v>
      </c>
      <c r="N93" s="3505" t="s">
        <v>633</v>
      </c>
      <c r="O93" s="3505">
        <v>2011</v>
      </c>
      <c r="P93" s="3505" t="s">
        <v>633</v>
      </c>
      <c r="Q93" s="3505" t="s">
        <v>633</v>
      </c>
      <c r="R93" s="3505">
        <v>44893</v>
      </c>
      <c r="S93" s="3505">
        <v>39399</v>
      </c>
      <c r="T93" s="3505">
        <v>3861496</v>
      </c>
      <c r="U93" s="3507">
        <v>42418</v>
      </c>
    </row>
    <row r="94" spans="1:23" ht="27" hidden="1" customHeight="1" thickBot="1">
      <c r="A94" s="3505">
        <v>93</v>
      </c>
      <c r="B94" s="3506" t="s">
        <v>3887</v>
      </c>
      <c r="C94" s="3505" t="s">
        <v>4175</v>
      </c>
      <c r="D94" s="3505" t="s">
        <v>4176</v>
      </c>
      <c r="E94" s="3505" t="s">
        <v>3890</v>
      </c>
      <c r="F94" s="3505" t="s">
        <v>4177</v>
      </c>
      <c r="G94" s="3505" t="s">
        <v>3502</v>
      </c>
      <c r="H94" s="3505" t="s">
        <v>4173</v>
      </c>
      <c r="I94" s="3505" t="s">
        <v>3498</v>
      </c>
      <c r="J94" s="3505">
        <v>95.41</v>
      </c>
      <c r="K94" s="3505" t="s">
        <v>3386</v>
      </c>
      <c r="L94" s="3505" t="s">
        <v>3503</v>
      </c>
      <c r="M94" s="3505">
        <v>16</v>
      </c>
      <c r="N94" s="3505" t="s">
        <v>633</v>
      </c>
      <c r="O94" s="3505">
        <v>2011</v>
      </c>
      <c r="P94" s="3505" t="s">
        <v>633</v>
      </c>
      <c r="Q94" s="3505" t="s">
        <v>633</v>
      </c>
      <c r="R94" s="3505">
        <v>45383</v>
      </c>
      <c r="S94" s="3505">
        <v>38585</v>
      </c>
      <c r="T94" s="3505">
        <v>3681395</v>
      </c>
      <c r="U94" s="3507">
        <v>42397</v>
      </c>
    </row>
    <row r="95" spans="1:23" ht="27" hidden="1" customHeight="1" thickBot="1">
      <c r="A95" s="3505">
        <v>94</v>
      </c>
      <c r="B95" s="3506" t="s">
        <v>3887</v>
      </c>
      <c r="C95" s="3505" t="s">
        <v>4178</v>
      </c>
      <c r="D95" s="3505" t="s">
        <v>4179</v>
      </c>
      <c r="E95" s="3505" t="s">
        <v>4180</v>
      </c>
      <c r="F95" s="3505" t="s">
        <v>4181</v>
      </c>
      <c r="G95" s="3505" t="s">
        <v>3502</v>
      </c>
      <c r="H95" s="3505" t="s">
        <v>4173</v>
      </c>
      <c r="I95" s="3505" t="s">
        <v>3498</v>
      </c>
      <c r="J95" s="3505">
        <v>130.43</v>
      </c>
      <c r="K95" s="3505" t="s">
        <v>3386</v>
      </c>
      <c r="L95" s="3505" t="s">
        <v>4174</v>
      </c>
      <c r="M95" s="3505">
        <v>14</v>
      </c>
      <c r="N95" s="3505" t="s">
        <v>633</v>
      </c>
      <c r="O95" s="3505">
        <v>2011</v>
      </c>
      <c r="P95" s="3505" t="s">
        <v>633</v>
      </c>
      <c r="Q95" s="3505" t="s">
        <v>633</v>
      </c>
      <c r="R95" s="3505">
        <v>38335</v>
      </c>
      <c r="S95" s="3505">
        <v>33775</v>
      </c>
      <c r="T95" s="3505">
        <v>4405273</v>
      </c>
      <c r="U95" s="3507">
        <v>42240</v>
      </c>
    </row>
    <row r="96" spans="1:23" ht="27" hidden="1" customHeight="1" thickBot="1">
      <c r="A96" s="3505">
        <v>95</v>
      </c>
      <c r="B96" s="3506" t="s">
        <v>3887</v>
      </c>
      <c r="C96" s="3505" t="s">
        <v>4182</v>
      </c>
      <c r="D96" s="3505" t="s">
        <v>4183</v>
      </c>
      <c r="E96" s="3505" t="s">
        <v>3890</v>
      </c>
      <c r="F96" s="3505" t="s">
        <v>4184</v>
      </c>
      <c r="G96" s="3505" t="s">
        <v>3502</v>
      </c>
      <c r="H96" s="3505" t="s">
        <v>4173</v>
      </c>
      <c r="I96" s="3505" t="s">
        <v>3498</v>
      </c>
      <c r="J96" s="3505">
        <v>74.33</v>
      </c>
      <c r="K96" s="3505" t="s">
        <v>3386</v>
      </c>
      <c r="L96" s="3505" t="s">
        <v>3503</v>
      </c>
      <c r="M96" s="3505">
        <v>7</v>
      </c>
      <c r="N96" s="3505" t="s">
        <v>633</v>
      </c>
      <c r="O96" s="3505">
        <v>2011</v>
      </c>
      <c r="P96" s="3505" t="s">
        <v>633</v>
      </c>
      <c r="Q96" s="3505" t="s">
        <v>633</v>
      </c>
      <c r="R96" s="3505">
        <v>37132</v>
      </c>
      <c r="S96" s="3505">
        <v>34079</v>
      </c>
      <c r="T96" s="3505">
        <v>2533092</v>
      </c>
      <c r="U96" s="3507">
        <v>42234</v>
      </c>
    </row>
    <row r="97" spans="1:21" ht="27" hidden="1" customHeight="1" thickBot="1">
      <c r="A97" s="3505">
        <v>96</v>
      </c>
      <c r="B97" s="3506" t="s">
        <v>3887</v>
      </c>
      <c r="C97" s="3505" t="s">
        <v>4185</v>
      </c>
      <c r="D97" s="3505" t="s">
        <v>4186</v>
      </c>
      <c r="E97" s="3505" t="s">
        <v>3890</v>
      </c>
      <c r="F97" s="3505" t="s">
        <v>4187</v>
      </c>
      <c r="G97" s="3505" t="s">
        <v>3502</v>
      </c>
      <c r="H97" s="3505" t="s">
        <v>4173</v>
      </c>
      <c r="I97" s="3505" t="s">
        <v>3498</v>
      </c>
      <c r="J97" s="3505">
        <v>68.790000000000006</v>
      </c>
      <c r="K97" s="3505" t="s">
        <v>3386</v>
      </c>
      <c r="L97" s="3505" t="s">
        <v>3503</v>
      </c>
      <c r="M97" s="3505">
        <v>16</v>
      </c>
      <c r="N97" s="3505" t="s">
        <v>633</v>
      </c>
      <c r="O97" s="3505">
        <v>2011</v>
      </c>
      <c r="P97" s="3505" t="s">
        <v>633</v>
      </c>
      <c r="Q97" s="3505" t="s">
        <v>633</v>
      </c>
      <c r="R97" s="3505">
        <v>39250</v>
      </c>
      <c r="S97" s="3505">
        <v>34091</v>
      </c>
      <c r="T97" s="3505">
        <v>2345120</v>
      </c>
      <c r="U97" s="3507">
        <v>42214</v>
      </c>
    </row>
    <row r="98" spans="1:21" ht="27" hidden="1" customHeight="1" thickBot="1">
      <c r="A98" s="3505">
        <v>97</v>
      </c>
      <c r="B98" s="3506" t="s">
        <v>3887</v>
      </c>
      <c r="C98" s="3505" t="s">
        <v>4188</v>
      </c>
      <c r="D98" s="3505" t="s">
        <v>4189</v>
      </c>
      <c r="E98" s="3505" t="s">
        <v>3890</v>
      </c>
      <c r="F98" s="3505" t="s">
        <v>4190</v>
      </c>
      <c r="G98" s="3505" t="s">
        <v>3502</v>
      </c>
      <c r="H98" s="3505" t="s">
        <v>4173</v>
      </c>
      <c r="I98" s="3505" t="s">
        <v>3498</v>
      </c>
      <c r="J98" s="3505">
        <v>74.33</v>
      </c>
      <c r="K98" s="3505" t="s">
        <v>3386</v>
      </c>
      <c r="L98" s="3505" t="s">
        <v>3503</v>
      </c>
      <c r="M98" s="3505">
        <v>14</v>
      </c>
      <c r="N98" s="3505" t="s">
        <v>633</v>
      </c>
      <c r="O98" s="3505">
        <v>2011</v>
      </c>
      <c r="P98" s="3505" t="s">
        <v>633</v>
      </c>
      <c r="Q98" s="3505" t="s">
        <v>633</v>
      </c>
      <c r="R98" s="3505">
        <v>37266</v>
      </c>
      <c r="S98" s="3505">
        <v>34338</v>
      </c>
      <c r="T98" s="3505">
        <v>2552344</v>
      </c>
      <c r="U98" s="3507">
        <v>42214</v>
      </c>
    </row>
    <row r="99" spans="1:21" ht="27" hidden="1" customHeight="1" thickBot="1">
      <c r="A99" s="3505">
        <v>98</v>
      </c>
      <c r="B99" s="3506" t="s">
        <v>3887</v>
      </c>
      <c r="C99" s="3505" t="s">
        <v>4191</v>
      </c>
      <c r="D99" s="3505" t="s">
        <v>4192</v>
      </c>
      <c r="E99" s="3505" t="s">
        <v>3890</v>
      </c>
      <c r="F99" s="3505" t="s">
        <v>4181</v>
      </c>
      <c r="G99" s="3505" t="s">
        <v>3502</v>
      </c>
      <c r="H99" s="3505" t="s">
        <v>4193</v>
      </c>
      <c r="I99" s="3505" t="s">
        <v>3498</v>
      </c>
      <c r="J99" s="3505">
        <v>130.43</v>
      </c>
      <c r="K99" s="3505" t="s">
        <v>3386</v>
      </c>
      <c r="L99" s="3505" t="s">
        <v>4174</v>
      </c>
      <c r="M99" s="3505">
        <v>14</v>
      </c>
      <c r="N99" s="3505" t="s">
        <v>633</v>
      </c>
      <c r="O99" s="3505">
        <v>2011</v>
      </c>
      <c r="P99" s="3505" t="s">
        <v>633</v>
      </c>
      <c r="Q99" s="3505" t="s">
        <v>633</v>
      </c>
      <c r="R99" s="3505">
        <v>0</v>
      </c>
      <c r="S99" s="3505">
        <v>33590</v>
      </c>
      <c r="T99" s="3505">
        <v>4381144</v>
      </c>
      <c r="U99" s="3507">
        <v>42023</v>
      </c>
    </row>
    <row r="100" spans="1:21" s="3518" customFormat="1" ht="27" customHeight="1" thickBot="1">
      <c r="A100" s="3571">
        <v>99</v>
      </c>
      <c r="B100" s="3572" t="s">
        <v>3887</v>
      </c>
      <c r="C100" s="3571" t="s">
        <v>4194</v>
      </c>
      <c r="D100" s="3571" t="s">
        <v>4195</v>
      </c>
      <c r="E100" s="3571" t="s">
        <v>3890</v>
      </c>
      <c r="F100" s="3571" t="s">
        <v>4196</v>
      </c>
      <c r="G100" s="3571" t="s">
        <v>633</v>
      </c>
      <c r="H100" s="3571" t="s">
        <v>4197</v>
      </c>
      <c r="I100" s="3571" t="s">
        <v>3490</v>
      </c>
      <c r="J100" s="3571">
        <v>75.92</v>
      </c>
      <c r="K100" s="3571" t="s">
        <v>3386</v>
      </c>
      <c r="L100" s="3571" t="s">
        <v>3491</v>
      </c>
      <c r="M100" s="3571">
        <v>12</v>
      </c>
      <c r="N100" s="3571" t="s">
        <v>633</v>
      </c>
      <c r="O100" s="3571">
        <v>1998</v>
      </c>
      <c r="P100" s="3571" t="s">
        <v>633</v>
      </c>
      <c r="Q100" s="3571" t="s">
        <v>633</v>
      </c>
      <c r="R100" s="3571">
        <v>0</v>
      </c>
      <c r="S100" s="3571">
        <v>30874</v>
      </c>
      <c r="T100" s="3571">
        <v>2343954</v>
      </c>
      <c r="U100" s="3573">
        <v>41788</v>
      </c>
    </row>
    <row r="101" spans="1:21" ht="27" hidden="1" customHeight="1" thickBot="1">
      <c r="A101" s="3505">
        <v>100</v>
      </c>
      <c r="B101" s="3506" t="s">
        <v>3887</v>
      </c>
      <c r="C101" s="3505" t="s">
        <v>4198</v>
      </c>
      <c r="D101" s="3505" t="s">
        <v>4199</v>
      </c>
      <c r="E101" s="3505" t="s">
        <v>3890</v>
      </c>
      <c r="F101" s="3505" t="s">
        <v>4200</v>
      </c>
      <c r="G101" s="3505" t="s">
        <v>3502</v>
      </c>
      <c r="H101" s="3505" t="s">
        <v>4197</v>
      </c>
      <c r="I101" s="3505" t="s">
        <v>3498</v>
      </c>
      <c r="J101" s="3505">
        <v>68.790000000000006</v>
      </c>
      <c r="K101" s="3505" t="s">
        <v>3386</v>
      </c>
      <c r="L101" s="3505" t="s">
        <v>3503</v>
      </c>
      <c r="M101" s="3505">
        <v>24</v>
      </c>
      <c r="N101" s="3505" t="s">
        <v>633</v>
      </c>
      <c r="O101" s="3505">
        <v>2011</v>
      </c>
      <c r="P101" s="3505" t="s">
        <v>633</v>
      </c>
      <c r="Q101" s="3505" t="s">
        <v>633</v>
      </c>
      <c r="R101" s="3505">
        <v>0</v>
      </c>
      <c r="S101" s="3505">
        <v>37443</v>
      </c>
      <c r="T101" s="3505">
        <v>2575704</v>
      </c>
      <c r="U101" s="3507">
        <v>41644</v>
      </c>
    </row>
    <row r="102" spans="1:21" ht="27" hidden="1" customHeight="1" thickBot="1">
      <c r="A102" s="3505">
        <v>101</v>
      </c>
      <c r="B102" s="3506" t="s">
        <v>3887</v>
      </c>
      <c r="C102" s="3505" t="s">
        <v>4201</v>
      </c>
      <c r="D102" s="3505" t="s">
        <v>4202</v>
      </c>
      <c r="E102" s="3505" t="s">
        <v>3890</v>
      </c>
      <c r="F102" s="3505" t="s">
        <v>4203</v>
      </c>
      <c r="G102" s="3505" t="s">
        <v>3502</v>
      </c>
      <c r="H102" s="3505" t="s">
        <v>4197</v>
      </c>
      <c r="I102" s="3505" t="s">
        <v>3498</v>
      </c>
      <c r="J102" s="3505">
        <v>93.69</v>
      </c>
      <c r="K102" s="3505" t="s">
        <v>3386</v>
      </c>
      <c r="L102" s="3505" t="s">
        <v>3503</v>
      </c>
      <c r="M102" s="3505">
        <v>17</v>
      </c>
      <c r="N102" s="3505" t="s">
        <v>633</v>
      </c>
      <c r="O102" s="3505">
        <v>2011</v>
      </c>
      <c r="P102" s="3505" t="s">
        <v>633</v>
      </c>
      <c r="Q102" s="3505" t="s">
        <v>633</v>
      </c>
      <c r="R102" s="3505">
        <v>0</v>
      </c>
      <c r="S102" s="3505">
        <v>37059</v>
      </c>
      <c r="T102" s="3505">
        <v>3472058</v>
      </c>
      <c r="U102" s="3507">
        <v>41653</v>
      </c>
    </row>
    <row r="103" spans="1:21" ht="27" hidden="1" customHeight="1" thickBot="1">
      <c r="A103" s="3505">
        <v>102</v>
      </c>
      <c r="B103" s="3506" t="s">
        <v>3887</v>
      </c>
      <c r="C103" s="3505" t="s">
        <v>4204</v>
      </c>
      <c r="D103" s="3505" t="s">
        <v>4205</v>
      </c>
      <c r="E103" s="3505" t="s">
        <v>3890</v>
      </c>
      <c r="F103" s="3505" t="s">
        <v>4206</v>
      </c>
      <c r="G103" s="3505" t="s">
        <v>633</v>
      </c>
      <c r="H103" s="3505" t="s">
        <v>4197</v>
      </c>
      <c r="I103" s="3505" t="s">
        <v>3490</v>
      </c>
      <c r="J103" s="3505">
        <v>45.66</v>
      </c>
      <c r="K103" s="3505" t="s">
        <v>3386</v>
      </c>
      <c r="L103" s="3505">
        <v>7</v>
      </c>
      <c r="M103" s="3505">
        <v>2</v>
      </c>
      <c r="N103" s="3505" t="s">
        <v>633</v>
      </c>
      <c r="O103" s="3505">
        <v>1996</v>
      </c>
      <c r="P103" s="3505" t="s">
        <v>633</v>
      </c>
      <c r="Q103" s="3505" t="s">
        <v>633</v>
      </c>
      <c r="R103" s="3505">
        <v>40079</v>
      </c>
      <c r="S103" s="3505">
        <v>35391</v>
      </c>
      <c r="T103" s="3505">
        <v>1615953</v>
      </c>
      <c r="U103" s="3505" t="s">
        <v>4207</v>
      </c>
    </row>
    <row r="104" spans="1:21" s="3518" customFormat="1" ht="27" customHeight="1" thickBot="1">
      <c r="A104" s="3500">
        <v>103</v>
      </c>
      <c r="B104" s="3506" t="s">
        <v>3887</v>
      </c>
      <c r="C104" s="3505" t="s">
        <v>4208</v>
      </c>
      <c r="D104" s="3505" t="s">
        <v>4209</v>
      </c>
      <c r="E104" s="3500" t="s">
        <v>3890</v>
      </c>
      <c r="F104" s="3500" t="s">
        <v>4210</v>
      </c>
      <c r="G104" s="3500" t="s">
        <v>3494</v>
      </c>
      <c r="H104" s="3505" t="s">
        <v>4197</v>
      </c>
      <c r="I104" s="3500" t="s">
        <v>3495</v>
      </c>
      <c r="J104" s="3500">
        <v>88.68</v>
      </c>
      <c r="K104" s="3500" t="s">
        <v>3386</v>
      </c>
      <c r="L104" s="3500" t="s">
        <v>3496</v>
      </c>
      <c r="M104" s="3500"/>
      <c r="N104" s="3500">
        <v>2005</v>
      </c>
      <c r="O104" s="3500" t="s">
        <v>43</v>
      </c>
      <c r="P104" s="3505" t="s">
        <v>43</v>
      </c>
      <c r="Q104" s="3505" t="s">
        <v>43</v>
      </c>
      <c r="R104" s="3500">
        <v>31574</v>
      </c>
      <c r="S104" s="3500">
        <v>27882</v>
      </c>
      <c r="T104" s="3500">
        <v>2472576</v>
      </c>
      <c r="U104" s="3519">
        <v>41504</v>
      </c>
    </row>
    <row r="105" spans="1:21" ht="27" hidden="1" customHeight="1" thickBot="1">
      <c r="A105" s="3505">
        <v>104</v>
      </c>
      <c r="B105" s="3506" t="s">
        <v>3887</v>
      </c>
      <c r="C105" s="3505" t="s">
        <v>4211</v>
      </c>
      <c r="D105" s="3505" t="s">
        <v>4212</v>
      </c>
      <c r="E105" s="3505" t="s">
        <v>3890</v>
      </c>
      <c r="F105" s="3505" t="s">
        <v>4213</v>
      </c>
      <c r="G105" s="3505" t="s">
        <v>3502</v>
      </c>
      <c r="H105" s="3505" t="s">
        <v>4214</v>
      </c>
      <c r="I105" s="3505" t="s">
        <v>3498</v>
      </c>
      <c r="J105" s="3505">
        <v>93.89</v>
      </c>
      <c r="K105" s="3505" t="s">
        <v>3386</v>
      </c>
      <c r="L105" s="3505" t="s">
        <v>3503</v>
      </c>
      <c r="M105" s="3505"/>
      <c r="N105" s="3505" t="s">
        <v>43</v>
      </c>
      <c r="O105" s="3505">
        <v>2011</v>
      </c>
      <c r="P105" s="3505" t="s">
        <v>43</v>
      </c>
      <c r="Q105" s="3505" t="s">
        <v>43</v>
      </c>
      <c r="R105" s="3505">
        <v>0</v>
      </c>
      <c r="S105" s="3505">
        <v>35061</v>
      </c>
      <c r="T105" s="3505">
        <v>3291877</v>
      </c>
      <c r="U105" s="3514">
        <v>41450</v>
      </c>
    </row>
    <row r="106" spans="1:21" ht="27" hidden="1" customHeight="1" thickBot="1">
      <c r="A106" s="3505">
        <v>105</v>
      </c>
      <c r="B106" s="3506" t="s">
        <v>3887</v>
      </c>
      <c r="C106" s="3505" t="s">
        <v>4215</v>
      </c>
      <c r="D106" s="3505" t="s">
        <v>4216</v>
      </c>
      <c r="E106" s="3505" t="s">
        <v>3890</v>
      </c>
      <c r="F106" s="3505" t="s">
        <v>4130</v>
      </c>
      <c r="G106" s="3505" t="s">
        <v>3502</v>
      </c>
      <c r="H106" s="3505" t="s">
        <v>4217</v>
      </c>
      <c r="I106" s="3505" t="s">
        <v>3498</v>
      </c>
      <c r="J106" s="3505">
        <v>76.67</v>
      </c>
      <c r="K106" s="3505" t="s">
        <v>3386</v>
      </c>
      <c r="L106" s="3505" t="s">
        <v>3503</v>
      </c>
      <c r="M106" s="3505"/>
      <c r="N106" s="3505" t="s">
        <v>43</v>
      </c>
      <c r="O106" s="3505">
        <v>2011</v>
      </c>
      <c r="P106" s="3505" t="s">
        <v>43</v>
      </c>
      <c r="Q106" s="3505" t="s">
        <v>43</v>
      </c>
      <c r="R106" s="3505">
        <v>0</v>
      </c>
      <c r="S106" s="3505">
        <v>31133</v>
      </c>
      <c r="T106" s="3505">
        <v>2386967</v>
      </c>
      <c r="U106" s="3514">
        <v>41341</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2024年8月29日（评估专业人员实地查勘之日）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579" customFormat="1" ht="15.6">
      <c r="A1" s="3577" t="s">
        <v>3602</v>
      </c>
      <c r="B1" s="3578" t="s">
        <v>3399</v>
      </c>
      <c r="C1" s="3578" t="s">
        <v>3603</v>
      </c>
      <c r="D1" s="3578" t="s">
        <v>3604</v>
      </c>
      <c r="E1" s="3578" t="s">
        <v>3605</v>
      </c>
      <c r="F1" s="3578" t="s">
        <v>3606</v>
      </c>
      <c r="G1" s="3578" t="s">
        <v>3607</v>
      </c>
      <c r="H1" s="3578" t="s">
        <v>3608</v>
      </c>
      <c r="I1" s="3578" t="s">
        <v>3406</v>
      </c>
      <c r="J1" s="3583" t="s">
        <v>3609</v>
      </c>
      <c r="K1" s="3587" t="s">
        <v>3610</v>
      </c>
      <c r="L1" s="3587" t="s">
        <v>3611</v>
      </c>
      <c r="M1" s="3587" t="s">
        <v>3612</v>
      </c>
      <c r="N1" s="3588" t="s">
        <v>3613</v>
      </c>
      <c r="O1" s="3587" t="s">
        <v>3614</v>
      </c>
      <c r="P1" s="3587" t="s">
        <v>3615</v>
      </c>
      <c r="Q1" s="3587" t="s">
        <v>3616</v>
      </c>
      <c r="R1" s="3587" t="s">
        <v>3617</v>
      </c>
      <c r="S1" s="3587" t="s">
        <v>3618</v>
      </c>
      <c r="T1" s="3587" t="s">
        <v>3619</v>
      </c>
      <c r="U1" s="3587" t="s">
        <v>3620</v>
      </c>
      <c r="V1" s="3587" t="s">
        <v>3621</v>
      </c>
      <c r="W1" s="3587" t="s">
        <v>3622</v>
      </c>
      <c r="X1" s="3587" t="s">
        <v>3623</v>
      </c>
      <c r="Y1" s="3587" t="s">
        <v>3624</v>
      </c>
      <c r="Z1" s="3589" t="s">
        <v>3625</v>
      </c>
      <c r="AA1" s="3587" t="s">
        <v>3626</v>
      </c>
      <c r="AB1" s="3587" t="s">
        <v>3627</v>
      </c>
      <c r="AC1" s="3587" t="s">
        <v>3628</v>
      </c>
      <c r="AD1" s="3587" t="s">
        <v>3629</v>
      </c>
      <c r="AE1" s="3587" t="s">
        <v>3630</v>
      </c>
      <c r="AF1" s="3587" t="s">
        <v>3631</v>
      </c>
      <c r="AG1" s="3587" t="s">
        <v>3632</v>
      </c>
      <c r="AH1" s="3590" t="s">
        <v>3633</v>
      </c>
      <c r="AI1" s="3590" t="s">
        <v>3615</v>
      </c>
      <c r="AJ1" s="3590" t="s">
        <v>3616</v>
      </c>
      <c r="AK1" s="3590" t="s">
        <v>3634</v>
      </c>
      <c r="AL1" s="3591" t="s">
        <v>3635</v>
      </c>
      <c r="AM1" s="3587" t="s">
        <v>3636</v>
      </c>
      <c r="AN1" s="3592" t="s">
        <v>3637</v>
      </c>
      <c r="AO1" s="3593" t="s">
        <v>3638</v>
      </c>
      <c r="AP1" s="3587" t="s">
        <v>3639</v>
      </c>
      <c r="AQ1" s="3587" t="s">
        <v>3640</v>
      </c>
      <c r="AR1" s="3593" t="s">
        <v>3641</v>
      </c>
      <c r="AS1" s="3587" t="s">
        <v>3642</v>
      </c>
      <c r="AT1" s="3594" t="s">
        <v>3643</v>
      </c>
      <c r="AU1" s="3587" t="s">
        <v>3644</v>
      </c>
      <c r="AV1" s="3595" t="s">
        <v>3645</v>
      </c>
      <c r="AW1" s="3596" t="s">
        <v>3646</v>
      </c>
    </row>
    <row r="2" spans="1:51" s="3579" customFormat="1" ht="12">
      <c r="A2" s="3584" t="s">
        <v>3647</v>
      </c>
      <c r="B2" s="3584">
        <v>124.25</v>
      </c>
      <c r="C2" s="3584" t="s">
        <v>3466</v>
      </c>
      <c r="D2" s="3584" t="s">
        <v>3416</v>
      </c>
      <c r="E2" s="3584" t="s">
        <v>3648</v>
      </c>
      <c r="F2" s="3584" t="s">
        <v>3412</v>
      </c>
      <c r="G2" s="3584">
        <v>2490000</v>
      </c>
      <c r="H2" s="3584">
        <v>20040</v>
      </c>
      <c r="I2" s="3584" t="s">
        <v>3649</v>
      </c>
      <c r="J2" s="3584">
        <v>4048500</v>
      </c>
      <c r="K2" s="3584" t="s">
        <v>3650</v>
      </c>
      <c r="L2" s="3584">
        <v>0.2</v>
      </c>
      <c r="M2" s="3584">
        <v>323.88</v>
      </c>
      <c r="N2" s="3584">
        <v>3238800</v>
      </c>
      <c r="O2" s="3584" t="s">
        <v>3651</v>
      </c>
      <c r="P2" s="3584" t="s">
        <v>3652</v>
      </c>
      <c r="Q2" s="3584" t="s">
        <v>3653</v>
      </c>
      <c r="R2" s="3584">
        <v>1500</v>
      </c>
      <c r="S2" s="3584" t="s">
        <v>3654</v>
      </c>
      <c r="T2" s="3584" t="s">
        <v>3655</v>
      </c>
      <c r="U2" s="3584" t="s">
        <v>3656</v>
      </c>
      <c r="V2" s="3584"/>
      <c r="W2" s="3584" t="s">
        <v>3657</v>
      </c>
      <c r="X2" s="3585" t="s">
        <v>3658</v>
      </c>
      <c r="Y2" s="3585" t="s">
        <v>3515</v>
      </c>
      <c r="Z2" s="3585" t="s">
        <v>3508</v>
      </c>
      <c r="AA2" s="3585"/>
      <c r="AB2" s="3585" t="s">
        <v>3659</v>
      </c>
      <c r="AC2" s="3585"/>
      <c r="AD2" s="3585" t="s">
        <v>3660</v>
      </c>
      <c r="AE2" s="3585" t="s">
        <v>3660</v>
      </c>
      <c r="AF2" s="3585" t="s">
        <v>3661</v>
      </c>
      <c r="AG2" s="3585" t="s">
        <v>3662</v>
      </c>
      <c r="AH2" s="3585"/>
      <c r="AI2" s="3585"/>
      <c r="AJ2" s="3585"/>
      <c r="AK2" s="3585"/>
      <c r="AL2" s="3585"/>
      <c r="AM2" s="3585"/>
      <c r="AN2" s="3585"/>
      <c r="AO2" s="3585" t="s">
        <v>3663</v>
      </c>
      <c r="AP2" s="3585" t="s">
        <v>3664</v>
      </c>
      <c r="AQ2" s="3585"/>
      <c r="AR2" s="3585"/>
      <c r="AS2" s="3585"/>
      <c r="AT2" s="3585"/>
      <c r="AU2" s="3585"/>
      <c r="AV2" s="3585"/>
      <c r="AW2" s="3586" t="s">
        <v>3508</v>
      </c>
      <c r="AY2" s="3579">
        <v>4</v>
      </c>
    </row>
    <row r="3" spans="1:51" s="3579" customFormat="1" ht="12">
      <c r="A3" s="3584" t="s">
        <v>3509</v>
      </c>
      <c r="B3" s="3584">
        <v>132.19999999999999</v>
      </c>
      <c r="C3" s="3584" t="s">
        <v>3466</v>
      </c>
      <c r="D3" s="3584" t="s">
        <v>3510</v>
      </c>
      <c r="E3" s="3584" t="s">
        <v>633</v>
      </c>
      <c r="F3" s="3584" t="s">
        <v>3412</v>
      </c>
      <c r="G3" s="3584">
        <v>2660000</v>
      </c>
      <c r="H3" s="3584">
        <v>20121</v>
      </c>
      <c r="I3" s="3584" t="s">
        <v>3665</v>
      </c>
      <c r="J3" s="3584">
        <v>4435000</v>
      </c>
      <c r="K3" s="3584" t="s">
        <v>3666</v>
      </c>
      <c r="L3" s="3584">
        <v>0.2</v>
      </c>
      <c r="M3" s="3584">
        <v>354.8</v>
      </c>
      <c r="N3" s="3584">
        <v>3548000</v>
      </c>
      <c r="O3" s="3584" t="s">
        <v>3651</v>
      </c>
      <c r="P3" s="3584" t="s">
        <v>3652</v>
      </c>
      <c r="Q3" s="3584" t="s">
        <v>3667</v>
      </c>
      <c r="R3" s="3584">
        <v>1500</v>
      </c>
      <c r="S3" s="3584" t="s">
        <v>3654</v>
      </c>
      <c r="T3" s="3584" t="s">
        <v>3668</v>
      </c>
      <c r="U3" s="3584" t="s">
        <v>3669</v>
      </c>
      <c r="V3" s="3584"/>
      <c r="W3" s="3584" t="s">
        <v>3657</v>
      </c>
      <c r="X3" s="3585" t="s">
        <v>3670</v>
      </c>
      <c r="Y3" s="3585" t="s">
        <v>3671</v>
      </c>
      <c r="Z3" s="3585" t="s">
        <v>3511</v>
      </c>
      <c r="AA3" s="3585"/>
      <c r="AB3" s="3585" t="s">
        <v>3672</v>
      </c>
      <c r="AC3" s="3585"/>
      <c r="AD3" s="3585" t="s">
        <v>3660</v>
      </c>
      <c r="AE3" s="3585" t="s">
        <v>3660</v>
      </c>
      <c r="AF3" s="3585" t="s">
        <v>3673</v>
      </c>
      <c r="AG3" s="3585"/>
      <c r="AH3" s="3585"/>
      <c r="AI3" s="3585"/>
      <c r="AJ3" s="3585"/>
      <c r="AK3" s="3585"/>
      <c r="AL3" s="3585"/>
      <c r="AM3" s="3585"/>
      <c r="AN3" s="3585"/>
      <c r="AO3" s="3585" t="s">
        <v>3674</v>
      </c>
      <c r="AP3" s="3585" t="s">
        <v>3675</v>
      </c>
      <c r="AQ3" s="3585"/>
      <c r="AR3" s="3585"/>
      <c r="AS3" s="3585"/>
      <c r="AT3" s="3585"/>
      <c r="AU3" s="3585"/>
      <c r="AV3" s="3585"/>
      <c r="AW3" s="3586" t="s">
        <v>3511</v>
      </c>
      <c r="AY3" s="3579">
        <v>5</v>
      </c>
    </row>
    <row r="4" spans="1:51" s="3579" customFormat="1" ht="12">
      <c r="A4" s="3584" t="s">
        <v>3512</v>
      </c>
      <c r="B4" s="3584">
        <v>102.96</v>
      </c>
      <c r="C4" s="3584" t="s">
        <v>3443</v>
      </c>
      <c r="D4" s="3584" t="s">
        <v>3411</v>
      </c>
      <c r="E4" s="3584" t="s">
        <v>3677</v>
      </c>
      <c r="F4" s="3584" t="s">
        <v>3412</v>
      </c>
      <c r="G4" s="3584">
        <v>1800000</v>
      </c>
      <c r="H4" s="3584">
        <v>17483</v>
      </c>
      <c r="I4" s="3584">
        <v>311.08</v>
      </c>
      <c r="J4" s="3584">
        <v>3110800</v>
      </c>
      <c r="K4" s="3584" t="s">
        <v>3678</v>
      </c>
      <c r="L4" s="3584">
        <v>0.2</v>
      </c>
      <c r="M4" s="3584">
        <v>248.86</v>
      </c>
      <c r="N4" s="3584">
        <v>2488600</v>
      </c>
      <c r="O4" s="3584" t="s">
        <v>3651</v>
      </c>
      <c r="P4" s="3584" t="s">
        <v>3679</v>
      </c>
      <c r="Q4" s="3584" t="s">
        <v>3680</v>
      </c>
      <c r="R4" s="3584">
        <v>1500</v>
      </c>
      <c r="S4" s="3584" t="s">
        <v>3654</v>
      </c>
      <c r="T4" s="3584" t="s">
        <v>3681</v>
      </c>
      <c r="U4" s="3584" t="s">
        <v>3656</v>
      </c>
      <c r="V4" s="3584"/>
      <c r="W4" s="3584" t="s">
        <v>3657</v>
      </c>
      <c r="X4" s="3585" t="s">
        <v>3682</v>
      </c>
      <c r="Y4" s="3585" t="s">
        <v>3683</v>
      </c>
      <c r="Z4" s="3585" t="s">
        <v>3513</v>
      </c>
      <c r="AA4" s="3585"/>
      <c r="AB4" s="3585" t="s">
        <v>3684</v>
      </c>
      <c r="AC4" s="3585"/>
      <c r="AD4" s="3585" t="s">
        <v>3660</v>
      </c>
      <c r="AE4" s="3585" t="s">
        <v>3660</v>
      </c>
      <c r="AF4" s="3585" t="s">
        <v>3685</v>
      </c>
      <c r="AG4" s="3585"/>
      <c r="AH4" s="3585"/>
      <c r="AI4" s="3585"/>
      <c r="AJ4" s="3585"/>
      <c r="AK4" s="3585"/>
      <c r="AL4" s="3585"/>
      <c r="AM4" s="3585"/>
      <c r="AN4" s="3585"/>
      <c r="AO4" s="3585" t="s">
        <v>3686</v>
      </c>
      <c r="AP4" s="3585" t="s">
        <v>3676</v>
      </c>
      <c r="AQ4" s="3585"/>
      <c r="AR4" s="3585"/>
      <c r="AS4" s="3585"/>
      <c r="AT4" s="3585"/>
      <c r="AU4" s="3585"/>
      <c r="AV4" s="3585"/>
      <c r="AW4" s="3586" t="s">
        <v>3513</v>
      </c>
      <c r="AY4" s="3579">
        <v>6</v>
      </c>
    </row>
    <row r="5" spans="1:51" s="3579" customFormat="1" ht="12" hidden="1">
      <c r="A5" s="3584" t="s">
        <v>3514</v>
      </c>
      <c r="B5" s="3584">
        <v>88.85</v>
      </c>
      <c r="C5" s="3584" t="s">
        <v>3466</v>
      </c>
      <c r="D5" s="3584" t="s">
        <v>3411</v>
      </c>
      <c r="E5" s="3584" t="s">
        <v>633</v>
      </c>
      <c r="F5" s="3584" t="s">
        <v>3412</v>
      </c>
      <c r="G5" s="3584">
        <v>1700000</v>
      </c>
      <c r="H5" s="3584">
        <v>19133</v>
      </c>
      <c r="I5" s="3584">
        <v>357.79</v>
      </c>
      <c r="J5" s="3584">
        <v>3577900</v>
      </c>
      <c r="K5" s="3584" t="s">
        <v>3687</v>
      </c>
      <c r="L5" s="3584">
        <v>0.2</v>
      </c>
      <c r="M5" s="3584">
        <v>286.23</v>
      </c>
      <c r="N5" s="3584">
        <v>2862300</v>
      </c>
      <c r="O5" s="3584" t="s">
        <v>3651</v>
      </c>
      <c r="P5" s="3584" t="s">
        <v>3679</v>
      </c>
      <c r="Q5" s="3584" t="s">
        <v>3688</v>
      </c>
      <c r="R5" s="3584">
        <v>1500</v>
      </c>
      <c r="S5" s="3584" t="s">
        <v>3654</v>
      </c>
      <c r="T5" s="3584" t="s">
        <v>3689</v>
      </c>
      <c r="U5" s="3584" t="s">
        <v>3656</v>
      </c>
      <c r="V5" s="3584"/>
      <c r="W5" s="3584" t="s">
        <v>3657</v>
      </c>
      <c r="X5" s="3585" t="s">
        <v>3690</v>
      </c>
      <c r="Y5" s="3585" t="s">
        <v>3691</v>
      </c>
      <c r="Z5" s="3585" t="s">
        <v>3515</v>
      </c>
      <c r="AA5" s="3585"/>
      <c r="AB5" s="3585" t="s">
        <v>3692</v>
      </c>
      <c r="AC5" s="3585"/>
      <c r="AD5" s="3585" t="s">
        <v>3660</v>
      </c>
      <c r="AE5" s="3585" t="s">
        <v>3660</v>
      </c>
      <c r="AF5" s="3585" t="s">
        <v>3693</v>
      </c>
      <c r="AG5" s="3585"/>
      <c r="AH5" s="3585"/>
      <c r="AI5" s="3585"/>
      <c r="AJ5" s="3585"/>
      <c r="AK5" s="3585"/>
      <c r="AL5" s="3585"/>
      <c r="AM5" s="3585"/>
      <c r="AN5" s="3585"/>
      <c r="AO5" s="3585" t="s">
        <v>3694</v>
      </c>
      <c r="AP5" s="3585" t="s">
        <v>3695</v>
      </c>
      <c r="AQ5" s="3585"/>
      <c r="AR5" s="3585"/>
      <c r="AS5" s="3585"/>
      <c r="AT5" s="3585"/>
      <c r="AU5" s="3585"/>
      <c r="AV5" s="3585"/>
      <c r="AW5" s="3586" t="s">
        <v>3515</v>
      </c>
      <c r="AY5" s="3579">
        <v>7</v>
      </c>
    </row>
    <row r="6" spans="1:51" s="3579" customFormat="1" ht="12" hidden="1">
      <c r="A6" s="3584" t="s">
        <v>3516</v>
      </c>
      <c r="B6" s="3584">
        <v>46.58</v>
      </c>
      <c r="C6" s="3584" t="s">
        <v>3517</v>
      </c>
      <c r="D6" s="3584" t="s">
        <v>3420</v>
      </c>
      <c r="E6" s="3584" t="s">
        <v>633</v>
      </c>
      <c r="F6" s="3584" t="s">
        <v>3412</v>
      </c>
      <c r="G6" s="3584">
        <v>1000000</v>
      </c>
      <c r="H6" s="3584">
        <v>21468</v>
      </c>
      <c r="I6" s="3584">
        <v>180.98</v>
      </c>
      <c r="J6" s="3584">
        <v>1809800</v>
      </c>
      <c r="K6" s="3584" t="s">
        <v>3697</v>
      </c>
      <c r="L6" s="3584">
        <v>0.2</v>
      </c>
      <c r="M6" s="3584">
        <v>144.78</v>
      </c>
      <c r="N6" s="3584">
        <v>1447800</v>
      </c>
      <c r="O6" s="3584" t="s">
        <v>3651</v>
      </c>
      <c r="P6" s="3584" t="s">
        <v>3679</v>
      </c>
      <c r="Q6" s="3584" t="s">
        <v>3653</v>
      </c>
      <c r="R6" s="3584">
        <v>1500</v>
      </c>
      <c r="S6" s="3584" t="s">
        <v>3654</v>
      </c>
      <c r="T6" s="3584" t="s">
        <v>3698</v>
      </c>
      <c r="U6" s="3584" t="s">
        <v>3669</v>
      </c>
      <c r="V6" s="3584"/>
      <c r="W6" s="3584" t="s">
        <v>3657</v>
      </c>
      <c r="X6" s="3585" t="s">
        <v>3699</v>
      </c>
      <c r="Y6" s="3585" t="s">
        <v>3700</v>
      </c>
      <c r="Z6" s="3585" t="s">
        <v>3518</v>
      </c>
      <c r="AA6" s="3585"/>
      <c r="AB6" s="3585" t="s">
        <v>3429</v>
      </c>
      <c r="AC6" s="3585"/>
      <c r="AD6" s="3585" t="s">
        <v>3660</v>
      </c>
      <c r="AE6" s="3585" t="s">
        <v>3660</v>
      </c>
      <c r="AF6" s="3585" t="s">
        <v>3685</v>
      </c>
      <c r="AG6" s="3585"/>
      <c r="AH6" s="3585"/>
      <c r="AI6" s="3585"/>
      <c r="AJ6" s="3585"/>
      <c r="AK6" s="3585"/>
      <c r="AL6" s="3585"/>
      <c r="AM6" s="3585"/>
      <c r="AN6" s="3585"/>
      <c r="AO6" s="3585" t="s">
        <v>3701</v>
      </c>
      <c r="AP6" s="3585" t="s">
        <v>3696</v>
      </c>
      <c r="AQ6" s="3585"/>
      <c r="AR6" s="3585"/>
      <c r="AS6" s="3585"/>
      <c r="AT6" s="3585"/>
      <c r="AU6" s="3585"/>
      <c r="AV6" s="3585"/>
      <c r="AW6" s="3586" t="s">
        <v>3518</v>
      </c>
      <c r="AY6" s="3579">
        <v>8</v>
      </c>
    </row>
    <row r="7" spans="1:51" s="3579" customFormat="1" ht="12" hidden="1">
      <c r="A7" s="3584" t="s">
        <v>3519</v>
      </c>
      <c r="B7" s="3584">
        <v>100.97</v>
      </c>
      <c r="C7" s="3584" t="s">
        <v>3520</v>
      </c>
      <c r="D7" s="3584" t="s">
        <v>3411</v>
      </c>
      <c r="E7" s="3584" t="s">
        <v>633</v>
      </c>
      <c r="F7" s="3584" t="s">
        <v>3412</v>
      </c>
      <c r="G7" s="3584">
        <v>2020000</v>
      </c>
      <c r="H7" s="3584">
        <v>20006</v>
      </c>
      <c r="I7" s="3584">
        <v>411.84</v>
      </c>
      <c r="J7" s="3584">
        <v>4118399.9999999995</v>
      </c>
      <c r="K7" s="3584" t="s">
        <v>3703</v>
      </c>
      <c r="L7" s="3584">
        <v>0.2</v>
      </c>
      <c r="M7" s="3584">
        <v>329.47</v>
      </c>
      <c r="N7" s="3584">
        <v>3294700.0000000005</v>
      </c>
      <c r="O7" s="3584" t="s">
        <v>3651</v>
      </c>
      <c r="P7" s="3584" t="s">
        <v>3704</v>
      </c>
      <c r="Q7" s="3584" t="s">
        <v>3438</v>
      </c>
      <c r="R7" s="3584">
        <v>1500</v>
      </c>
      <c r="S7" s="3584" t="s">
        <v>3654</v>
      </c>
      <c r="T7" s="3584" t="s">
        <v>3705</v>
      </c>
      <c r="U7" s="3584" t="s">
        <v>3656</v>
      </c>
      <c r="V7" s="3584"/>
      <c r="W7" s="3584" t="s">
        <v>3657</v>
      </c>
      <c r="X7" s="3585" t="s">
        <v>3706</v>
      </c>
      <c r="Y7" s="3585" t="s">
        <v>3511</v>
      </c>
      <c r="Z7" s="3585" t="s">
        <v>3521</v>
      </c>
      <c r="AA7" s="3585"/>
      <c r="AB7" s="3585" t="s">
        <v>3692</v>
      </c>
      <c r="AC7" s="3585"/>
      <c r="AD7" s="3585" t="s">
        <v>3660</v>
      </c>
      <c r="AE7" s="3585" t="s">
        <v>3660</v>
      </c>
      <c r="AF7" s="3585" t="s">
        <v>3707</v>
      </c>
      <c r="AG7" s="3585"/>
      <c r="AH7" s="3585"/>
      <c r="AI7" s="3585"/>
      <c r="AJ7" s="3585"/>
      <c r="AK7" s="3585"/>
      <c r="AL7" s="3585"/>
      <c r="AM7" s="3585"/>
      <c r="AN7" s="3585"/>
      <c r="AO7" s="3585" t="s">
        <v>3708</v>
      </c>
      <c r="AP7" s="3585" t="s">
        <v>3702</v>
      </c>
      <c r="AQ7" s="3585"/>
      <c r="AR7" s="3585"/>
      <c r="AS7" s="3585"/>
      <c r="AT7" s="3585"/>
      <c r="AU7" s="3585"/>
      <c r="AV7" s="3585"/>
      <c r="AW7" s="3586" t="s">
        <v>3521</v>
      </c>
      <c r="AY7" s="3579">
        <v>9</v>
      </c>
    </row>
    <row r="8" spans="1:51" s="3579" customFormat="1" ht="12" hidden="1">
      <c r="A8" s="3584" t="s">
        <v>3522</v>
      </c>
      <c r="B8" s="3584">
        <v>76.48</v>
      </c>
      <c r="C8" s="3584" t="s">
        <v>3523</v>
      </c>
      <c r="D8" s="3584" t="s">
        <v>3411</v>
      </c>
      <c r="E8" s="3584" t="s">
        <v>633</v>
      </c>
      <c r="F8" s="3584" t="s">
        <v>3412</v>
      </c>
      <c r="G8" s="3584">
        <v>1750000</v>
      </c>
      <c r="H8" s="3584">
        <v>22882</v>
      </c>
      <c r="I8" s="3584">
        <v>264.52999999999997</v>
      </c>
      <c r="J8" s="3584">
        <v>2645299.9999999995</v>
      </c>
      <c r="K8" s="3584" t="s">
        <v>3710</v>
      </c>
      <c r="L8" s="3584">
        <v>0.2</v>
      </c>
      <c r="M8" s="3584">
        <v>211.62</v>
      </c>
      <c r="N8" s="3584">
        <v>2116200</v>
      </c>
      <c r="O8" s="3584" t="s">
        <v>3651</v>
      </c>
      <c r="P8" s="3584" t="s">
        <v>3704</v>
      </c>
      <c r="Q8" s="3584" t="s">
        <v>3704</v>
      </c>
      <c r="R8" s="3584">
        <v>1500</v>
      </c>
      <c r="S8" s="3584" t="s">
        <v>3654</v>
      </c>
      <c r="T8" s="3584" t="s">
        <v>3711</v>
      </c>
      <c r="U8" s="3584" t="s">
        <v>3669</v>
      </c>
      <c r="V8" s="3584"/>
      <c r="W8" s="3584" t="s">
        <v>3657</v>
      </c>
      <c r="X8" s="3585" t="s">
        <v>3712</v>
      </c>
      <c r="Y8" s="3585" t="s">
        <v>3713</v>
      </c>
      <c r="Z8" s="3585" t="s">
        <v>3511</v>
      </c>
      <c r="AA8" s="3585"/>
      <c r="AB8" s="3585" t="s">
        <v>3714</v>
      </c>
      <c r="AC8" s="3585"/>
      <c r="AD8" s="3585" t="s">
        <v>3660</v>
      </c>
      <c r="AE8" s="3585" t="s">
        <v>3660</v>
      </c>
      <c r="AF8" s="3585" t="s">
        <v>3715</v>
      </c>
      <c r="AG8" s="3585"/>
      <c r="AH8" s="3585"/>
      <c r="AI8" s="3585"/>
      <c r="AJ8" s="3585"/>
      <c r="AK8" s="3585"/>
      <c r="AL8" s="3585"/>
      <c r="AM8" s="3585"/>
      <c r="AN8" s="3585"/>
      <c r="AO8" s="3585" t="s">
        <v>3716</v>
      </c>
      <c r="AP8" s="3585" t="s">
        <v>3709</v>
      </c>
      <c r="AQ8" s="3585"/>
      <c r="AR8" s="3585"/>
      <c r="AS8" s="3585"/>
      <c r="AT8" s="3585"/>
      <c r="AU8" s="3585"/>
      <c r="AV8" s="3585"/>
      <c r="AW8" s="3586" t="s">
        <v>3511</v>
      </c>
      <c r="AY8" s="3579">
        <v>10</v>
      </c>
    </row>
    <row r="9" spans="1:51" s="3579" customFormat="1" ht="12" hidden="1">
      <c r="A9" s="3584" t="s">
        <v>3524</v>
      </c>
      <c r="B9" s="3584">
        <v>43.1</v>
      </c>
      <c r="C9" s="3584" t="s">
        <v>3423</v>
      </c>
      <c r="D9" s="3584" t="s">
        <v>3420</v>
      </c>
      <c r="E9" s="3584" t="s">
        <v>633</v>
      </c>
      <c r="F9" s="3584" t="s">
        <v>3412</v>
      </c>
      <c r="G9" s="3584">
        <v>1500000</v>
      </c>
      <c r="H9" s="3584">
        <v>34803</v>
      </c>
      <c r="I9" s="3584">
        <v>170.61</v>
      </c>
      <c r="J9" s="3584">
        <v>1706100.0000000002</v>
      </c>
      <c r="K9" s="3584" t="s">
        <v>3718</v>
      </c>
      <c r="L9" s="3584">
        <v>0.2</v>
      </c>
      <c r="M9" s="3584">
        <v>136.47999999999999</v>
      </c>
      <c r="N9" s="3584">
        <v>1364800</v>
      </c>
      <c r="O9" s="3584" t="s">
        <v>3651</v>
      </c>
      <c r="P9" s="3584" t="s">
        <v>3704</v>
      </c>
      <c r="Q9" s="3584" t="s">
        <v>3566</v>
      </c>
      <c r="R9" s="3584">
        <v>1500</v>
      </c>
      <c r="S9" s="3584" t="s">
        <v>3654</v>
      </c>
      <c r="T9" s="3584" t="s">
        <v>3719</v>
      </c>
      <c r="U9" s="3584" t="s">
        <v>3669</v>
      </c>
      <c r="V9" s="3584"/>
      <c r="W9" s="3584" t="s">
        <v>3657</v>
      </c>
      <c r="X9" s="3585" t="s">
        <v>3720</v>
      </c>
      <c r="Y9" s="3585" t="s">
        <v>3721</v>
      </c>
      <c r="Z9" s="3585" t="s">
        <v>3525</v>
      </c>
      <c r="AA9" s="3585"/>
      <c r="AB9" s="3585" t="s">
        <v>3722</v>
      </c>
      <c r="AC9" s="3585"/>
      <c r="AD9" s="3585" t="s">
        <v>3660</v>
      </c>
      <c r="AE9" s="3585" t="s">
        <v>3660</v>
      </c>
      <c r="AF9" s="3585" t="s">
        <v>3723</v>
      </c>
      <c r="AG9" s="3585"/>
      <c r="AH9" s="3585"/>
      <c r="AI9" s="3585"/>
      <c r="AJ9" s="3585"/>
      <c r="AK9" s="3585"/>
      <c r="AL9" s="3585"/>
      <c r="AM9" s="3585"/>
      <c r="AN9" s="3585"/>
      <c r="AO9" s="3585" t="s">
        <v>3724</v>
      </c>
      <c r="AP9" s="3585" t="s">
        <v>3717</v>
      </c>
      <c r="AQ9" s="3585"/>
      <c r="AR9" s="3585"/>
      <c r="AS9" s="3585"/>
      <c r="AT9" s="3585"/>
      <c r="AU9" s="3585"/>
      <c r="AV9" s="3585"/>
      <c r="AW9" s="3586" t="s">
        <v>3525</v>
      </c>
      <c r="AY9" s="3579">
        <v>11</v>
      </c>
    </row>
    <row r="10" spans="1:51" s="3579" customFormat="1" ht="12" hidden="1">
      <c r="A10" s="3584" t="s">
        <v>3526</v>
      </c>
      <c r="B10" s="3584">
        <v>38.200000000000003</v>
      </c>
      <c r="C10" s="3584" t="s">
        <v>3428</v>
      </c>
      <c r="D10" s="3584" t="s">
        <v>3420</v>
      </c>
      <c r="E10" s="3584" t="s">
        <v>633</v>
      </c>
      <c r="F10" s="3584" t="s">
        <v>3412</v>
      </c>
      <c r="G10" s="3584">
        <v>1000000</v>
      </c>
      <c r="H10" s="3584">
        <v>26178</v>
      </c>
      <c r="I10" s="3584">
        <v>151.5</v>
      </c>
      <c r="J10" s="3584">
        <v>1515000</v>
      </c>
      <c r="K10" s="3584" t="s">
        <v>3726</v>
      </c>
      <c r="L10" s="3584">
        <v>0.2</v>
      </c>
      <c r="M10" s="3584">
        <v>121.2</v>
      </c>
      <c r="N10" s="3584">
        <v>1212000</v>
      </c>
      <c r="O10" s="3584" t="s">
        <v>3651</v>
      </c>
      <c r="P10" s="3584" t="s">
        <v>3704</v>
      </c>
      <c r="Q10" s="3584" t="s">
        <v>3704</v>
      </c>
      <c r="R10" s="3584">
        <v>1500</v>
      </c>
      <c r="S10" s="3584" t="s">
        <v>3654</v>
      </c>
      <c r="T10" s="3584" t="s">
        <v>3727</v>
      </c>
      <c r="U10" s="3584" t="s">
        <v>3656</v>
      </c>
      <c r="V10" s="3584"/>
      <c r="W10" s="3584" t="s">
        <v>3657</v>
      </c>
      <c r="X10" s="3585" t="s">
        <v>3728</v>
      </c>
      <c r="Y10" s="3585" t="s">
        <v>3529</v>
      </c>
      <c r="Z10" s="3585" t="s">
        <v>3527</v>
      </c>
      <c r="AA10" s="3585"/>
      <c r="AB10" s="3585" t="s">
        <v>3729</v>
      </c>
      <c r="AC10" s="3585"/>
      <c r="AD10" s="3585" t="s">
        <v>3660</v>
      </c>
      <c r="AE10" s="3585" t="s">
        <v>3660</v>
      </c>
      <c r="AF10" s="3585" t="s">
        <v>3723</v>
      </c>
      <c r="AG10" s="3585"/>
      <c r="AH10" s="3585"/>
      <c r="AI10" s="3585"/>
      <c r="AJ10" s="3585"/>
      <c r="AK10" s="3585"/>
      <c r="AL10" s="3585"/>
      <c r="AM10" s="3585"/>
      <c r="AN10" s="3585"/>
      <c r="AO10" s="3585" t="s">
        <v>3730</v>
      </c>
      <c r="AP10" s="3585" t="s">
        <v>3725</v>
      </c>
      <c r="AQ10" s="3585"/>
      <c r="AR10" s="3585"/>
      <c r="AS10" s="3585"/>
      <c r="AT10" s="3585"/>
      <c r="AU10" s="3585"/>
      <c r="AV10" s="3585"/>
      <c r="AW10" s="3586" t="s">
        <v>3527</v>
      </c>
      <c r="AY10" s="3579">
        <v>12</v>
      </c>
    </row>
    <row r="11" spans="1:51" s="3579" customFormat="1" ht="12" hidden="1">
      <c r="A11" s="3584" t="s">
        <v>3528</v>
      </c>
      <c r="B11" s="3584">
        <v>37.99</v>
      </c>
      <c r="C11" s="3584" t="s">
        <v>3517</v>
      </c>
      <c r="D11" s="3584" t="s">
        <v>3420</v>
      </c>
      <c r="E11" s="3584" t="s">
        <v>633</v>
      </c>
      <c r="F11" s="3584" t="s">
        <v>3412</v>
      </c>
      <c r="G11" s="3584">
        <v>1250000</v>
      </c>
      <c r="H11" s="3584">
        <v>32903</v>
      </c>
      <c r="I11" s="3584">
        <v>152.43</v>
      </c>
      <c r="J11" s="3584">
        <v>1524300</v>
      </c>
      <c r="K11" s="3584" t="s">
        <v>3732</v>
      </c>
      <c r="L11" s="3584">
        <v>0.2</v>
      </c>
      <c r="M11" s="3584">
        <v>121.94</v>
      </c>
      <c r="N11" s="3584">
        <v>1219400</v>
      </c>
      <c r="O11" s="3584" t="s">
        <v>3651</v>
      </c>
      <c r="P11" s="3584" t="s">
        <v>3704</v>
      </c>
      <c r="Q11" s="3584" t="s">
        <v>3733</v>
      </c>
      <c r="R11" s="3584">
        <v>1500</v>
      </c>
      <c r="S11" s="3584" t="s">
        <v>3654</v>
      </c>
      <c r="T11" s="3584" t="s">
        <v>3734</v>
      </c>
      <c r="U11" s="3584" t="s">
        <v>3669</v>
      </c>
      <c r="V11" s="3584"/>
      <c r="W11" s="3584" t="s">
        <v>3657</v>
      </c>
      <c r="X11" s="3585" t="s">
        <v>3735</v>
      </c>
      <c r="Y11" s="3585" t="s">
        <v>3736</v>
      </c>
      <c r="Z11" s="3585" t="s">
        <v>3529</v>
      </c>
      <c r="AA11" s="3585"/>
      <c r="AB11" s="3585" t="s">
        <v>3737</v>
      </c>
      <c r="AC11" s="3585"/>
      <c r="AD11" s="3585" t="s">
        <v>3660</v>
      </c>
      <c r="AE11" s="3585" t="s">
        <v>3660</v>
      </c>
      <c r="AF11" s="3585" t="s">
        <v>3738</v>
      </c>
      <c r="AG11" s="3585"/>
      <c r="AH11" s="3585"/>
      <c r="AI11" s="3585"/>
      <c r="AJ11" s="3585"/>
      <c r="AK11" s="3585"/>
      <c r="AL11" s="3585"/>
      <c r="AM11" s="3585"/>
      <c r="AN11" s="3585"/>
      <c r="AO11" s="3585" t="s">
        <v>3739</v>
      </c>
      <c r="AP11" s="3585" t="s">
        <v>3731</v>
      </c>
      <c r="AQ11" s="3585"/>
      <c r="AR11" s="3585"/>
      <c r="AS11" s="3585"/>
      <c r="AT11" s="3585"/>
      <c r="AU11" s="3585"/>
      <c r="AV11" s="3585"/>
      <c r="AW11" s="3586" t="s">
        <v>3529</v>
      </c>
    </row>
    <row r="12" spans="1:51" s="3579" customFormat="1" ht="12">
      <c r="A12" s="3584" t="s">
        <v>3530</v>
      </c>
      <c r="B12" s="3584">
        <v>111.75</v>
      </c>
      <c r="C12" s="3584" t="s">
        <v>3531</v>
      </c>
      <c r="D12" s="3584" t="s">
        <v>3411</v>
      </c>
      <c r="E12" s="3584" t="s">
        <v>3444</v>
      </c>
      <c r="F12" s="3584" t="s">
        <v>3412</v>
      </c>
      <c r="G12" s="3584">
        <v>2460000</v>
      </c>
      <c r="H12" s="3584">
        <v>22013</v>
      </c>
      <c r="I12" s="3584">
        <v>352.54</v>
      </c>
      <c r="J12" s="3584">
        <v>3525400</v>
      </c>
      <c r="K12" s="3584" t="s">
        <v>3741</v>
      </c>
      <c r="L12" s="3584">
        <v>0.2</v>
      </c>
      <c r="M12" s="3584">
        <v>282.02999999999997</v>
      </c>
      <c r="N12" s="3584">
        <v>2820299.9999999995</v>
      </c>
      <c r="O12" s="3584" t="s">
        <v>3651</v>
      </c>
      <c r="P12" s="3584" t="s">
        <v>3704</v>
      </c>
      <c r="Q12" s="3584" t="s">
        <v>3742</v>
      </c>
      <c r="R12" s="3584">
        <v>1500</v>
      </c>
      <c r="S12" s="3584" t="s">
        <v>3654</v>
      </c>
      <c r="T12" s="3584" t="s">
        <v>3743</v>
      </c>
      <c r="U12" s="3584" t="s">
        <v>3669</v>
      </c>
      <c r="V12" s="3584"/>
      <c r="W12" s="3584" t="s">
        <v>3657</v>
      </c>
      <c r="X12" s="3585" t="s">
        <v>3744</v>
      </c>
      <c r="Y12" s="3585" t="s">
        <v>3745</v>
      </c>
      <c r="Z12" s="3585" t="s">
        <v>3532</v>
      </c>
      <c r="AA12" s="3585"/>
      <c r="AB12" s="3585" t="s">
        <v>3684</v>
      </c>
      <c r="AC12" s="3585"/>
      <c r="AD12" s="3585" t="s">
        <v>3660</v>
      </c>
      <c r="AE12" s="3585" t="s">
        <v>3660</v>
      </c>
      <c r="AF12" s="3585" t="s">
        <v>3746</v>
      </c>
      <c r="AG12" s="3585"/>
      <c r="AH12" s="3585"/>
      <c r="AI12" s="3585"/>
      <c r="AJ12" s="3585"/>
      <c r="AK12" s="3585"/>
      <c r="AL12" s="3585"/>
      <c r="AM12" s="3585"/>
      <c r="AN12" s="3585"/>
      <c r="AO12" s="3585" t="s">
        <v>3747</v>
      </c>
      <c r="AP12" s="3585" t="s">
        <v>3740</v>
      </c>
      <c r="AQ12" s="3585"/>
      <c r="AR12" s="3585"/>
      <c r="AS12" s="3585"/>
      <c r="AT12" s="3585"/>
      <c r="AU12" s="3585"/>
      <c r="AV12" s="3585"/>
      <c r="AW12" s="3586" t="s">
        <v>3532</v>
      </c>
    </row>
    <row r="13" spans="1:51" s="3579" customFormat="1" ht="12" hidden="1">
      <c r="A13" s="3584" t="s">
        <v>3533</v>
      </c>
      <c r="B13" s="3584">
        <v>59</v>
      </c>
      <c r="C13" s="3584" t="s">
        <v>3520</v>
      </c>
      <c r="D13" s="3584" t="s">
        <v>3411</v>
      </c>
      <c r="E13" s="3584" t="s">
        <v>633</v>
      </c>
      <c r="F13" s="3584" t="s">
        <v>3412</v>
      </c>
      <c r="G13" s="3584">
        <v>1120000</v>
      </c>
      <c r="H13" s="3584">
        <v>18983</v>
      </c>
      <c r="I13" s="3584">
        <v>233.39</v>
      </c>
      <c r="J13" s="3584">
        <v>2333900</v>
      </c>
      <c r="K13" s="3584" t="s">
        <v>3749</v>
      </c>
      <c r="L13" s="3584">
        <v>0.2</v>
      </c>
      <c r="M13" s="3584">
        <v>186.71</v>
      </c>
      <c r="N13" s="3584">
        <v>1867100</v>
      </c>
      <c r="O13" s="3584" t="s">
        <v>3651</v>
      </c>
      <c r="P13" s="3584" t="s">
        <v>3750</v>
      </c>
      <c r="Q13" s="3584" t="s">
        <v>3652</v>
      </c>
      <c r="R13" s="3584">
        <v>1500</v>
      </c>
      <c r="S13" s="3584" t="s">
        <v>3654</v>
      </c>
      <c r="T13" s="3584" t="s">
        <v>3751</v>
      </c>
      <c r="U13" s="3584" t="s">
        <v>3656</v>
      </c>
      <c r="V13" s="3584"/>
      <c r="W13" s="3584" t="s">
        <v>3657</v>
      </c>
      <c r="X13" s="3585" t="s">
        <v>3752</v>
      </c>
      <c r="Y13" s="3585" t="s">
        <v>3529</v>
      </c>
      <c r="Z13" s="3585" t="s">
        <v>3534</v>
      </c>
      <c r="AA13" s="3585"/>
      <c r="AB13" s="3585" t="s">
        <v>3722</v>
      </c>
      <c r="AC13" s="3585"/>
      <c r="AD13" s="3585" t="s">
        <v>3660</v>
      </c>
      <c r="AE13" s="3585" t="s">
        <v>3660</v>
      </c>
      <c r="AF13" s="3585" t="s">
        <v>3753</v>
      </c>
      <c r="AG13" s="3585"/>
      <c r="AH13" s="3585"/>
      <c r="AI13" s="3585"/>
      <c r="AJ13" s="3585"/>
      <c r="AK13" s="3585"/>
      <c r="AL13" s="3585"/>
      <c r="AM13" s="3585"/>
      <c r="AN13" s="3585"/>
      <c r="AO13" s="3585" t="s">
        <v>3754</v>
      </c>
      <c r="AP13" s="3585" t="s">
        <v>3748</v>
      </c>
      <c r="AQ13" s="3585"/>
      <c r="AR13" s="3585"/>
      <c r="AS13" s="3585"/>
      <c r="AT13" s="3585"/>
      <c r="AU13" s="3585"/>
      <c r="AV13" s="3585"/>
      <c r="AW13" s="3586" t="s">
        <v>3534</v>
      </c>
    </row>
    <row r="14" spans="1:51" s="3579" customFormat="1" ht="12">
      <c r="A14" s="3584" t="s">
        <v>3535</v>
      </c>
      <c r="B14" s="3584">
        <v>93.89</v>
      </c>
      <c r="C14" s="3584" t="s">
        <v>3419</v>
      </c>
      <c r="D14" s="3584" t="s">
        <v>3411</v>
      </c>
      <c r="E14" s="3584" t="s">
        <v>3755</v>
      </c>
      <c r="F14" s="3584" t="s">
        <v>3412</v>
      </c>
      <c r="G14" s="3584">
        <v>2100000</v>
      </c>
      <c r="H14" s="3584">
        <v>22367</v>
      </c>
      <c r="I14" s="3584">
        <v>404.14</v>
      </c>
      <c r="J14" s="3584">
        <v>4041400</v>
      </c>
      <c r="K14" s="3584" t="s">
        <v>3756</v>
      </c>
      <c r="L14" s="3584">
        <v>0.2</v>
      </c>
      <c r="M14" s="3584">
        <v>323.31</v>
      </c>
      <c r="N14" s="3584">
        <v>3233100</v>
      </c>
      <c r="O14" s="3584" t="s">
        <v>3651</v>
      </c>
      <c r="P14" s="3584" t="s">
        <v>3750</v>
      </c>
      <c r="Q14" s="3584" t="s">
        <v>3566</v>
      </c>
      <c r="R14" s="3584">
        <v>1500</v>
      </c>
      <c r="S14" s="3584" t="s">
        <v>3654</v>
      </c>
      <c r="T14" s="3584" t="s">
        <v>3757</v>
      </c>
      <c r="U14" s="3584" t="s">
        <v>3669</v>
      </c>
      <c r="V14" s="3584"/>
      <c r="W14" s="3584" t="s">
        <v>3657</v>
      </c>
      <c r="X14" s="3585" t="s">
        <v>3758</v>
      </c>
      <c r="Y14" s="3585" t="s">
        <v>3759</v>
      </c>
      <c r="Z14" s="3585" t="s">
        <v>3536</v>
      </c>
      <c r="AA14" s="3585"/>
      <c r="AB14" s="3585" t="s">
        <v>3760</v>
      </c>
      <c r="AC14" s="3585"/>
      <c r="AD14" s="3585" t="s">
        <v>3660</v>
      </c>
      <c r="AE14" s="3585" t="s">
        <v>3660</v>
      </c>
      <c r="AF14" s="3585" t="s">
        <v>3693</v>
      </c>
      <c r="AG14" s="3585"/>
      <c r="AH14" s="3585"/>
      <c r="AI14" s="3585"/>
      <c r="AJ14" s="3585"/>
      <c r="AK14" s="3585"/>
      <c r="AL14" s="3585"/>
      <c r="AM14" s="3585"/>
      <c r="AN14" s="3585"/>
      <c r="AO14" s="3585" t="s">
        <v>3761</v>
      </c>
      <c r="AP14" s="3585" t="s">
        <v>3762</v>
      </c>
      <c r="AQ14" s="3585"/>
      <c r="AR14" s="3585"/>
      <c r="AS14" s="3585"/>
      <c r="AT14" s="3585"/>
      <c r="AU14" s="3585"/>
      <c r="AV14" s="3585"/>
      <c r="AW14" s="3586" t="s">
        <v>3536</v>
      </c>
    </row>
    <row r="15" spans="1:51" s="3579" customFormat="1" ht="12" hidden="1">
      <c r="A15" s="3584" t="s">
        <v>3537</v>
      </c>
      <c r="B15" s="3584">
        <v>41.56</v>
      </c>
      <c r="C15" s="3584" t="s">
        <v>3466</v>
      </c>
      <c r="D15" s="3584" t="s">
        <v>3420</v>
      </c>
      <c r="E15" s="3584" t="s">
        <v>633</v>
      </c>
      <c r="F15" s="3584" t="s">
        <v>3412</v>
      </c>
      <c r="G15" s="3584">
        <v>1500000</v>
      </c>
      <c r="H15" s="3584">
        <v>36092</v>
      </c>
      <c r="I15" s="3584">
        <v>183.18</v>
      </c>
      <c r="J15" s="3584">
        <v>1831800</v>
      </c>
      <c r="K15" s="3584" t="s">
        <v>3764</v>
      </c>
      <c r="L15" s="3584">
        <v>0.2</v>
      </c>
      <c r="M15" s="3584">
        <v>146.54</v>
      </c>
      <c r="N15" s="3584">
        <v>1465400</v>
      </c>
      <c r="O15" s="3584" t="s">
        <v>3651</v>
      </c>
      <c r="P15" s="3584" t="s">
        <v>3765</v>
      </c>
      <c r="Q15" s="3584" t="s">
        <v>3742</v>
      </c>
      <c r="R15" s="3584">
        <v>1500</v>
      </c>
      <c r="S15" s="3584" t="s">
        <v>3654</v>
      </c>
      <c r="T15" s="3584" t="s">
        <v>3766</v>
      </c>
      <c r="U15" s="3584" t="s">
        <v>3767</v>
      </c>
      <c r="V15" s="3584"/>
      <c r="W15" s="3584" t="s">
        <v>3657</v>
      </c>
      <c r="X15" s="3585" t="s">
        <v>3768</v>
      </c>
      <c r="Y15" s="3585" t="s">
        <v>3769</v>
      </c>
      <c r="Z15" s="3585" t="s">
        <v>3538</v>
      </c>
      <c r="AA15" s="3585"/>
      <c r="AB15" s="3585" t="s">
        <v>3450</v>
      </c>
      <c r="AC15" s="3585"/>
      <c r="AD15" s="3585" t="s">
        <v>3660</v>
      </c>
      <c r="AE15" s="3585" t="s">
        <v>3660</v>
      </c>
      <c r="AF15" s="3585" t="s">
        <v>3715</v>
      </c>
      <c r="AG15" s="3585"/>
      <c r="AH15" s="3585"/>
      <c r="AI15" s="3585"/>
      <c r="AJ15" s="3585"/>
      <c r="AK15" s="3585"/>
      <c r="AL15" s="3585"/>
      <c r="AM15" s="3585"/>
      <c r="AN15" s="3585"/>
      <c r="AO15" s="3585" t="s">
        <v>3770</v>
      </c>
      <c r="AP15" s="3585" t="s">
        <v>3763</v>
      </c>
      <c r="AQ15" s="3585"/>
      <c r="AR15" s="3585"/>
      <c r="AS15" s="3585"/>
      <c r="AT15" s="3585"/>
      <c r="AU15" s="3585"/>
      <c r="AV15" s="3585"/>
      <c r="AW15" s="3586" t="s">
        <v>3538</v>
      </c>
    </row>
    <row r="16" spans="1:51" s="3579" customFormat="1" ht="12">
      <c r="A16" s="3584" t="s">
        <v>3771</v>
      </c>
      <c r="B16" s="3584">
        <v>54.93</v>
      </c>
      <c r="C16" s="3584" t="s">
        <v>3539</v>
      </c>
      <c r="D16" s="3584" t="s">
        <v>3411</v>
      </c>
      <c r="E16" s="3584" t="s">
        <v>633</v>
      </c>
      <c r="F16" s="3584" t="s">
        <v>3412</v>
      </c>
      <c r="G16" s="3584">
        <v>1500000</v>
      </c>
      <c r="H16" s="3584">
        <v>27307</v>
      </c>
      <c r="I16" s="3584">
        <v>269.57</v>
      </c>
      <c r="J16" s="3584">
        <v>2695700</v>
      </c>
      <c r="K16" s="3584" t="s">
        <v>3773</v>
      </c>
      <c r="L16" s="3584">
        <v>0.2</v>
      </c>
      <c r="M16" s="3584">
        <v>215.65</v>
      </c>
      <c r="N16" s="3584">
        <v>2156500</v>
      </c>
      <c r="O16" s="3584" t="s">
        <v>3651</v>
      </c>
      <c r="P16" s="3584" t="s">
        <v>3765</v>
      </c>
      <c r="Q16" s="3584" t="s">
        <v>3774</v>
      </c>
      <c r="R16" s="3584">
        <v>1500</v>
      </c>
      <c r="S16" s="3584" t="s">
        <v>3654</v>
      </c>
      <c r="T16" s="3584" t="s">
        <v>3775</v>
      </c>
      <c r="U16" s="3584" t="s">
        <v>3767</v>
      </c>
      <c r="V16" s="3584"/>
      <c r="W16" s="3584" t="s">
        <v>3657</v>
      </c>
      <c r="X16" s="3585" t="s">
        <v>3776</v>
      </c>
      <c r="Y16" s="3585" t="s">
        <v>3777</v>
      </c>
      <c r="Z16" s="3585" t="s">
        <v>3540</v>
      </c>
      <c r="AA16" s="3585"/>
      <c r="AB16" s="3585" t="s">
        <v>3778</v>
      </c>
      <c r="AC16" s="3585"/>
      <c r="AD16" s="3585" t="s">
        <v>3660</v>
      </c>
      <c r="AE16" s="3585" t="s">
        <v>3660</v>
      </c>
      <c r="AF16" s="3585" t="s">
        <v>3707</v>
      </c>
      <c r="AG16" s="3585"/>
      <c r="AH16" s="3585"/>
      <c r="AI16" s="3585"/>
      <c r="AJ16" s="3585"/>
      <c r="AK16" s="3585"/>
      <c r="AL16" s="3585"/>
      <c r="AM16" s="3585"/>
      <c r="AN16" s="3585"/>
      <c r="AO16" s="3585" t="s">
        <v>3779</v>
      </c>
      <c r="AP16" s="3585" t="s">
        <v>3772</v>
      </c>
      <c r="AQ16" s="3585"/>
      <c r="AR16" s="3585"/>
      <c r="AS16" s="3585"/>
      <c r="AT16" s="3585"/>
      <c r="AU16" s="3585"/>
      <c r="AV16" s="3585"/>
      <c r="AW16" s="3586" t="s">
        <v>3540</v>
      </c>
    </row>
    <row r="17" spans="1:51" s="3579" customFormat="1" ht="12" hidden="1">
      <c r="A17" s="3584" t="s">
        <v>3541</v>
      </c>
      <c r="B17" s="3584">
        <v>57.62</v>
      </c>
      <c r="C17" s="3584" t="s">
        <v>3423</v>
      </c>
      <c r="D17" s="3584" t="s">
        <v>3411</v>
      </c>
      <c r="E17" s="3584" t="s">
        <v>633</v>
      </c>
      <c r="F17" s="3584" t="s">
        <v>3412</v>
      </c>
      <c r="G17" s="3584">
        <v>1500000</v>
      </c>
      <c r="H17" s="3584">
        <v>26033</v>
      </c>
      <c r="I17" s="3584">
        <v>253.41</v>
      </c>
      <c r="J17" s="3584">
        <v>2534100</v>
      </c>
      <c r="K17" s="3584" t="s">
        <v>3781</v>
      </c>
      <c r="L17" s="3584">
        <v>0.2</v>
      </c>
      <c r="M17" s="3584">
        <v>202.72</v>
      </c>
      <c r="N17" s="3584">
        <v>2027200</v>
      </c>
      <c r="O17" s="3584" t="s">
        <v>3651</v>
      </c>
      <c r="P17" s="3584" t="s">
        <v>3765</v>
      </c>
      <c r="Q17" s="3584" t="s">
        <v>3782</v>
      </c>
      <c r="R17" s="3584">
        <v>1500</v>
      </c>
      <c r="S17" s="3584" t="s">
        <v>3654</v>
      </c>
      <c r="T17" s="3584" t="s">
        <v>3783</v>
      </c>
      <c r="U17" s="3584" t="s">
        <v>3669</v>
      </c>
      <c r="V17" s="3584"/>
      <c r="W17" s="3584" t="s">
        <v>3657</v>
      </c>
      <c r="X17" s="3585" t="s">
        <v>3784</v>
      </c>
      <c r="Y17" s="3585" t="s">
        <v>3785</v>
      </c>
      <c r="Z17" s="3585" t="s">
        <v>3542</v>
      </c>
      <c r="AA17" s="3585"/>
      <c r="AB17" s="3585" t="s">
        <v>3737</v>
      </c>
      <c r="AC17" s="3585"/>
      <c r="AD17" s="3585" t="s">
        <v>3660</v>
      </c>
      <c r="AE17" s="3585" t="s">
        <v>3660</v>
      </c>
      <c r="AF17" s="3585" t="s">
        <v>3786</v>
      </c>
      <c r="AG17" s="3585"/>
      <c r="AH17" s="3585"/>
      <c r="AI17" s="3585"/>
      <c r="AJ17" s="3585"/>
      <c r="AK17" s="3585"/>
      <c r="AL17" s="3585"/>
      <c r="AM17" s="3585"/>
      <c r="AN17" s="3585"/>
      <c r="AO17" s="3585" t="s">
        <v>3787</v>
      </c>
      <c r="AP17" s="3585" t="s">
        <v>3780</v>
      </c>
      <c r="AQ17" s="3585"/>
      <c r="AR17" s="3585"/>
      <c r="AS17" s="3585"/>
      <c r="AT17" s="3585"/>
      <c r="AU17" s="3585"/>
      <c r="AV17" s="3585"/>
      <c r="AW17" s="3586" t="s">
        <v>3542</v>
      </c>
    </row>
    <row r="18" spans="1:51" s="3579" customFormat="1" ht="12" hidden="1">
      <c r="A18" s="3584" t="s">
        <v>3543</v>
      </c>
      <c r="B18" s="3584">
        <v>79</v>
      </c>
      <c r="C18" s="3584" t="s">
        <v>3423</v>
      </c>
      <c r="D18" s="3584" t="s">
        <v>3416</v>
      </c>
      <c r="E18" s="3584" t="s">
        <v>633</v>
      </c>
      <c r="F18" s="3584" t="s">
        <v>3412</v>
      </c>
      <c r="G18" s="3584">
        <v>1600000</v>
      </c>
      <c r="H18" s="3584">
        <v>20253</v>
      </c>
      <c r="I18" s="3584">
        <v>316.02</v>
      </c>
      <c r="J18" s="3584">
        <v>3160200</v>
      </c>
      <c r="K18" s="3584" t="s">
        <v>3789</v>
      </c>
      <c r="L18" s="3584">
        <v>0.2</v>
      </c>
      <c r="M18" s="3584">
        <v>252.81</v>
      </c>
      <c r="N18" s="3584">
        <v>2528100</v>
      </c>
      <c r="O18" s="3584" t="s">
        <v>3651</v>
      </c>
      <c r="P18" s="3584" t="s">
        <v>3765</v>
      </c>
      <c r="Q18" s="3584" t="s">
        <v>3688</v>
      </c>
      <c r="R18" s="3584">
        <v>1500</v>
      </c>
      <c r="S18" s="3584" t="s">
        <v>3654</v>
      </c>
      <c r="T18" s="3584" t="s">
        <v>3790</v>
      </c>
      <c r="U18" s="3584" t="s">
        <v>3669</v>
      </c>
      <c r="V18" s="3584"/>
      <c r="W18" s="3584" t="s">
        <v>3657</v>
      </c>
      <c r="X18" s="3585" t="s">
        <v>3791</v>
      </c>
      <c r="Y18" s="3585" t="s">
        <v>3792</v>
      </c>
      <c r="Z18" s="3585" t="s">
        <v>3544</v>
      </c>
      <c r="AA18" s="3585"/>
      <c r="AB18" s="3585" t="s">
        <v>3729</v>
      </c>
      <c r="AC18" s="3585"/>
      <c r="AD18" s="3585" t="s">
        <v>3660</v>
      </c>
      <c r="AE18" s="3585" t="s">
        <v>3660</v>
      </c>
      <c r="AF18" s="3585" t="s">
        <v>3793</v>
      </c>
      <c r="AG18" s="3585"/>
      <c r="AH18" s="3585"/>
      <c r="AI18" s="3585"/>
      <c r="AJ18" s="3585"/>
      <c r="AK18" s="3585"/>
      <c r="AL18" s="3585"/>
      <c r="AM18" s="3585"/>
      <c r="AN18" s="3585"/>
      <c r="AO18" s="3585" t="s">
        <v>3794</v>
      </c>
      <c r="AP18" s="3585" t="s">
        <v>3788</v>
      </c>
      <c r="AQ18" s="3585"/>
      <c r="AR18" s="3585"/>
      <c r="AS18" s="3585"/>
      <c r="AT18" s="3585"/>
      <c r="AU18" s="3585"/>
      <c r="AV18" s="3585"/>
      <c r="AW18" s="3586" t="s">
        <v>3544</v>
      </c>
    </row>
    <row r="19" spans="1:51" s="3579" customFormat="1" ht="12">
      <c r="A19" s="3584" t="s">
        <v>3545</v>
      </c>
      <c r="B19" s="3584">
        <v>75.260000000000005</v>
      </c>
      <c r="C19" s="3584" t="s">
        <v>3466</v>
      </c>
      <c r="D19" s="3584" t="s">
        <v>3416</v>
      </c>
      <c r="E19" s="3584" t="s">
        <v>633</v>
      </c>
      <c r="F19" s="3584" t="s">
        <v>3412</v>
      </c>
      <c r="G19" s="3584">
        <v>1730000</v>
      </c>
      <c r="H19" s="3584">
        <v>22987</v>
      </c>
      <c r="I19" s="3584">
        <v>330</v>
      </c>
      <c r="J19" s="3584">
        <v>3300000</v>
      </c>
      <c r="K19" s="3584" t="s">
        <v>3795</v>
      </c>
      <c r="L19" s="3584">
        <v>0.2</v>
      </c>
      <c r="M19" s="3584">
        <v>264</v>
      </c>
      <c r="N19" s="3584">
        <v>2640000</v>
      </c>
      <c r="O19" s="3584" t="s">
        <v>3651</v>
      </c>
      <c r="P19" s="3584" t="s">
        <v>3410</v>
      </c>
      <c r="Q19" s="3584" t="s">
        <v>3774</v>
      </c>
      <c r="R19" s="3584">
        <v>600</v>
      </c>
      <c r="S19" s="3584" t="s">
        <v>3654</v>
      </c>
      <c r="T19" s="3584" t="s">
        <v>3796</v>
      </c>
      <c r="U19" s="3584" t="s">
        <v>3767</v>
      </c>
      <c r="V19" s="3584"/>
      <c r="W19" s="3584" t="s">
        <v>3657</v>
      </c>
      <c r="X19" s="3585" t="s">
        <v>3797</v>
      </c>
      <c r="Y19" s="3585">
        <v>42627</v>
      </c>
      <c r="Z19" s="3585" t="s">
        <v>3546</v>
      </c>
      <c r="AA19" s="3585"/>
      <c r="AB19" s="3585" t="s">
        <v>3778</v>
      </c>
      <c r="AC19" s="3585"/>
      <c r="AD19" s="3585" t="s">
        <v>3660</v>
      </c>
      <c r="AE19" s="3585" t="s">
        <v>3660</v>
      </c>
      <c r="AF19" s="3585" t="s">
        <v>3798</v>
      </c>
      <c r="AG19" s="3585"/>
      <c r="AH19" s="3585"/>
      <c r="AI19" s="3585"/>
      <c r="AJ19" s="3585"/>
      <c r="AK19" s="3585"/>
      <c r="AL19" s="3585"/>
      <c r="AM19" s="3585"/>
      <c r="AN19" s="3585"/>
      <c r="AO19" s="3585" t="s">
        <v>3799</v>
      </c>
      <c r="AP19" s="3585" t="s">
        <v>3800</v>
      </c>
      <c r="AQ19" s="3585"/>
      <c r="AR19" s="3585"/>
      <c r="AS19" s="3585"/>
      <c r="AT19" s="3585"/>
      <c r="AU19" s="3585"/>
      <c r="AV19" s="3585"/>
      <c r="AW19" s="3586" t="s">
        <v>3546</v>
      </c>
    </row>
    <row r="20" spans="1:51" s="3579" customFormat="1" ht="12">
      <c r="A20" s="3584" t="s">
        <v>3547</v>
      </c>
      <c r="B20" s="3584" t="s">
        <v>3548</v>
      </c>
      <c r="C20" s="3584" t="s">
        <v>3423</v>
      </c>
      <c r="D20" s="3584" t="s">
        <v>3549</v>
      </c>
      <c r="E20" s="3584" t="s">
        <v>633</v>
      </c>
      <c r="F20" s="3584" t="s">
        <v>3412</v>
      </c>
      <c r="G20" s="3584" t="s">
        <v>3550</v>
      </c>
      <c r="H20" s="3584">
        <v>20080</v>
      </c>
      <c r="I20" s="3584" t="s">
        <v>3801</v>
      </c>
      <c r="J20" s="3584">
        <v>4014300</v>
      </c>
      <c r="K20" s="3584" t="s">
        <v>3802</v>
      </c>
      <c r="L20" s="3584">
        <v>0.2</v>
      </c>
      <c r="M20" s="3584">
        <v>321.14</v>
      </c>
      <c r="N20" s="3584">
        <v>3211400</v>
      </c>
      <c r="O20" s="3584" t="s">
        <v>3651</v>
      </c>
      <c r="P20" s="3584" t="s">
        <v>3566</v>
      </c>
      <c r="Q20" s="3584" t="s">
        <v>3410</v>
      </c>
      <c r="R20" s="3584" t="s">
        <v>3803</v>
      </c>
      <c r="S20" s="3584" t="s">
        <v>3654</v>
      </c>
      <c r="T20" s="3584" t="s">
        <v>3804</v>
      </c>
      <c r="U20" s="3584" t="s">
        <v>3767</v>
      </c>
      <c r="V20" s="3584"/>
      <c r="W20" s="3584" t="s">
        <v>3657</v>
      </c>
      <c r="X20" s="3585" t="s">
        <v>3805</v>
      </c>
      <c r="Y20" s="3585" t="s">
        <v>3806</v>
      </c>
      <c r="Z20" s="3585" t="s">
        <v>3551</v>
      </c>
      <c r="AA20" s="3585"/>
      <c r="AB20" s="3585" t="s">
        <v>3659</v>
      </c>
      <c r="AC20" s="3585"/>
      <c r="AD20" s="3585" t="s">
        <v>3660</v>
      </c>
      <c r="AE20" s="3585" t="s">
        <v>3660</v>
      </c>
      <c r="AF20" s="3585" t="s">
        <v>3798</v>
      </c>
      <c r="AG20" s="3585"/>
      <c r="AH20" s="3585"/>
      <c r="AI20" s="3585"/>
      <c r="AJ20" s="3585"/>
      <c r="AK20" s="3585"/>
      <c r="AL20" s="3585"/>
      <c r="AM20" s="3585"/>
      <c r="AN20" s="3585"/>
      <c r="AO20" s="3585" t="s">
        <v>3807</v>
      </c>
      <c r="AP20" s="3585" t="s">
        <v>3808</v>
      </c>
      <c r="AQ20" s="3585"/>
      <c r="AR20" s="3585"/>
      <c r="AS20" s="3585"/>
      <c r="AT20" s="3585"/>
      <c r="AU20" s="3585"/>
      <c r="AV20" s="3585"/>
      <c r="AW20" s="3586" t="s">
        <v>3551</v>
      </c>
    </row>
    <row r="21" spans="1:51" s="3579" customFormat="1" ht="12" hidden="1">
      <c r="A21" s="3584" t="s">
        <v>3552</v>
      </c>
      <c r="B21" s="3584" t="s">
        <v>3553</v>
      </c>
      <c r="C21" s="3584" t="s">
        <v>3539</v>
      </c>
      <c r="D21" s="3584" t="s">
        <v>3411</v>
      </c>
      <c r="E21" s="3584" t="s">
        <v>3809</v>
      </c>
      <c r="F21" s="3584" t="s">
        <v>3412</v>
      </c>
      <c r="G21" s="3584" t="s">
        <v>3554</v>
      </c>
      <c r="H21" s="3584">
        <v>18997</v>
      </c>
      <c r="I21" s="3584" t="s">
        <v>3810</v>
      </c>
      <c r="J21" s="3584">
        <v>3677300</v>
      </c>
      <c r="K21" s="3584" t="s">
        <v>3811</v>
      </c>
      <c r="L21" s="3584">
        <v>0.2</v>
      </c>
      <c r="M21" s="3584">
        <v>294.18</v>
      </c>
      <c r="N21" s="3584">
        <v>2941800</v>
      </c>
      <c r="O21" s="3584" t="s">
        <v>3651</v>
      </c>
      <c r="P21" s="3584" t="s">
        <v>3566</v>
      </c>
      <c r="Q21" s="3584" t="s">
        <v>3765</v>
      </c>
      <c r="R21" s="3584" t="s">
        <v>3812</v>
      </c>
      <c r="S21" s="3584" t="s">
        <v>3654</v>
      </c>
      <c r="T21" s="3584" t="s">
        <v>3813</v>
      </c>
      <c r="U21" s="3584" t="s">
        <v>3767</v>
      </c>
      <c r="V21" s="3584"/>
      <c r="W21" s="3584" t="s">
        <v>3657</v>
      </c>
      <c r="X21" s="3585" t="s">
        <v>3814</v>
      </c>
      <c r="Y21" s="3585" t="s">
        <v>3815</v>
      </c>
      <c r="Z21" s="3585" t="s">
        <v>3555</v>
      </c>
      <c r="AA21" s="3585"/>
      <c r="AB21" s="3585" t="s">
        <v>3672</v>
      </c>
      <c r="AC21" s="3585"/>
      <c r="AD21" s="3585" t="s">
        <v>3660</v>
      </c>
      <c r="AE21" s="3585" t="s">
        <v>3660</v>
      </c>
      <c r="AF21" s="3585" t="s">
        <v>3673</v>
      </c>
      <c r="AG21" s="3585"/>
      <c r="AH21" s="3585"/>
      <c r="AI21" s="3585"/>
      <c r="AJ21" s="3585"/>
      <c r="AK21" s="3585"/>
      <c r="AL21" s="3585"/>
      <c r="AM21" s="3585"/>
      <c r="AN21" s="3585"/>
      <c r="AO21" s="3585" t="s">
        <v>3816</v>
      </c>
      <c r="AP21" s="3585" t="s">
        <v>3817</v>
      </c>
      <c r="AQ21" s="3585"/>
      <c r="AR21" s="3585"/>
      <c r="AS21" s="3585"/>
      <c r="AT21" s="3585"/>
      <c r="AU21" s="3585"/>
      <c r="AV21" s="3585"/>
      <c r="AW21" s="3586" t="s">
        <v>3555</v>
      </c>
    </row>
    <row r="22" spans="1:51" s="3579" customFormat="1" ht="12">
      <c r="A22" s="3584" t="s">
        <v>3556</v>
      </c>
      <c r="B22" s="3584" t="s">
        <v>3557</v>
      </c>
      <c r="C22" s="3584" t="s">
        <v>3428</v>
      </c>
      <c r="D22" s="3584" t="s">
        <v>3420</v>
      </c>
      <c r="E22" s="3584" t="s">
        <v>633</v>
      </c>
      <c r="F22" s="3584" t="s">
        <v>3412</v>
      </c>
      <c r="G22" s="3584" t="s">
        <v>3558</v>
      </c>
      <c r="H22" s="3584">
        <v>34803</v>
      </c>
      <c r="I22" s="3584" t="s">
        <v>3818</v>
      </c>
      <c r="J22" s="3584">
        <v>2272900</v>
      </c>
      <c r="K22" s="3584" t="s">
        <v>3819</v>
      </c>
      <c r="L22" s="3584">
        <v>0.2</v>
      </c>
      <c r="M22" s="3584">
        <v>181.83</v>
      </c>
      <c r="N22" s="3584">
        <v>1818300.0000000002</v>
      </c>
      <c r="O22" s="3584" t="s">
        <v>3651</v>
      </c>
      <c r="P22" s="3584" t="s">
        <v>3566</v>
      </c>
      <c r="Q22" s="3584" t="s">
        <v>3438</v>
      </c>
      <c r="R22" s="3584" t="s">
        <v>3820</v>
      </c>
      <c r="S22" s="3584" t="s">
        <v>3654</v>
      </c>
      <c r="T22" s="3584" t="s">
        <v>3821</v>
      </c>
      <c r="U22" s="3584" t="s">
        <v>3767</v>
      </c>
      <c r="V22" s="3584"/>
      <c r="W22" s="3584" t="s">
        <v>3657</v>
      </c>
      <c r="X22" s="3585" t="s">
        <v>3822</v>
      </c>
      <c r="Y22" s="3585">
        <v>42656</v>
      </c>
      <c r="Z22" s="3585" t="s">
        <v>3559</v>
      </c>
      <c r="AA22" s="3585"/>
      <c r="AB22" s="3585" t="s">
        <v>3722</v>
      </c>
      <c r="AC22" s="3585"/>
      <c r="AD22" s="3585" t="s">
        <v>3660</v>
      </c>
      <c r="AE22" s="3585" t="s">
        <v>3660</v>
      </c>
      <c r="AF22" s="3585" t="s">
        <v>3798</v>
      </c>
      <c r="AG22" s="3585"/>
      <c r="AH22" s="3585"/>
      <c r="AI22" s="3585"/>
      <c r="AJ22" s="3585"/>
      <c r="AK22" s="3585"/>
      <c r="AL22" s="3585"/>
      <c r="AM22" s="3585"/>
      <c r="AN22" s="3585"/>
      <c r="AO22" s="3585" t="s">
        <v>3823</v>
      </c>
      <c r="AP22" s="3585" t="s">
        <v>3824</v>
      </c>
      <c r="AQ22" s="3585"/>
      <c r="AR22" s="3585"/>
      <c r="AS22" s="3585"/>
      <c r="AT22" s="3585"/>
      <c r="AU22" s="3585"/>
      <c r="AV22" s="3585"/>
      <c r="AW22" s="3586" t="s">
        <v>3559</v>
      </c>
    </row>
    <row r="23" spans="1:51" s="3579" customFormat="1" ht="12">
      <c r="A23" s="3584" t="s">
        <v>3560</v>
      </c>
      <c r="B23" s="3584" t="s">
        <v>3561</v>
      </c>
      <c r="C23" s="3584" t="s">
        <v>3523</v>
      </c>
      <c r="D23" s="3584" t="s">
        <v>3411</v>
      </c>
      <c r="E23" s="3584" t="s">
        <v>633</v>
      </c>
      <c r="F23" s="3584" t="s">
        <v>3412</v>
      </c>
      <c r="G23" s="3584" t="s">
        <v>3562</v>
      </c>
      <c r="H23" s="3584">
        <v>29594</v>
      </c>
      <c r="I23" s="3584" t="s">
        <v>3826</v>
      </c>
      <c r="J23" s="3584">
        <v>3779000</v>
      </c>
      <c r="K23" s="3584" t="s">
        <v>3827</v>
      </c>
      <c r="L23" s="3584">
        <v>0.2</v>
      </c>
      <c r="M23" s="3584">
        <v>302.32</v>
      </c>
      <c r="N23" s="3584">
        <v>3023200</v>
      </c>
      <c r="O23" s="3584" t="s">
        <v>3651</v>
      </c>
      <c r="P23" s="3584" t="s">
        <v>3566</v>
      </c>
      <c r="Q23" s="3584" t="s">
        <v>3429</v>
      </c>
      <c r="R23" s="3584" t="s">
        <v>3820</v>
      </c>
      <c r="S23" s="3584" t="s">
        <v>3654</v>
      </c>
      <c r="T23" s="3584" t="s">
        <v>3828</v>
      </c>
      <c r="U23" s="3584" t="s">
        <v>3829</v>
      </c>
      <c r="V23" s="3584"/>
      <c r="W23" s="3584" t="s">
        <v>3657</v>
      </c>
      <c r="X23" s="3585" t="s">
        <v>3830</v>
      </c>
      <c r="Y23" s="3585" t="s">
        <v>3831</v>
      </c>
      <c r="Z23" s="3585" t="s">
        <v>3563</v>
      </c>
      <c r="AA23" s="3585"/>
      <c r="AB23" s="3585" t="s">
        <v>3672</v>
      </c>
      <c r="AC23" s="3585"/>
      <c r="AD23" s="3585" t="s">
        <v>3832</v>
      </c>
      <c r="AE23" s="3585" t="s">
        <v>3833</v>
      </c>
      <c r="AF23" s="3585" t="s">
        <v>3738</v>
      </c>
      <c r="AG23" s="3585"/>
      <c r="AH23" s="3585"/>
      <c r="AI23" s="3585"/>
      <c r="AJ23" s="3585"/>
      <c r="AK23" s="3585"/>
      <c r="AL23" s="3585"/>
      <c r="AM23" s="3585"/>
      <c r="AN23" s="3585"/>
      <c r="AO23" s="3585" t="s">
        <v>3834</v>
      </c>
      <c r="AP23" s="3585" t="s">
        <v>3825</v>
      </c>
      <c r="AQ23" s="3585"/>
      <c r="AR23" s="3585"/>
      <c r="AS23" s="3585"/>
      <c r="AT23" s="3585"/>
      <c r="AU23" s="3585"/>
      <c r="AV23" s="3585"/>
      <c r="AW23" s="3586" t="s">
        <v>3563</v>
      </c>
    </row>
    <row r="24" spans="1:51" s="3579" customFormat="1" ht="12">
      <c r="A24" s="3584" t="s">
        <v>3564</v>
      </c>
      <c r="B24" s="3584" t="s">
        <v>3565</v>
      </c>
      <c r="C24" s="3584" t="s">
        <v>3566</v>
      </c>
      <c r="D24" s="3584" t="s">
        <v>3411</v>
      </c>
      <c r="E24" s="3584" t="s">
        <v>3677</v>
      </c>
      <c r="F24" s="3584" t="s">
        <v>3412</v>
      </c>
      <c r="G24" s="3584" t="s">
        <v>3567</v>
      </c>
      <c r="H24" s="3584">
        <v>20202</v>
      </c>
      <c r="I24" s="3584" t="s">
        <v>3836</v>
      </c>
      <c r="J24" s="3584">
        <v>3966200</v>
      </c>
      <c r="K24" s="3584" t="s">
        <v>3837</v>
      </c>
      <c r="L24" s="3584">
        <v>0.2</v>
      </c>
      <c r="M24" s="3584">
        <v>317.29000000000002</v>
      </c>
      <c r="N24" s="3584">
        <v>3172900</v>
      </c>
      <c r="O24" s="3584" t="s">
        <v>3651</v>
      </c>
      <c r="P24" s="3584" t="s">
        <v>3566</v>
      </c>
      <c r="Q24" s="3584" t="s">
        <v>3415</v>
      </c>
      <c r="R24" s="3584" t="s">
        <v>3803</v>
      </c>
      <c r="S24" s="3584" t="s">
        <v>3654</v>
      </c>
      <c r="T24" s="3584" t="s">
        <v>3838</v>
      </c>
      <c r="U24" s="3584" t="s">
        <v>3669</v>
      </c>
      <c r="V24" s="3584"/>
      <c r="W24" s="3584" t="s">
        <v>3657</v>
      </c>
      <c r="X24" s="3585" t="s">
        <v>3839</v>
      </c>
      <c r="Y24" s="3585" t="s">
        <v>3840</v>
      </c>
      <c r="Z24" s="3585" t="s">
        <v>3534</v>
      </c>
      <c r="AA24" s="3585"/>
      <c r="AB24" s="3585" t="s">
        <v>3684</v>
      </c>
      <c r="AC24" s="3585"/>
      <c r="AD24" s="3585" t="s">
        <v>3660</v>
      </c>
      <c r="AE24" s="3585" t="s">
        <v>3660</v>
      </c>
      <c r="AF24" s="3585" t="s">
        <v>3746</v>
      </c>
      <c r="AG24" s="3585"/>
      <c r="AH24" s="3585"/>
      <c r="AI24" s="3585"/>
      <c r="AJ24" s="3585"/>
      <c r="AK24" s="3585"/>
      <c r="AL24" s="3585"/>
      <c r="AM24" s="3585"/>
      <c r="AN24" s="3585"/>
      <c r="AO24" s="3585" t="s">
        <v>3841</v>
      </c>
      <c r="AP24" s="3585" t="s">
        <v>3835</v>
      </c>
      <c r="AQ24" s="3585"/>
      <c r="AR24" s="3585"/>
      <c r="AS24" s="3585"/>
      <c r="AT24" s="3585"/>
      <c r="AU24" s="3585"/>
      <c r="AV24" s="3585"/>
      <c r="AW24" s="3586" t="s">
        <v>3534</v>
      </c>
    </row>
    <row r="25" spans="1:51" s="3579" customFormat="1" ht="12">
      <c r="A25" s="3584" t="s">
        <v>3568</v>
      </c>
      <c r="B25" s="3584">
        <v>82.11</v>
      </c>
      <c r="C25" s="3584" t="s">
        <v>3415</v>
      </c>
      <c r="D25" s="3584" t="s">
        <v>3411</v>
      </c>
      <c r="E25" s="3584" t="s">
        <v>633</v>
      </c>
      <c r="F25" s="3584" t="s">
        <v>3412</v>
      </c>
      <c r="G25" s="3584" t="s">
        <v>3569</v>
      </c>
      <c r="H25" s="3584">
        <v>22896</v>
      </c>
      <c r="I25" s="3584">
        <v>387.89</v>
      </c>
      <c r="J25" s="3584">
        <v>3878900</v>
      </c>
      <c r="K25" s="3584" t="s">
        <v>3843</v>
      </c>
      <c r="L25" s="3584">
        <v>0.2</v>
      </c>
      <c r="M25" s="3584">
        <v>310.31</v>
      </c>
      <c r="N25" s="3584">
        <v>3103100</v>
      </c>
      <c r="O25" s="3584" t="s">
        <v>3651</v>
      </c>
      <c r="P25" s="3584" t="s">
        <v>3782</v>
      </c>
      <c r="Q25" s="3584" t="s">
        <v>3844</v>
      </c>
      <c r="R25" s="3584">
        <v>600</v>
      </c>
      <c r="S25" s="3584" t="s">
        <v>3654</v>
      </c>
      <c r="T25" s="3584" t="s">
        <v>3845</v>
      </c>
      <c r="U25" s="3584" t="s">
        <v>3767</v>
      </c>
      <c r="V25" s="3584"/>
      <c r="W25" s="3584" t="s">
        <v>3657</v>
      </c>
      <c r="X25" s="3585" t="s">
        <v>3846</v>
      </c>
      <c r="Y25" s="3585" t="s">
        <v>3847</v>
      </c>
      <c r="Z25" s="3585" t="s">
        <v>3555</v>
      </c>
      <c r="AA25" s="3585"/>
      <c r="AB25" s="3585" t="s">
        <v>3672</v>
      </c>
      <c r="AC25" s="3585"/>
      <c r="AD25" s="3585" t="s">
        <v>3660</v>
      </c>
      <c r="AE25" s="3585" t="s">
        <v>3660</v>
      </c>
      <c r="AF25" s="3585" t="s">
        <v>3707</v>
      </c>
      <c r="AG25" s="3585"/>
      <c r="AH25" s="3585"/>
      <c r="AI25" s="3585"/>
      <c r="AJ25" s="3585"/>
      <c r="AK25" s="3585"/>
      <c r="AL25" s="3585"/>
      <c r="AM25" s="3585"/>
      <c r="AN25" s="3585"/>
      <c r="AO25" s="3585" t="s">
        <v>3848</v>
      </c>
      <c r="AP25" s="3585" t="s">
        <v>3842</v>
      </c>
      <c r="AQ25" s="3585"/>
      <c r="AR25" s="3585"/>
      <c r="AS25" s="3585"/>
      <c r="AT25" s="3585"/>
      <c r="AU25" s="3585"/>
      <c r="AV25" s="3585"/>
      <c r="AW25" s="3586" t="s">
        <v>3555</v>
      </c>
    </row>
    <row r="26" spans="1:51" s="3579" customFormat="1" ht="10.8" hidden="1">
      <c r="A26" s="3580" t="s">
        <v>4287</v>
      </c>
      <c r="B26" s="3580">
        <v>66.44</v>
      </c>
      <c r="C26" s="3580" t="s">
        <v>3570</v>
      </c>
      <c r="D26" s="3580" t="s">
        <v>3411</v>
      </c>
      <c r="E26" s="3580" t="s">
        <v>633</v>
      </c>
      <c r="F26" s="3580" t="s">
        <v>3412</v>
      </c>
      <c r="G26" s="3580" t="s">
        <v>3558</v>
      </c>
      <c r="H26" s="3580">
        <v>22577</v>
      </c>
      <c r="I26" s="3580">
        <v>299.31</v>
      </c>
      <c r="J26" s="3580">
        <v>2993100</v>
      </c>
      <c r="K26" s="3580" t="s">
        <v>3849</v>
      </c>
      <c r="L26" s="3580">
        <v>0.2</v>
      </c>
      <c r="M26" s="3580">
        <v>239.44</v>
      </c>
      <c r="N26" s="3580">
        <v>2394400</v>
      </c>
      <c r="O26" s="3580" t="s">
        <v>3651</v>
      </c>
      <c r="P26" s="3580" t="s">
        <v>3782</v>
      </c>
      <c r="Q26" s="3580" t="s">
        <v>3737</v>
      </c>
      <c r="R26" s="3580">
        <v>600</v>
      </c>
      <c r="S26" s="3580" t="s">
        <v>3654</v>
      </c>
      <c r="T26" s="3580" t="s">
        <v>3850</v>
      </c>
      <c r="U26" s="3580" t="s">
        <v>3767</v>
      </c>
      <c r="V26" s="3580"/>
      <c r="W26" s="3580" t="s">
        <v>3657</v>
      </c>
      <c r="X26" s="3581" t="s">
        <v>3851</v>
      </c>
      <c r="Y26" s="3581" t="s">
        <v>3815</v>
      </c>
      <c r="Z26" s="3581" t="s">
        <v>3571</v>
      </c>
      <c r="AA26" s="3581"/>
      <c r="AB26" s="3581" t="s">
        <v>3852</v>
      </c>
      <c r="AC26" s="3581"/>
      <c r="AD26" s="3581" t="s">
        <v>3660</v>
      </c>
      <c r="AE26" s="3581" t="s">
        <v>3660</v>
      </c>
      <c r="AF26" s="3581" t="s">
        <v>3853</v>
      </c>
      <c r="AG26" s="3581"/>
      <c r="AH26" s="3581"/>
      <c r="AI26" s="3581"/>
      <c r="AJ26" s="3581"/>
      <c r="AK26" s="3581"/>
      <c r="AL26" s="3581"/>
      <c r="AM26" s="3581"/>
      <c r="AN26" s="3581"/>
      <c r="AO26" s="3581" t="s">
        <v>3854</v>
      </c>
      <c r="AP26" s="3581" t="s">
        <v>3855</v>
      </c>
      <c r="AQ26" s="3581"/>
      <c r="AR26" s="3581"/>
      <c r="AS26" s="3581"/>
      <c r="AT26" s="3581"/>
      <c r="AU26" s="3581"/>
      <c r="AV26" s="3581"/>
      <c r="AW26" s="3582" t="s">
        <v>3571</v>
      </c>
    </row>
    <row r="27" spans="1:51" s="3579" customFormat="1" ht="10.8" hidden="1">
      <c r="A27" s="3580" t="s">
        <v>3856</v>
      </c>
      <c r="B27" s="3580">
        <v>105.76</v>
      </c>
      <c r="C27" s="3580" t="s">
        <v>3469</v>
      </c>
      <c r="D27" s="3580" t="s">
        <v>3549</v>
      </c>
      <c r="E27" s="3580" t="s">
        <v>633</v>
      </c>
      <c r="F27" s="3580" t="s">
        <v>3412</v>
      </c>
      <c r="G27" s="3580" t="s">
        <v>3572</v>
      </c>
      <c r="H27" s="3580">
        <v>29784</v>
      </c>
      <c r="I27" s="3580">
        <v>380.1</v>
      </c>
      <c r="J27" s="3580">
        <v>3801000</v>
      </c>
      <c r="K27" s="3580" t="s">
        <v>3858</v>
      </c>
      <c r="L27" s="3580">
        <v>0.2</v>
      </c>
      <c r="M27" s="3580">
        <v>304.08</v>
      </c>
      <c r="N27" s="3580">
        <v>3040800</v>
      </c>
      <c r="O27" s="3580" t="s">
        <v>3651</v>
      </c>
      <c r="P27" s="3580" t="s">
        <v>3782</v>
      </c>
      <c r="Q27" s="3580" t="s">
        <v>3859</v>
      </c>
      <c r="R27" s="3580">
        <v>600</v>
      </c>
      <c r="S27" s="3580" t="s">
        <v>3654</v>
      </c>
      <c r="T27" s="3580" t="s">
        <v>3860</v>
      </c>
      <c r="U27" s="3580" t="s">
        <v>3767</v>
      </c>
      <c r="V27" s="3580"/>
      <c r="W27" s="3580" t="s">
        <v>3657</v>
      </c>
      <c r="X27" s="3581" t="s">
        <v>3861</v>
      </c>
      <c r="Y27" s="3581">
        <v>42653</v>
      </c>
      <c r="Z27" s="3581" t="s">
        <v>3573</v>
      </c>
      <c r="AA27" s="3581"/>
      <c r="AB27" s="3581" t="s">
        <v>3862</v>
      </c>
      <c r="AC27" s="3581"/>
      <c r="AD27" s="3581" t="s">
        <v>3660</v>
      </c>
      <c r="AE27" s="3581" t="s">
        <v>3660</v>
      </c>
      <c r="AF27" s="3581" t="s">
        <v>3793</v>
      </c>
      <c r="AG27" s="3581"/>
      <c r="AH27" s="3581"/>
      <c r="AI27" s="3581"/>
      <c r="AJ27" s="3581"/>
      <c r="AK27" s="3581"/>
      <c r="AL27" s="3581"/>
      <c r="AM27" s="3581"/>
      <c r="AN27" s="3581"/>
      <c r="AO27" s="3581" t="s">
        <v>3863</v>
      </c>
      <c r="AP27" s="3581" t="s">
        <v>3857</v>
      </c>
      <c r="AQ27" s="3581"/>
      <c r="AR27" s="3581"/>
      <c r="AS27" s="3581"/>
      <c r="AT27" s="3581"/>
      <c r="AU27" s="3581"/>
      <c r="AV27" s="3581"/>
      <c r="AW27" s="3582" t="s">
        <v>3573</v>
      </c>
    </row>
    <row r="28" spans="1:51" s="3579" customFormat="1" ht="6" customHeight="1"/>
    <row r="29" spans="1:51">
      <c r="A29" s="3483" t="s">
        <v>3602</v>
      </c>
      <c r="B29" s="3485" t="s">
        <v>3399</v>
      </c>
      <c r="C29" s="3487" t="s">
        <v>3603</v>
      </c>
      <c r="D29" s="3491" t="s">
        <v>3604</v>
      </c>
      <c r="F29" s="3494" t="s">
        <v>3606</v>
      </c>
      <c r="K29" s="3498" t="s">
        <v>3610</v>
      </c>
      <c r="X29" s="3499" t="s">
        <v>3623</v>
      </c>
      <c r="AW29" s="3495" t="s">
        <v>3646</v>
      </c>
    </row>
    <row r="30" spans="1:51" ht="11.25" customHeight="1">
      <c r="A30" s="3543" t="s">
        <v>3409</v>
      </c>
      <c r="B30" s="3543">
        <v>90.5</v>
      </c>
      <c r="C30" s="3543" t="s">
        <v>3410</v>
      </c>
      <c r="D30" s="3543" t="s">
        <v>3411</v>
      </c>
      <c r="E30" s="3504"/>
      <c r="F30" s="3543" t="s">
        <v>3412</v>
      </c>
      <c r="G30" s="3504"/>
      <c r="H30" s="3504"/>
      <c r="I30" s="3504"/>
      <c r="J30" s="3504"/>
      <c r="K30" s="3543" t="s">
        <v>3413</v>
      </c>
      <c r="L30" s="3504"/>
      <c r="M30" s="3504"/>
      <c r="N30" s="3504"/>
      <c r="O30" s="3504"/>
      <c r="P30" s="3504"/>
      <c r="Q30" s="3504"/>
      <c r="R30" s="3504"/>
      <c r="S30" s="3504"/>
      <c r="T30" s="3504"/>
      <c r="U30" s="3504"/>
      <c r="V30" s="3504"/>
      <c r="W30" s="3504"/>
      <c r="X30" s="3543" t="s">
        <v>3864</v>
      </c>
      <c r="Y30" s="3504"/>
      <c r="Z30" s="3504"/>
      <c r="AA30" s="3504"/>
      <c r="AB30" s="3504"/>
      <c r="AC30" s="3504"/>
      <c r="AD30" s="3504"/>
      <c r="AE30" s="3504"/>
      <c r="AF30" s="3504"/>
      <c r="AG30" s="3504"/>
      <c r="AH30" s="3504"/>
      <c r="AI30" s="3504"/>
      <c r="AJ30" s="3504"/>
      <c r="AK30" s="3504"/>
      <c r="AL30" s="3504"/>
      <c r="AM30" s="3504"/>
      <c r="AN30" s="3504"/>
      <c r="AO30" s="3504"/>
      <c r="AP30" s="3504"/>
      <c r="AQ30" s="3504"/>
      <c r="AR30" s="3504"/>
      <c r="AS30" s="3504"/>
      <c r="AT30" s="3504"/>
      <c r="AU30" s="3504"/>
      <c r="AV30" s="3504"/>
      <c r="AW30" s="3543" t="s">
        <v>3414</v>
      </c>
    </row>
    <row r="31" spans="1:51" ht="11.25" customHeight="1">
      <c r="A31" s="3603" t="s">
        <v>4269</v>
      </c>
      <c r="B31" s="3603">
        <v>98.06</v>
      </c>
      <c r="C31" s="3603" t="s">
        <v>3415</v>
      </c>
      <c r="D31" s="3603" t="s">
        <v>3416</v>
      </c>
      <c r="E31" s="3604"/>
      <c r="F31" s="3603" t="s">
        <v>3412</v>
      </c>
      <c r="G31" s="3604"/>
      <c r="H31" s="3604"/>
      <c r="I31" s="3604"/>
      <c r="J31" s="3604"/>
      <c r="K31" s="3603" t="s">
        <v>3417</v>
      </c>
      <c r="L31" s="3604"/>
      <c r="M31" s="3604"/>
      <c r="N31" s="3604"/>
      <c r="O31" s="3604"/>
      <c r="P31" s="3604"/>
      <c r="Q31" s="3604"/>
      <c r="R31" s="3604"/>
      <c r="S31" s="3604"/>
      <c r="T31" s="3604"/>
      <c r="U31" s="3604"/>
      <c r="V31" s="3604"/>
      <c r="W31" s="3604"/>
      <c r="X31" s="3603" t="s">
        <v>3865</v>
      </c>
      <c r="Y31" s="3604"/>
      <c r="Z31" s="3604"/>
      <c r="AA31" s="3604"/>
      <c r="AB31" s="3604"/>
      <c r="AC31" s="3604"/>
      <c r="AD31" s="3604"/>
      <c r="AE31" s="3604"/>
      <c r="AF31" s="3604"/>
      <c r="AG31" s="3604"/>
      <c r="AH31" s="3604"/>
      <c r="AI31" s="3604"/>
      <c r="AJ31" s="3604"/>
      <c r="AK31" s="3604"/>
      <c r="AL31" s="3604"/>
      <c r="AM31" s="3604"/>
      <c r="AN31" s="3604"/>
      <c r="AO31" s="3604"/>
      <c r="AP31" s="3604"/>
      <c r="AQ31" s="3604"/>
      <c r="AR31" s="3604"/>
      <c r="AS31" s="3604"/>
      <c r="AT31" s="3604"/>
      <c r="AU31" s="3604"/>
      <c r="AV31" s="3604"/>
      <c r="AW31" s="3603" t="s">
        <v>3418</v>
      </c>
      <c r="AX31">
        <v>1998</v>
      </c>
      <c r="AY31" s="3449" t="s">
        <v>4306</v>
      </c>
    </row>
    <row r="32" spans="1:51" s="3504" customFormat="1" ht="11.25" customHeight="1">
      <c r="A32" s="3543" t="s">
        <v>4223</v>
      </c>
      <c r="B32" s="3543">
        <v>77.58</v>
      </c>
      <c r="C32" s="3543" t="s">
        <v>3419</v>
      </c>
      <c r="D32" s="3543" t="s">
        <v>3420</v>
      </c>
      <c r="F32" s="3543" t="s">
        <v>3412</v>
      </c>
      <c r="K32" s="3543" t="s">
        <v>3421</v>
      </c>
      <c r="X32" s="3543" t="s">
        <v>3866</v>
      </c>
      <c r="AW32" s="3543" t="s">
        <v>3422</v>
      </c>
      <c r="AX32" s="3504">
        <v>2011</v>
      </c>
    </row>
    <row r="33" spans="1:70" s="3539" customFormat="1" ht="11.25" customHeight="1">
      <c r="A33" s="3603" t="s">
        <v>4266</v>
      </c>
      <c r="B33" s="3603">
        <v>88.58</v>
      </c>
      <c r="C33" s="3603" t="s">
        <v>3423</v>
      </c>
      <c r="D33" s="3603" t="s">
        <v>3411</v>
      </c>
      <c r="E33" s="3604"/>
      <c r="F33" s="3603" t="s">
        <v>3412</v>
      </c>
      <c r="G33" s="3604"/>
      <c r="H33" s="3604"/>
      <c r="I33" s="3604"/>
      <c r="J33" s="3604"/>
      <c r="K33" s="3603" t="s">
        <v>3424</v>
      </c>
      <c r="L33" s="3604"/>
      <c r="M33" s="3604"/>
      <c r="N33" s="3604"/>
      <c r="O33" s="3604"/>
      <c r="P33" s="3604"/>
      <c r="Q33" s="3604"/>
      <c r="R33" s="3604"/>
      <c r="S33" s="3604"/>
      <c r="T33" s="3604"/>
      <c r="U33" s="3604"/>
      <c r="V33" s="3604"/>
      <c r="W33" s="3604"/>
      <c r="X33" s="3603" t="s">
        <v>3868</v>
      </c>
      <c r="Y33" s="3604"/>
      <c r="Z33" s="3604"/>
      <c r="AA33" s="3604"/>
      <c r="AB33" s="3604"/>
      <c r="AC33" s="3604"/>
      <c r="AD33" s="3604"/>
      <c r="AE33" s="3604"/>
      <c r="AF33" s="3604"/>
      <c r="AG33" s="3604"/>
      <c r="AH33" s="3604"/>
      <c r="AI33" s="3604"/>
      <c r="AJ33" s="3604"/>
      <c r="AK33" s="3604"/>
      <c r="AL33" s="3604"/>
      <c r="AM33" s="3604"/>
      <c r="AN33" s="3604"/>
      <c r="AO33" s="3604"/>
      <c r="AP33" s="3604"/>
      <c r="AQ33" s="3604"/>
      <c r="AR33" s="3604"/>
      <c r="AS33" s="3604"/>
      <c r="AT33" s="3604"/>
      <c r="AU33" s="3604"/>
      <c r="AV33" s="3604"/>
      <c r="AW33" s="3603" t="s">
        <v>3425</v>
      </c>
      <c r="AX33" s="3504">
        <v>2005</v>
      </c>
      <c r="AY33" s="3563" t="s">
        <v>4268</v>
      </c>
      <c r="AZ33" s="3504"/>
      <c r="BA33" s="3504"/>
      <c r="BB33" s="3504"/>
      <c r="BC33" s="3504"/>
      <c r="BD33" s="3504"/>
      <c r="BE33" s="3504"/>
      <c r="BF33" s="3504"/>
      <c r="BG33" s="3504"/>
      <c r="BH33" s="3504"/>
      <c r="BI33" s="3504"/>
      <c r="BJ33" s="3504"/>
      <c r="BK33" s="3504"/>
      <c r="BL33" s="3504"/>
      <c r="BM33" s="3504"/>
      <c r="BN33" s="3504"/>
      <c r="BO33" s="3504"/>
      <c r="BP33" s="3504"/>
      <c r="BQ33" s="3504"/>
      <c r="BR33" s="3504"/>
    </row>
    <row r="34" spans="1:70" ht="11.25" customHeight="1">
      <c r="A34" s="3482" t="s">
        <v>3426</v>
      </c>
      <c r="B34" s="3484">
        <v>59.47</v>
      </c>
      <c r="C34" s="3486" t="s">
        <v>3428</v>
      </c>
      <c r="D34" s="3490" t="s">
        <v>3411</v>
      </c>
      <c r="F34" s="3493" t="s">
        <v>3412</v>
      </c>
      <c r="K34" s="3497" t="s">
        <v>3431</v>
      </c>
      <c r="X34" s="3543" t="s">
        <v>3869</v>
      </c>
      <c r="Y34" s="3504"/>
      <c r="Z34" s="3504"/>
      <c r="AA34" s="3504"/>
      <c r="AB34" s="3504"/>
      <c r="AC34" s="3504"/>
      <c r="AD34" s="3504"/>
      <c r="AE34" s="3504"/>
      <c r="AF34" s="3504"/>
      <c r="AG34" s="3504"/>
      <c r="AH34" s="3504"/>
      <c r="AI34" s="3504"/>
      <c r="AJ34" s="3504"/>
      <c r="AK34" s="3504"/>
      <c r="AL34" s="3504"/>
      <c r="AM34" s="3504"/>
      <c r="AN34" s="3504"/>
      <c r="AO34" s="3504"/>
      <c r="AP34" s="3504"/>
      <c r="AQ34" s="3504"/>
      <c r="AR34" s="3504"/>
      <c r="AS34" s="3504"/>
      <c r="AT34" s="3504"/>
      <c r="AU34" s="3504"/>
      <c r="AV34" s="3504"/>
      <c r="AW34" s="3543" t="s">
        <v>3433</v>
      </c>
      <c r="AX34" s="3504"/>
    </row>
    <row r="35" spans="1:70" ht="11.25" customHeight="1">
      <c r="A35" s="3482" t="s">
        <v>3427</v>
      </c>
      <c r="B35" s="3484">
        <v>153.5</v>
      </c>
      <c r="C35" s="3486" t="s">
        <v>3429</v>
      </c>
      <c r="D35" s="3490" t="s">
        <v>3430</v>
      </c>
      <c r="F35" s="3493" t="s">
        <v>3412</v>
      </c>
      <c r="K35" s="3497" t="s">
        <v>3432</v>
      </c>
      <c r="X35" s="3543" t="s">
        <v>3870</v>
      </c>
      <c r="Y35" s="3504"/>
      <c r="Z35" s="3504"/>
      <c r="AA35" s="3504"/>
      <c r="AB35" s="3504"/>
      <c r="AC35" s="3504"/>
      <c r="AD35" s="3504"/>
      <c r="AE35" s="3504"/>
      <c r="AF35" s="3504"/>
      <c r="AG35" s="3504"/>
      <c r="AH35" s="3504"/>
      <c r="AI35" s="3504"/>
      <c r="AJ35" s="3504"/>
      <c r="AK35" s="3504"/>
      <c r="AL35" s="3504"/>
      <c r="AM35" s="3504"/>
      <c r="AN35" s="3504"/>
      <c r="AO35" s="3504"/>
      <c r="AP35" s="3504"/>
      <c r="AQ35" s="3504"/>
      <c r="AR35" s="3504"/>
      <c r="AS35" s="3504"/>
      <c r="AT35" s="3504"/>
      <c r="AU35" s="3504"/>
      <c r="AV35" s="3504"/>
      <c r="AW35" s="3543" t="s">
        <v>3434</v>
      </c>
      <c r="AX35" s="3504"/>
    </row>
    <row r="36" spans="1:70" ht="11.25" customHeight="1">
      <c r="A36" s="3482" t="s">
        <v>3435</v>
      </c>
      <c r="B36" s="3484">
        <v>74.33</v>
      </c>
      <c r="C36" s="3486" t="s">
        <v>3428</v>
      </c>
      <c r="D36" s="3490" t="s">
        <v>3420</v>
      </c>
      <c r="F36" s="3493" t="s">
        <v>3412</v>
      </c>
      <c r="K36" s="3497" t="s">
        <v>3436</v>
      </c>
      <c r="X36" s="3543" t="s">
        <v>3871</v>
      </c>
      <c r="Y36" s="3504"/>
      <c r="Z36" s="3504"/>
      <c r="AA36" s="3504"/>
      <c r="AB36" s="3504"/>
      <c r="AC36" s="3504"/>
      <c r="AD36" s="3504"/>
      <c r="AE36" s="3504"/>
      <c r="AF36" s="3504"/>
      <c r="AG36" s="3504"/>
      <c r="AH36" s="3504"/>
      <c r="AI36" s="3504"/>
      <c r="AJ36" s="3504"/>
      <c r="AK36" s="3504"/>
      <c r="AL36" s="3504"/>
      <c r="AM36" s="3504"/>
      <c r="AN36" s="3504"/>
      <c r="AO36" s="3504"/>
      <c r="AP36" s="3504"/>
      <c r="AQ36" s="3504"/>
      <c r="AR36" s="3504"/>
      <c r="AS36" s="3504"/>
      <c r="AT36" s="3504"/>
      <c r="AU36" s="3504"/>
      <c r="AV36" s="3504"/>
      <c r="AW36" s="3543" t="s">
        <v>3437</v>
      </c>
      <c r="AX36" s="3504"/>
    </row>
    <row r="37" spans="1:70" ht="11.25" customHeight="1">
      <c r="A37" s="3482" t="s">
        <v>4304</v>
      </c>
      <c r="B37" s="3484">
        <v>124.59</v>
      </c>
      <c r="C37" s="3486" t="s">
        <v>3438</v>
      </c>
      <c r="D37" s="3490" t="s">
        <v>3439</v>
      </c>
      <c r="F37" s="3493" t="s">
        <v>3412</v>
      </c>
      <c r="K37" s="3497" t="s">
        <v>3440</v>
      </c>
      <c r="X37" s="3543" t="s">
        <v>3872</v>
      </c>
      <c r="Y37" s="3504"/>
      <c r="Z37" s="3504"/>
      <c r="AA37" s="3504"/>
      <c r="AB37" s="3504"/>
      <c r="AC37" s="3504"/>
      <c r="AD37" s="3504"/>
      <c r="AE37" s="3504"/>
      <c r="AF37" s="3504"/>
      <c r="AG37" s="3504"/>
      <c r="AH37" s="3504"/>
      <c r="AI37" s="3504"/>
      <c r="AJ37" s="3504"/>
      <c r="AK37" s="3504"/>
      <c r="AL37" s="3504"/>
      <c r="AM37" s="3504"/>
      <c r="AN37" s="3504"/>
      <c r="AO37" s="3504"/>
      <c r="AP37" s="3504"/>
      <c r="AQ37" s="3504"/>
      <c r="AR37" s="3504"/>
      <c r="AS37" s="3504"/>
      <c r="AT37" s="3504"/>
      <c r="AU37" s="3504"/>
      <c r="AV37" s="3504"/>
      <c r="AW37" s="3543" t="s">
        <v>3441</v>
      </c>
      <c r="AX37" s="3504"/>
    </row>
    <row r="38" spans="1:70" ht="11.25" customHeight="1">
      <c r="A38" s="3482" t="s">
        <v>3442</v>
      </c>
      <c r="B38" s="3484">
        <v>111.75</v>
      </c>
      <c r="C38" s="3486" t="s">
        <v>3443</v>
      </c>
      <c r="D38" s="3490" t="s">
        <v>3411</v>
      </c>
      <c r="F38" s="3493" t="s">
        <v>3412</v>
      </c>
      <c r="K38" s="3497" t="s">
        <v>3445</v>
      </c>
      <c r="X38" s="3543" t="s">
        <v>3873</v>
      </c>
      <c r="Y38" s="3504"/>
      <c r="Z38" s="3504"/>
      <c r="AA38" s="3504"/>
      <c r="AB38" s="3504"/>
      <c r="AC38" s="3504"/>
      <c r="AD38" s="3504"/>
      <c r="AE38" s="3504"/>
      <c r="AF38" s="3504"/>
      <c r="AG38" s="3504"/>
      <c r="AH38" s="3504"/>
      <c r="AI38" s="3504"/>
      <c r="AJ38" s="3504"/>
      <c r="AK38" s="3504"/>
      <c r="AL38" s="3504"/>
      <c r="AM38" s="3504"/>
      <c r="AN38" s="3504"/>
      <c r="AO38" s="3504"/>
      <c r="AP38" s="3504"/>
      <c r="AQ38" s="3504"/>
      <c r="AR38" s="3504"/>
      <c r="AS38" s="3504"/>
      <c r="AT38" s="3504"/>
      <c r="AU38" s="3504"/>
      <c r="AV38" s="3504"/>
      <c r="AW38" s="3543" t="s">
        <v>3446</v>
      </c>
      <c r="AX38" s="3504"/>
    </row>
    <row r="39" spans="1:70" ht="11.25" customHeight="1">
      <c r="A39" s="3481" t="s">
        <v>3874</v>
      </c>
      <c r="B39" s="3484">
        <v>78.790000000000006</v>
      </c>
      <c r="C39" s="3488" t="s">
        <v>3423</v>
      </c>
      <c r="D39" s="3489" t="s">
        <v>3416</v>
      </c>
      <c r="F39" s="3492" t="s">
        <v>3412</v>
      </c>
      <c r="K39" s="3496" t="s">
        <v>3447</v>
      </c>
      <c r="X39" s="3568" t="s">
        <v>3875</v>
      </c>
      <c r="Y39" s="3504"/>
      <c r="Z39" s="3504"/>
      <c r="AA39" s="3504"/>
      <c r="AB39" s="3504"/>
      <c r="AC39" s="3504"/>
      <c r="AD39" s="3504"/>
      <c r="AE39" s="3504"/>
      <c r="AF39" s="3504"/>
      <c r="AG39" s="3504"/>
      <c r="AH39" s="3504"/>
      <c r="AI39" s="3504"/>
      <c r="AJ39" s="3504"/>
      <c r="AK39" s="3504"/>
      <c r="AL39" s="3504"/>
      <c r="AM39" s="3504"/>
      <c r="AN39" s="3504"/>
      <c r="AO39" s="3504"/>
      <c r="AP39" s="3504"/>
      <c r="AQ39" s="3504"/>
      <c r="AR39" s="3504"/>
      <c r="AS39" s="3504"/>
      <c r="AT39" s="3504"/>
      <c r="AU39" s="3504"/>
      <c r="AV39" s="3504"/>
      <c r="AW39" s="3569" t="s">
        <v>3448</v>
      </c>
      <c r="AX39" s="3504"/>
    </row>
    <row r="40" spans="1:70" ht="11.25" customHeight="1">
      <c r="A40" s="3482" t="s">
        <v>3449</v>
      </c>
      <c r="B40" s="3484">
        <v>93.77</v>
      </c>
      <c r="C40" s="3486" t="s">
        <v>3450</v>
      </c>
      <c r="D40" s="3490" t="s">
        <v>3411</v>
      </c>
      <c r="F40" s="3493" t="s">
        <v>3412</v>
      </c>
      <c r="K40" s="3497" t="s">
        <v>3451</v>
      </c>
      <c r="X40" s="3543">
        <v>68572</v>
      </c>
      <c r="Y40" s="3504"/>
      <c r="Z40" s="3504"/>
      <c r="AA40" s="3504"/>
      <c r="AB40" s="3504"/>
      <c r="AC40" s="3504"/>
      <c r="AD40" s="3504"/>
      <c r="AE40" s="3504"/>
      <c r="AF40" s="3504"/>
      <c r="AG40" s="3504"/>
      <c r="AH40" s="3504"/>
      <c r="AI40" s="3504"/>
      <c r="AJ40" s="3504"/>
      <c r="AK40" s="3504"/>
      <c r="AL40" s="3504"/>
      <c r="AM40" s="3504"/>
      <c r="AN40" s="3504"/>
      <c r="AO40" s="3504"/>
      <c r="AP40" s="3504"/>
      <c r="AQ40" s="3504"/>
      <c r="AR40" s="3504"/>
      <c r="AS40" s="3504"/>
      <c r="AT40" s="3504"/>
      <c r="AU40" s="3504"/>
      <c r="AV40" s="3504"/>
      <c r="AW40" s="3543" t="s">
        <v>3452</v>
      </c>
      <c r="AX40" s="3504"/>
    </row>
    <row r="41" spans="1:70" ht="11.25" customHeight="1">
      <c r="A41" s="3482" t="s">
        <v>3453</v>
      </c>
      <c r="B41" s="3484">
        <v>143.93</v>
      </c>
      <c r="C41" s="3486" t="s">
        <v>3454</v>
      </c>
      <c r="D41" s="3490" t="s">
        <v>3430</v>
      </c>
      <c r="F41" s="3493" t="s">
        <v>3412</v>
      </c>
      <c r="K41" s="3497" t="s">
        <v>3456</v>
      </c>
      <c r="X41" s="3543" t="s">
        <v>3876</v>
      </c>
      <c r="Y41" s="3504"/>
      <c r="Z41" s="3504"/>
      <c r="AA41" s="3504"/>
      <c r="AB41" s="3504"/>
      <c r="AC41" s="3504"/>
      <c r="AD41" s="3504"/>
      <c r="AE41" s="3504"/>
      <c r="AF41" s="3504"/>
      <c r="AG41" s="3504"/>
      <c r="AH41" s="3504"/>
      <c r="AI41" s="3504"/>
      <c r="AJ41" s="3504"/>
      <c r="AK41" s="3504"/>
      <c r="AL41" s="3504"/>
      <c r="AM41" s="3504"/>
      <c r="AN41" s="3504"/>
      <c r="AO41" s="3504"/>
      <c r="AP41" s="3504"/>
      <c r="AQ41" s="3504"/>
      <c r="AR41" s="3504"/>
      <c r="AS41" s="3504"/>
      <c r="AT41" s="3504"/>
      <c r="AU41" s="3504"/>
      <c r="AV41" s="3504"/>
      <c r="AW41" s="3543" t="s">
        <v>3457</v>
      </c>
      <c r="AX41" s="3504"/>
    </row>
    <row r="42" spans="1:70" ht="11.25" customHeight="1">
      <c r="A42" s="3544" t="s">
        <v>4281</v>
      </c>
      <c r="B42" s="3544">
        <v>82.11</v>
      </c>
      <c r="C42" s="3544" t="s">
        <v>3423</v>
      </c>
      <c r="D42" s="3544" t="s">
        <v>3411</v>
      </c>
      <c r="E42" s="3545"/>
      <c r="F42" s="3544" t="s">
        <v>3412</v>
      </c>
      <c r="G42" s="3545"/>
      <c r="H42" s="3545"/>
      <c r="I42" s="3545"/>
      <c r="J42" s="3545"/>
      <c r="K42" s="3544" t="s">
        <v>3459</v>
      </c>
      <c r="L42" s="3545"/>
      <c r="M42" s="3545"/>
      <c r="N42" s="3545"/>
      <c r="O42" s="3545"/>
      <c r="P42" s="3545"/>
      <c r="Q42" s="3545"/>
      <c r="R42" s="3545"/>
      <c r="S42" s="3545"/>
      <c r="T42" s="3545"/>
      <c r="U42" s="3545"/>
      <c r="V42" s="3545"/>
      <c r="W42" s="3545"/>
      <c r="X42" s="3544" t="s">
        <v>3877</v>
      </c>
      <c r="Y42" s="3545"/>
      <c r="Z42" s="3545"/>
      <c r="AA42" s="3545"/>
      <c r="AB42" s="3545"/>
      <c r="AC42" s="3545"/>
      <c r="AD42" s="3545"/>
      <c r="AE42" s="3545"/>
      <c r="AF42" s="3545"/>
      <c r="AG42" s="3545"/>
      <c r="AH42" s="3545"/>
      <c r="AI42" s="3545"/>
      <c r="AJ42" s="3545"/>
      <c r="AK42" s="3545"/>
      <c r="AL42" s="3545"/>
      <c r="AM42" s="3545"/>
      <c r="AN42" s="3545"/>
      <c r="AO42" s="3545"/>
      <c r="AP42" s="3545"/>
      <c r="AQ42" s="3545"/>
      <c r="AR42" s="3545"/>
      <c r="AS42" s="3545"/>
      <c r="AT42" s="3545"/>
      <c r="AU42" s="3545"/>
      <c r="AV42" s="3545"/>
      <c r="AW42" s="3544" t="s">
        <v>3460</v>
      </c>
      <c r="AX42">
        <v>16</v>
      </c>
      <c r="AY42" s="3449" t="s">
        <v>4289</v>
      </c>
    </row>
    <row r="43" spans="1:70" ht="11.25" customHeight="1">
      <c r="A43" s="3544" t="s">
        <v>4288</v>
      </c>
      <c r="B43" s="3544">
        <v>72.77</v>
      </c>
      <c r="C43" s="3544" t="s">
        <v>3438</v>
      </c>
      <c r="D43" s="3544" t="s">
        <v>3420</v>
      </c>
      <c r="E43" s="3545"/>
      <c r="F43" s="3544" t="s">
        <v>3412</v>
      </c>
      <c r="G43" s="3545"/>
      <c r="H43" s="3545"/>
      <c r="I43" s="3545"/>
      <c r="J43" s="3545"/>
      <c r="K43" s="3544" t="s">
        <v>3463</v>
      </c>
      <c r="L43" s="3545"/>
      <c r="M43" s="3545"/>
      <c r="N43" s="3545"/>
      <c r="O43" s="3545"/>
      <c r="P43" s="3545"/>
      <c r="Q43" s="3545"/>
      <c r="R43" s="3545"/>
      <c r="S43" s="3545"/>
      <c r="T43" s="3545"/>
      <c r="U43" s="3545"/>
      <c r="V43" s="3545"/>
      <c r="W43" s="3545"/>
      <c r="X43" s="3544" t="s">
        <v>3878</v>
      </c>
      <c r="Y43" s="3545"/>
      <c r="Z43" s="3545"/>
      <c r="AA43" s="3545"/>
      <c r="AB43" s="3545"/>
      <c r="AC43" s="3545"/>
      <c r="AD43" s="3545"/>
      <c r="AE43" s="3545"/>
      <c r="AF43" s="3545"/>
      <c r="AG43" s="3545"/>
      <c r="AH43" s="3545"/>
      <c r="AI43" s="3545"/>
      <c r="AJ43" s="3545"/>
      <c r="AK43" s="3545"/>
      <c r="AL43" s="3545"/>
      <c r="AM43" s="3545"/>
      <c r="AN43" s="3545"/>
      <c r="AO43" s="3545"/>
      <c r="AP43" s="3545"/>
      <c r="AQ43" s="3545"/>
      <c r="AR43" s="3545"/>
      <c r="AS43" s="3545"/>
      <c r="AT43" s="3545"/>
      <c r="AU43" s="3545"/>
      <c r="AV43" s="3545"/>
      <c r="AW43" s="3544" t="s">
        <v>3464</v>
      </c>
      <c r="AY43" s="3449" t="s">
        <v>4290</v>
      </c>
    </row>
    <row r="44" spans="1:70" ht="11.25" customHeight="1">
      <c r="A44" s="3482" t="s">
        <v>4282</v>
      </c>
      <c r="B44" s="3484">
        <v>38.4</v>
      </c>
      <c r="C44" s="3486" t="s">
        <v>3466</v>
      </c>
      <c r="D44" s="3490" t="s">
        <v>3420</v>
      </c>
      <c r="F44" s="3493" t="s">
        <v>3412</v>
      </c>
      <c r="K44" s="3497" t="s">
        <v>3467</v>
      </c>
      <c r="X44" s="3543" t="s">
        <v>3879</v>
      </c>
      <c r="Y44" s="3504"/>
      <c r="Z44" s="3504"/>
      <c r="AA44" s="3504"/>
      <c r="AB44" s="3504"/>
      <c r="AC44" s="3504"/>
      <c r="AD44" s="3504"/>
      <c r="AE44" s="3504"/>
      <c r="AF44" s="3504"/>
      <c r="AG44" s="3504"/>
      <c r="AH44" s="3504"/>
      <c r="AI44" s="3504"/>
      <c r="AJ44" s="3504"/>
      <c r="AK44" s="3504"/>
      <c r="AL44" s="3504"/>
      <c r="AM44" s="3504"/>
      <c r="AN44" s="3504"/>
      <c r="AO44" s="3504"/>
      <c r="AP44" s="3504"/>
      <c r="AQ44" s="3504"/>
      <c r="AR44" s="3504"/>
      <c r="AS44" s="3504"/>
      <c r="AT44" s="3504"/>
      <c r="AU44" s="3504"/>
      <c r="AV44" s="3504"/>
      <c r="AW44" s="3543" t="s">
        <v>3468</v>
      </c>
    </row>
    <row r="45" spans="1:70" ht="11.25" customHeight="1">
      <c r="A45" s="3482" t="s">
        <v>3880</v>
      </c>
      <c r="B45" s="3484">
        <v>71.06</v>
      </c>
      <c r="C45" s="3486" t="s">
        <v>3469</v>
      </c>
      <c r="D45" s="3490" t="s">
        <v>3420</v>
      </c>
      <c r="F45" s="3493" t="s">
        <v>3412</v>
      </c>
      <c r="K45" s="3497" t="s">
        <v>3471</v>
      </c>
      <c r="X45" s="3543" t="s">
        <v>3881</v>
      </c>
      <c r="Y45" s="3504"/>
      <c r="Z45" s="3504"/>
      <c r="AA45" s="3504"/>
      <c r="AB45" s="3504"/>
      <c r="AC45" s="3504"/>
      <c r="AD45" s="3504"/>
      <c r="AE45" s="3504"/>
      <c r="AF45" s="3504"/>
      <c r="AG45" s="3504"/>
      <c r="AH45" s="3504"/>
      <c r="AI45" s="3504"/>
      <c r="AJ45" s="3504"/>
      <c r="AK45" s="3504"/>
      <c r="AL45" s="3504"/>
      <c r="AM45" s="3504"/>
      <c r="AN45" s="3504"/>
      <c r="AO45" s="3504"/>
      <c r="AP45" s="3504"/>
      <c r="AQ45" s="3504"/>
      <c r="AR45" s="3504"/>
      <c r="AS45" s="3504"/>
      <c r="AT45" s="3504"/>
      <c r="AU45" s="3504"/>
      <c r="AV45" s="3504"/>
      <c r="AW45" s="3543" t="s">
        <v>3472</v>
      </c>
    </row>
  </sheetData>
  <autoFilter ref="AW1:AW45"/>
  <phoneticPr fontId="136" type="noConversion"/>
  <pageMargins left="0.7" right="0.7" top="0.75" bottom="0.75" header="0.3" footer="0.3"/>
  <ignoredErrors>
    <ignoredError sqref="K2:K8" numberStoredAsText="1"/>
  </ignoredErrors>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451"/>
      <c r="B1" s="3453"/>
      <c r="C1" s="3453"/>
      <c r="D1" s="3453"/>
      <c r="E1" s="3453"/>
      <c r="F1" s="3453"/>
      <c r="G1" s="3453"/>
      <c r="H1" s="3453"/>
      <c r="I1" s="3453"/>
      <c r="J1" s="3453"/>
      <c r="K1" s="3455"/>
    </row>
    <row r="2" spans="1:14">
      <c r="A2" s="3452" t="s">
        <v>3398</v>
      </c>
      <c r="B2" s="3454" t="s">
        <v>3399</v>
      </c>
      <c r="C2" s="3454" t="s">
        <v>3400</v>
      </c>
      <c r="D2" s="3454" t="s">
        <v>3401</v>
      </c>
      <c r="E2" s="3454" t="s">
        <v>3402</v>
      </c>
      <c r="F2" s="3454" t="s">
        <v>3403</v>
      </c>
      <c r="G2" s="3454" t="s">
        <v>3404</v>
      </c>
      <c r="H2" s="3465" t="s">
        <v>3405</v>
      </c>
      <c r="I2" s="3454" t="s">
        <v>3406</v>
      </c>
      <c r="J2" s="3454" t="s">
        <v>3407</v>
      </c>
      <c r="K2" s="3456" t="s">
        <v>3408</v>
      </c>
    </row>
    <row r="3" spans="1:14" hidden="1">
      <c r="A3" s="3457" t="s">
        <v>3449</v>
      </c>
      <c r="B3" s="3457">
        <v>93.77</v>
      </c>
      <c r="C3" s="3457" t="s">
        <v>3450</v>
      </c>
      <c r="D3" s="3457" t="s">
        <v>3411</v>
      </c>
      <c r="E3" s="3457">
        <v>77.099999999999994</v>
      </c>
      <c r="F3" s="3457" t="s">
        <v>3412</v>
      </c>
      <c r="G3" s="3457">
        <v>2070000</v>
      </c>
      <c r="H3" s="3466">
        <v>22075</v>
      </c>
      <c r="I3" s="3457">
        <v>618.9</v>
      </c>
      <c r="J3" s="3457" t="s">
        <v>3451</v>
      </c>
      <c r="K3" s="3458" t="s">
        <v>3452</v>
      </c>
    </row>
    <row r="4" spans="1:14" hidden="1">
      <c r="A4" s="3457" t="s">
        <v>3453</v>
      </c>
      <c r="B4" s="3457">
        <v>143.93</v>
      </c>
      <c r="C4" s="3457" t="s">
        <v>3454</v>
      </c>
      <c r="D4" s="3457" t="s">
        <v>3430</v>
      </c>
      <c r="E4" s="3457" t="s">
        <v>3455</v>
      </c>
      <c r="F4" s="3457" t="s">
        <v>3412</v>
      </c>
      <c r="G4" s="3457">
        <v>3310000</v>
      </c>
      <c r="H4" s="3466">
        <v>22997</v>
      </c>
      <c r="I4" s="3457">
        <v>804.39</v>
      </c>
      <c r="J4" s="3457" t="s">
        <v>3456</v>
      </c>
      <c r="K4" s="3458" t="s">
        <v>3457</v>
      </c>
    </row>
    <row r="5" spans="1:14">
      <c r="A5" s="3457" t="s">
        <v>3458</v>
      </c>
      <c r="B5" s="3457">
        <v>82.11</v>
      </c>
      <c r="C5" s="3457" t="s">
        <v>3423</v>
      </c>
      <c r="D5" s="3457" t="s">
        <v>3411</v>
      </c>
      <c r="E5" s="3457" t="s">
        <v>633</v>
      </c>
      <c r="F5" s="3457" t="s">
        <v>3412</v>
      </c>
      <c r="G5" s="3457">
        <v>1850000</v>
      </c>
      <c r="H5" s="3466">
        <v>22531</v>
      </c>
      <c r="I5" s="3457">
        <v>521.98</v>
      </c>
      <c r="J5" s="3457" t="s">
        <v>3459</v>
      </c>
      <c r="K5" s="3458" t="s">
        <v>3460</v>
      </c>
    </row>
    <row r="6" spans="1:14">
      <c r="A6" s="3457" t="s">
        <v>3461</v>
      </c>
      <c r="B6" s="3457">
        <v>72.77</v>
      </c>
      <c r="C6" s="3457" t="s">
        <v>3438</v>
      </c>
      <c r="D6" s="3457" t="s">
        <v>3420</v>
      </c>
      <c r="E6" s="3457" t="s">
        <v>3462</v>
      </c>
      <c r="F6" s="3457" t="s">
        <v>3412</v>
      </c>
      <c r="G6" s="3457">
        <v>1800000</v>
      </c>
      <c r="H6" s="3466">
        <v>24735</v>
      </c>
      <c r="I6" s="3457">
        <v>454.47</v>
      </c>
      <c r="J6" s="3457" t="s">
        <v>3463</v>
      </c>
      <c r="K6" s="3458" t="s">
        <v>3464</v>
      </c>
    </row>
    <row r="7" spans="1:14" s="3464" customFormat="1" hidden="1">
      <c r="A7" s="3462" t="s">
        <v>3465</v>
      </c>
      <c r="B7" s="3462">
        <v>38.4</v>
      </c>
      <c r="C7" s="3462" t="s">
        <v>3466</v>
      </c>
      <c r="D7" s="3462" t="s">
        <v>3420</v>
      </c>
      <c r="E7" s="3462" t="s">
        <v>633</v>
      </c>
      <c r="F7" s="3462" t="s">
        <v>3412</v>
      </c>
      <c r="G7" s="3462">
        <v>2000000</v>
      </c>
      <c r="H7" s="3467">
        <v>52083</v>
      </c>
      <c r="I7" s="3462">
        <v>253.71</v>
      </c>
      <c r="J7" s="3462" t="s">
        <v>3467</v>
      </c>
      <c r="K7" s="3463" t="s">
        <v>3468</v>
      </c>
    </row>
    <row r="8" spans="1:14" s="3464" customFormat="1">
      <c r="A8" s="3462" t="s">
        <v>3504</v>
      </c>
      <c r="B8" s="3462">
        <v>71.06</v>
      </c>
      <c r="C8" s="3462" t="s">
        <v>3469</v>
      </c>
      <c r="D8" s="3462" t="s">
        <v>3420</v>
      </c>
      <c r="E8" s="3462" t="s">
        <v>3470</v>
      </c>
      <c r="F8" s="3462" t="s">
        <v>3412</v>
      </c>
      <c r="G8" s="3462">
        <v>3080000</v>
      </c>
      <c r="H8" s="3467">
        <v>43344</v>
      </c>
      <c r="I8" s="3462">
        <v>426.58</v>
      </c>
      <c r="J8" s="3462" t="s">
        <v>3471</v>
      </c>
      <c r="K8" s="3463" t="s">
        <v>3472</v>
      </c>
    </row>
    <row r="10" spans="1:14" ht="15" thickBot="1"/>
    <row r="11" spans="1:14" ht="15" thickBot="1">
      <c r="A11" s="3459" t="s">
        <v>3473</v>
      </c>
      <c r="B11" s="3459" t="s">
        <v>3474</v>
      </c>
      <c r="C11" s="3459" t="s">
        <v>3475</v>
      </c>
      <c r="D11" s="3459" t="s">
        <v>3476</v>
      </c>
      <c r="E11" s="3459" t="s">
        <v>3477</v>
      </c>
      <c r="F11" s="3459" t="s">
        <v>3478</v>
      </c>
      <c r="G11" s="3459" t="s">
        <v>3479</v>
      </c>
      <c r="H11" s="3459" t="s">
        <v>3480</v>
      </c>
      <c r="I11" s="3459" t="s">
        <v>3481</v>
      </c>
      <c r="J11" s="3459" t="s">
        <v>3482</v>
      </c>
      <c r="K11" s="3459" t="s">
        <v>3483</v>
      </c>
      <c r="L11" s="3459" t="s">
        <v>3484</v>
      </c>
      <c r="M11" s="3459" t="s">
        <v>3485</v>
      </c>
      <c r="N11" s="3459" t="s">
        <v>3486</v>
      </c>
    </row>
    <row r="12" spans="1:14" ht="15" thickBot="1">
      <c r="A12" s="3460" t="s">
        <v>3487</v>
      </c>
      <c r="B12" s="3460" t="s">
        <v>3488</v>
      </c>
      <c r="C12" s="3460" t="s">
        <v>3489</v>
      </c>
      <c r="D12" s="3460" t="s">
        <v>3490</v>
      </c>
      <c r="E12" s="3460">
        <v>48.95</v>
      </c>
      <c r="F12" s="3460" t="s">
        <v>3386</v>
      </c>
      <c r="G12" s="3460" t="s">
        <v>3491</v>
      </c>
      <c r="H12" s="3460">
        <v>15</v>
      </c>
      <c r="I12" s="3460" t="s">
        <v>633</v>
      </c>
      <c r="J12" s="3460">
        <v>1998</v>
      </c>
      <c r="K12" s="3460">
        <v>70480</v>
      </c>
      <c r="L12" s="3460">
        <v>63450</v>
      </c>
      <c r="M12" s="3460">
        <v>3105878</v>
      </c>
      <c r="N12" s="3461">
        <v>42825</v>
      </c>
    </row>
    <row r="13" spans="1:14" ht="27" thickBot="1">
      <c r="A13" s="3564" t="s">
        <v>4291</v>
      </c>
      <c r="B13" s="3564" t="s">
        <v>3494</v>
      </c>
      <c r="C13" s="3564" t="s">
        <v>3489</v>
      </c>
      <c r="D13" s="3564" t="s">
        <v>3495</v>
      </c>
      <c r="E13" s="3564">
        <v>90.99</v>
      </c>
      <c r="F13" s="3564" t="s">
        <v>3386</v>
      </c>
      <c r="G13" s="3564" t="s">
        <v>3496</v>
      </c>
      <c r="H13" s="3564">
        <v>16</v>
      </c>
      <c r="I13" s="3564">
        <v>2005</v>
      </c>
      <c r="J13" s="3564" t="s">
        <v>633</v>
      </c>
      <c r="K13" s="3564">
        <v>65941</v>
      </c>
      <c r="L13" s="3564">
        <v>59463</v>
      </c>
      <c r="M13" s="3564">
        <v>5410538</v>
      </c>
      <c r="N13" s="3565">
        <v>42840</v>
      </c>
    </row>
    <row r="15" spans="1:14">
      <c r="I15" s="3449" t="s">
        <v>4293</v>
      </c>
    </row>
  </sheetData>
  <phoneticPr fontId="136" type="noConversion"/>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873" t="s">
        <v>2319</v>
      </c>
      <c r="K2" s="3874"/>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875" t="s">
        <v>2329</v>
      </c>
      <c r="K3" s="3876"/>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875" t="s">
        <v>2331</v>
      </c>
      <c r="K4" s="3876"/>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881" t="s">
        <v>2335</v>
      </c>
      <c r="B6" s="3882"/>
      <c r="C6" s="3883"/>
      <c r="D6" s="2869"/>
      <c r="E6" s="2870"/>
      <c r="F6" s="2871"/>
      <c r="G6" s="2872"/>
      <c r="H6" s="2847"/>
      <c r="I6" s="2848"/>
      <c r="J6" s="3867">
        <v>1</v>
      </c>
      <c r="K6" s="386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867"/>
      <c r="K7" s="3869"/>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884" t="s">
        <v>2349</v>
      </c>
      <c r="C8" s="3885"/>
      <c r="D8" s="2888" t="s">
        <v>2350</v>
      </c>
      <c r="E8" s="2889" t="s">
        <v>2351</v>
      </c>
      <c r="F8" s="2890" t="s">
        <v>2352</v>
      </c>
      <c r="G8" s="2891"/>
      <c r="H8" s="2847"/>
      <c r="I8" s="2848"/>
      <c r="J8" s="3867"/>
      <c r="K8" s="3869"/>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884" t="s">
        <v>2355</v>
      </c>
      <c r="C9" s="3885"/>
      <c r="D9" s="2888">
        <f>ROUND(D6*E9,0)</f>
        <v>0</v>
      </c>
      <c r="E9" s="2892"/>
      <c r="F9" s="2893" t="s">
        <v>2356</v>
      </c>
      <c r="G9" s="2872"/>
      <c r="H9" s="2847"/>
      <c r="I9" s="2848"/>
      <c r="J9" s="3867"/>
      <c r="K9" s="3869"/>
      <c r="L9" s="2882" t="s">
        <v>2357</v>
      </c>
      <c r="M9" s="2883"/>
      <c r="N9" s="2859"/>
      <c r="O9" s="2884"/>
      <c r="P9" s="2884"/>
      <c r="Q9" s="2885">
        <v>365</v>
      </c>
      <c r="R9" s="2886">
        <f t="shared" si="0"/>
        <v>0</v>
      </c>
      <c r="S9" s="2840"/>
      <c r="T9" s="2840"/>
      <c r="U9" s="2840"/>
      <c r="V9" s="2848"/>
    </row>
    <row r="10" spans="1:22" s="2852" customFormat="1" ht="13.2" customHeight="1">
      <c r="A10" s="2887">
        <v>2</v>
      </c>
      <c r="B10" s="3884" t="s">
        <v>2358</v>
      </c>
      <c r="C10" s="3885"/>
      <c r="D10" s="2888">
        <f>ROUND(D6*E10,0)</f>
        <v>0</v>
      </c>
      <c r="E10" s="2892"/>
      <c r="F10" s="2893" t="s">
        <v>2359</v>
      </c>
      <c r="G10" s="2872"/>
      <c r="H10" s="2847"/>
      <c r="I10" s="2848"/>
      <c r="J10" s="3867"/>
      <c r="K10" s="3869"/>
      <c r="L10" s="2882" t="s">
        <v>2360</v>
      </c>
      <c r="M10" s="2883"/>
      <c r="N10" s="2859"/>
      <c r="O10" s="2884"/>
      <c r="P10" s="2884"/>
      <c r="Q10" s="2885">
        <v>365</v>
      </c>
      <c r="R10" s="2886">
        <f t="shared" si="0"/>
        <v>0</v>
      </c>
      <c r="S10" s="2840"/>
      <c r="T10" s="2840"/>
      <c r="U10" s="2840"/>
      <c r="V10" s="2848"/>
    </row>
    <row r="11" spans="1:22" s="2852" customFormat="1" ht="13.2" customHeight="1">
      <c r="A11" s="2887">
        <v>3</v>
      </c>
      <c r="B11" s="3884" t="s">
        <v>2361</v>
      </c>
      <c r="C11" s="3885"/>
      <c r="D11" s="2888">
        <f>D12+D14+D15+D16</f>
        <v>0</v>
      </c>
      <c r="E11" s="2894" t="e">
        <f>D11/D6</f>
        <v>#DIV/0!</v>
      </c>
      <c r="F11" s="2890"/>
      <c r="G11" s="2891"/>
      <c r="H11" s="2847"/>
      <c r="I11" s="2848"/>
      <c r="J11" s="3867"/>
      <c r="K11" s="3869"/>
      <c r="L11" s="2882" t="s">
        <v>2362</v>
      </c>
      <c r="M11" s="2883"/>
      <c r="N11" s="2859"/>
      <c r="O11" s="2884"/>
      <c r="P11" s="2884"/>
      <c r="Q11" s="2885">
        <v>365</v>
      </c>
      <c r="R11" s="2886">
        <f t="shared" si="0"/>
        <v>0</v>
      </c>
      <c r="S11" s="2840"/>
      <c r="T11" s="2840"/>
      <c r="U11" s="2840"/>
      <c r="V11" s="2848"/>
    </row>
    <row r="12" spans="1:22" s="2852" customFormat="1" ht="13.2" customHeight="1">
      <c r="A12" s="2895" t="s">
        <v>2363</v>
      </c>
      <c r="B12" s="3877" t="s">
        <v>2364</v>
      </c>
      <c r="C12" s="3878"/>
      <c r="D12" s="2896">
        <f>ROUND(D13*1.2%*(1-30%),0)</f>
        <v>0</v>
      </c>
      <c r="E12" s="2897">
        <v>1.2E-2</v>
      </c>
      <c r="F12" s="2890" t="s">
        <v>2365</v>
      </c>
      <c r="G12" s="2891"/>
      <c r="H12" s="2847"/>
      <c r="I12" s="2848"/>
      <c r="J12" s="3867"/>
      <c r="K12" s="3869"/>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867"/>
      <c r="K13" s="3869"/>
      <c r="L13" s="2882" t="s">
        <v>2368</v>
      </c>
      <c r="M13" s="2883"/>
      <c r="N13" s="2859"/>
      <c r="O13" s="2884"/>
      <c r="P13" s="2884"/>
      <c r="Q13" s="2885">
        <v>365</v>
      </c>
      <c r="R13" s="2886">
        <f t="shared" si="0"/>
        <v>0</v>
      </c>
      <c r="S13" s="2840"/>
      <c r="T13" s="2840"/>
      <c r="U13" s="2840"/>
      <c r="V13" s="2848"/>
    </row>
    <row r="14" spans="1:22" s="2852" customFormat="1" ht="13.2" customHeight="1">
      <c r="A14" s="2895" t="s">
        <v>2369</v>
      </c>
      <c r="B14" s="3877" t="s">
        <v>2370</v>
      </c>
      <c r="C14" s="3878"/>
      <c r="D14" s="2896">
        <f>ROUND(E14*B5/10000,0)</f>
        <v>0</v>
      </c>
      <c r="E14" s="2885"/>
      <c r="F14" s="2890" t="s">
        <v>2371</v>
      </c>
      <c r="G14" s="2891"/>
      <c r="H14" s="2847"/>
      <c r="I14" s="2848"/>
      <c r="J14" s="3867"/>
      <c r="K14" s="387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877" t="s">
        <v>2374</v>
      </c>
      <c r="C15" s="3878"/>
      <c r="D15" s="2896">
        <f>ROUND(D6*E15,0)</f>
        <v>0</v>
      </c>
      <c r="E15" s="2897">
        <v>5.5E-2</v>
      </c>
      <c r="F15" s="2890" t="s">
        <v>2375</v>
      </c>
      <c r="G15" s="2872"/>
      <c r="H15" s="2847"/>
      <c r="I15" s="2848"/>
      <c r="J15" s="3867">
        <v>2</v>
      </c>
      <c r="K15" s="386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877" t="s">
        <v>2383</v>
      </c>
      <c r="C16" s="3878"/>
      <c r="D16" s="2907">
        <f>D6*E16</f>
        <v>0</v>
      </c>
      <c r="E16" s="2908"/>
      <c r="F16" s="2893" t="s">
        <v>2384</v>
      </c>
      <c r="G16" s="2872"/>
      <c r="H16" s="2847"/>
      <c r="I16" s="2848"/>
      <c r="J16" s="3867"/>
      <c r="K16" s="3869"/>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879" t="s">
        <v>2386</v>
      </c>
      <c r="C17" s="3880"/>
      <c r="D17" s="2910">
        <f>ROUND(D6*E17,0)</f>
        <v>0</v>
      </c>
      <c r="E17" s="2911"/>
      <c r="F17" s="2912" t="s">
        <v>2387</v>
      </c>
      <c r="G17" s="2872"/>
      <c r="H17" s="2847"/>
      <c r="I17" s="2848"/>
      <c r="J17" s="3867"/>
      <c r="K17" s="3869"/>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867"/>
      <c r="K18" s="3869"/>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867"/>
      <c r="K19" s="387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867">
        <v>3</v>
      </c>
      <c r="K20" s="386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867"/>
      <c r="K21" s="3869"/>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867"/>
      <c r="K22" s="3869"/>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867"/>
      <c r="K23" s="3869"/>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867"/>
      <c r="K24" s="387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871">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872"/>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873" t="s">
        <v>2319</v>
      </c>
      <c r="K32" s="3874"/>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875" t="s">
        <v>2329</v>
      </c>
      <c r="K33" s="3876"/>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875" t="s">
        <v>2331</v>
      </c>
      <c r="K34" s="387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867">
        <v>1</v>
      </c>
      <c r="K36" s="3868"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867"/>
      <c r="K37" s="3869"/>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867"/>
      <c r="K38" s="3869"/>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867"/>
      <c r="K39" s="3869"/>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867"/>
      <c r="K40" s="3870"/>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871">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872"/>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6"/>
      <c r="G1" s="1489"/>
      <c r="H1" s="1489"/>
      <c r="I1" s="1489"/>
      <c r="J1" s="1489"/>
      <c r="K1" s="1489"/>
      <c r="L1" s="1489"/>
      <c r="M1" s="1489"/>
      <c r="N1" s="1489"/>
      <c r="O1" s="1489"/>
      <c r="P1" s="1489"/>
      <c r="Q1" s="1489"/>
      <c r="R1" s="1489"/>
      <c r="S1" s="1489"/>
    </row>
    <row r="2" spans="1:22" ht="15.6">
      <c r="A2" s="1870" t="s">
        <v>1461</v>
      </c>
      <c r="B2" s="1871">
        <f ca="1">SUMIF(B6:B13,"&lt;&gt;#ref!",B6:B13)</f>
        <v>33.2928</v>
      </c>
      <c r="C2" s="1872" t="s">
        <v>1650</v>
      </c>
      <c r="D2" s="1873" t="s">
        <v>1651</v>
      </c>
      <c r="E2" s="2606">
        <f>SUM(E6:E13)</f>
        <v>93.38</v>
      </c>
      <c r="F2" s="2706"/>
      <c r="G2" s="1489"/>
      <c r="H2" s="1489"/>
      <c r="I2" s="1489"/>
      <c r="J2" s="1489"/>
      <c r="K2" s="1489"/>
      <c r="L2" s="1489"/>
      <c r="M2" s="1489"/>
      <c r="N2" s="1489"/>
      <c r="O2" s="1489"/>
      <c r="P2" s="1489"/>
      <c r="Q2" s="1489"/>
      <c r="R2" s="1489"/>
      <c r="S2" s="1489"/>
    </row>
    <row r="3" spans="1:22" ht="15.6">
      <c r="A3" s="1870" t="s">
        <v>686</v>
      </c>
      <c r="B3" s="2600">
        <f ca="1">ROUND(B2*10000/E2,0)</f>
        <v>3565</v>
      </c>
      <c r="C3" s="1872" t="s">
        <v>1658</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1652</v>
      </c>
      <c r="B5" s="3886" t="s">
        <v>1653</v>
      </c>
      <c r="C5" s="3887"/>
      <c r="D5" s="2707"/>
      <c r="E5" s="1874" t="s">
        <v>1654</v>
      </c>
      <c r="F5" s="1875" t="s">
        <v>1655</v>
      </c>
      <c r="G5" s="1489"/>
      <c r="H5" s="1489"/>
      <c r="I5" s="1489"/>
      <c r="J5" s="1489"/>
      <c r="K5" s="1489"/>
      <c r="L5" s="1489"/>
      <c r="M5" s="1489"/>
      <c r="N5" s="1489"/>
      <c r="O5" s="1489"/>
      <c r="P5" s="1489"/>
      <c r="Q5" s="1489"/>
      <c r="R5" s="1489"/>
      <c r="S5" s="1489"/>
    </row>
    <row r="6" spans="1:22" ht="14.4">
      <c r="A6" s="2603" t="str">
        <f>'数据-取费表'!AN6</f>
        <v>收益法3.31</v>
      </c>
      <c r="B6" s="2601">
        <f ca="1">IF(F6="是",'数据-取费表'!AO6,0)</f>
        <v>33.2928</v>
      </c>
      <c r="C6" s="1872" t="s">
        <v>1650</v>
      </c>
      <c r="D6" s="2708"/>
      <c r="E6" s="2605">
        <f>IF(OR(A6=0,F6="否"),0,'数据-取费表'!K6+'数据-取费表'!S6)</f>
        <v>93.38</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470"/>
  </cols>
  <sheetData>
    <row r="11" spans="1:24">
      <c r="A11" s="3476">
        <v>43070</v>
      </c>
      <c r="B11" s="3473">
        <v>43040</v>
      </c>
      <c r="C11" s="3473">
        <v>43009</v>
      </c>
      <c r="D11" s="3473">
        <v>42979</v>
      </c>
      <c r="E11" s="3473">
        <v>42948</v>
      </c>
      <c r="F11" s="3473">
        <v>42917</v>
      </c>
      <c r="G11" s="3473">
        <v>42887</v>
      </c>
      <c r="H11" s="3473">
        <v>42856</v>
      </c>
      <c r="I11" s="3473">
        <v>42826</v>
      </c>
      <c r="J11" s="3476">
        <v>42795</v>
      </c>
      <c r="K11" s="3473">
        <v>42767</v>
      </c>
      <c r="L11" s="3473">
        <v>42736</v>
      </c>
      <c r="M11" s="3473">
        <v>42705</v>
      </c>
      <c r="N11" s="3473">
        <v>42675</v>
      </c>
      <c r="O11" s="3473">
        <v>42644</v>
      </c>
      <c r="P11" s="3473">
        <v>42614</v>
      </c>
      <c r="Q11" s="3473">
        <v>42583</v>
      </c>
      <c r="R11" s="3473">
        <v>42552</v>
      </c>
      <c r="S11" s="3473">
        <v>42522</v>
      </c>
      <c r="T11" s="3473">
        <v>42491</v>
      </c>
      <c r="U11" s="3473">
        <v>42461</v>
      </c>
      <c r="V11" s="3473">
        <v>42430</v>
      </c>
      <c r="W11" s="3473">
        <v>42401</v>
      </c>
      <c r="X11" s="3473">
        <v>42370</v>
      </c>
    </row>
    <row r="12" spans="1:24">
      <c r="A12" s="3477">
        <v>99.6</v>
      </c>
      <c r="B12" s="3474">
        <v>99.5</v>
      </c>
      <c r="C12" s="3474">
        <v>99.5</v>
      </c>
      <c r="D12" s="3474">
        <v>99.4</v>
      </c>
      <c r="E12" s="3474">
        <v>99.1</v>
      </c>
      <c r="F12" s="3474">
        <v>99.2</v>
      </c>
      <c r="G12" s="3474">
        <v>98.9</v>
      </c>
      <c r="H12" s="3474">
        <v>99.1</v>
      </c>
      <c r="I12" s="3474">
        <v>100</v>
      </c>
      <c r="J12" s="3477">
        <v>102.2</v>
      </c>
      <c r="K12" s="3474">
        <v>101.3</v>
      </c>
      <c r="L12" s="3474">
        <v>100.8</v>
      </c>
      <c r="M12" s="3474">
        <v>100.2</v>
      </c>
      <c r="N12" s="3474">
        <v>100.2</v>
      </c>
      <c r="O12" s="3474">
        <v>101.1</v>
      </c>
      <c r="P12" s="3474">
        <v>105.7</v>
      </c>
      <c r="Q12" s="3474">
        <v>103.9</v>
      </c>
      <c r="R12" s="3474">
        <v>101.6</v>
      </c>
      <c r="S12" s="3474">
        <v>101.4</v>
      </c>
      <c r="T12" s="3474">
        <v>102.3</v>
      </c>
      <c r="U12" s="3474">
        <v>103.7</v>
      </c>
      <c r="V12" s="3474">
        <v>106.3</v>
      </c>
      <c r="W12" s="3474">
        <v>103.2</v>
      </c>
      <c r="X12" s="3477">
        <v>102.3</v>
      </c>
    </row>
    <row r="13" spans="1:24">
      <c r="A13" s="3477">
        <f>ROUND(100/100,4)</f>
        <v>1</v>
      </c>
      <c r="B13" s="3474">
        <f t="shared" ref="B13:C13" si="0">ROUND(100/A12,4)</f>
        <v>1.004</v>
      </c>
      <c r="C13" s="3474">
        <f t="shared" si="0"/>
        <v>1.0049999999999999</v>
      </c>
      <c r="D13" s="3474">
        <f t="shared" ref="D13" si="1">ROUND(100/C12,4)</f>
        <v>1.0049999999999999</v>
      </c>
      <c r="E13" s="3474">
        <f t="shared" ref="E13" si="2">ROUND(100/D12,4)</f>
        <v>1.006</v>
      </c>
      <c r="F13" s="3474">
        <f t="shared" ref="F13" si="3">ROUND(100/E12,4)</f>
        <v>1.0091000000000001</v>
      </c>
      <c r="G13" s="3474">
        <f t="shared" ref="G13" si="4">ROUND(100/F12,4)</f>
        <v>1.0081</v>
      </c>
      <c r="H13" s="3474">
        <f t="shared" ref="H13" si="5">ROUND(100/G12,4)</f>
        <v>1.0111000000000001</v>
      </c>
      <c r="I13" s="3474">
        <f t="shared" ref="I13" si="6">ROUND(100/H12,4)</f>
        <v>1.0091000000000001</v>
      </c>
      <c r="J13" s="3477">
        <f t="shared" ref="J13" si="7">ROUND(100/I12,4)</f>
        <v>1</v>
      </c>
      <c r="K13" s="3474">
        <f t="shared" ref="K13" si="8">ROUND(100/J12,4)</f>
        <v>0.97850000000000004</v>
      </c>
      <c r="L13" s="3474">
        <f t="shared" ref="L13" si="9">ROUND(100/K12,4)</f>
        <v>0.98719999999999997</v>
      </c>
      <c r="M13" s="3474">
        <f t="shared" ref="M13" si="10">ROUND(100/L12,4)</f>
        <v>0.99209999999999998</v>
      </c>
      <c r="N13" s="3474">
        <f t="shared" ref="N13" si="11">ROUND(100/M12,4)</f>
        <v>0.998</v>
      </c>
      <c r="O13" s="3474">
        <f t="shared" ref="O13" si="12">ROUND(100/N12,4)</f>
        <v>0.998</v>
      </c>
      <c r="P13" s="3474">
        <f t="shared" ref="P13" si="13">ROUND(100/O12,4)</f>
        <v>0.98909999999999998</v>
      </c>
      <c r="Q13" s="3474">
        <f t="shared" ref="Q13" si="14">ROUND(100/P12,4)</f>
        <v>0.94610000000000005</v>
      </c>
      <c r="R13" s="3474">
        <f t="shared" ref="R13" si="15">ROUND(100/Q12,4)</f>
        <v>0.96250000000000002</v>
      </c>
      <c r="S13" s="3474">
        <f t="shared" ref="S13" si="16">ROUND(100/R12,4)</f>
        <v>0.98429999999999995</v>
      </c>
      <c r="T13" s="3474">
        <f t="shared" ref="T13" si="17">ROUND(100/S12,4)</f>
        <v>0.98619999999999997</v>
      </c>
      <c r="U13" s="3474">
        <f t="shared" ref="U13" si="18">ROUND(100/T12,4)</f>
        <v>0.97750000000000004</v>
      </c>
      <c r="V13" s="3474">
        <f t="shared" ref="V13" si="19">ROUND(100/U12,4)</f>
        <v>0.96430000000000005</v>
      </c>
      <c r="W13" s="3474">
        <f t="shared" ref="W13" si="20">ROUND(100/V12,4)</f>
        <v>0.94069999999999998</v>
      </c>
      <c r="X13" s="3474">
        <f t="shared" ref="X13" si="21">ROUND(100/W12,4)</f>
        <v>0.96899999999999997</v>
      </c>
    </row>
    <row r="14" spans="1:24">
      <c r="A14" s="3477">
        <v>1</v>
      </c>
      <c r="B14" s="3475">
        <f>ROUND(A14*B13,4)</f>
        <v>1.004</v>
      </c>
      <c r="C14" s="3475">
        <f t="shared" ref="C14:X14" si="22">ROUND(B14*C13,4)</f>
        <v>1.0089999999999999</v>
      </c>
      <c r="D14" s="3475">
        <f t="shared" si="22"/>
        <v>1.014</v>
      </c>
      <c r="E14" s="3475">
        <f t="shared" si="22"/>
        <v>1.0201</v>
      </c>
      <c r="F14" s="3475">
        <f t="shared" si="22"/>
        <v>1.0294000000000001</v>
      </c>
      <c r="G14" s="3475">
        <f t="shared" si="22"/>
        <v>1.0377000000000001</v>
      </c>
      <c r="H14" s="3475">
        <f t="shared" si="22"/>
        <v>1.0491999999999999</v>
      </c>
      <c r="I14" s="3475">
        <f t="shared" si="22"/>
        <v>1.0587</v>
      </c>
      <c r="J14" s="3480">
        <f t="shared" si="22"/>
        <v>1.0587</v>
      </c>
      <c r="K14" s="3475">
        <f t="shared" si="22"/>
        <v>1.0359</v>
      </c>
      <c r="L14" s="3475">
        <f t="shared" si="22"/>
        <v>1.0226</v>
      </c>
      <c r="M14" s="3475">
        <f t="shared" si="22"/>
        <v>1.0145</v>
      </c>
      <c r="N14" s="3475">
        <f t="shared" si="22"/>
        <v>1.0125</v>
      </c>
      <c r="O14" s="3475">
        <f t="shared" si="22"/>
        <v>1.0105</v>
      </c>
      <c r="P14" s="3475">
        <f t="shared" si="22"/>
        <v>0.99950000000000006</v>
      </c>
      <c r="Q14" s="3475">
        <f t="shared" si="22"/>
        <v>0.9456</v>
      </c>
      <c r="R14" s="3475">
        <f t="shared" si="22"/>
        <v>0.91010000000000002</v>
      </c>
      <c r="S14" s="3475">
        <f t="shared" si="22"/>
        <v>0.89580000000000004</v>
      </c>
      <c r="T14" s="3475">
        <f t="shared" si="22"/>
        <v>0.88339999999999996</v>
      </c>
      <c r="U14" s="3475">
        <f t="shared" si="22"/>
        <v>0.86350000000000005</v>
      </c>
      <c r="V14" s="3475">
        <f t="shared" si="22"/>
        <v>0.8327</v>
      </c>
      <c r="W14" s="3475">
        <f t="shared" si="22"/>
        <v>0.7833</v>
      </c>
      <c r="X14" s="3475">
        <f t="shared" si="22"/>
        <v>0.75900000000000001</v>
      </c>
    </row>
    <row r="15" spans="1:24">
      <c r="A15" s="3477">
        <v>100</v>
      </c>
      <c r="B15" s="3478">
        <f>ROUND(B14*100,1)</f>
        <v>100.4</v>
      </c>
      <c r="C15" s="3478">
        <f t="shared" ref="C15:X15" si="23">ROUND(C14*100,1)</f>
        <v>100.9</v>
      </c>
      <c r="D15" s="3478">
        <f t="shared" si="23"/>
        <v>101.4</v>
      </c>
      <c r="E15" s="3478">
        <f t="shared" si="23"/>
        <v>102</v>
      </c>
      <c r="F15" s="3478">
        <f t="shared" si="23"/>
        <v>102.9</v>
      </c>
      <c r="G15" s="3478">
        <f t="shared" si="23"/>
        <v>103.8</v>
      </c>
      <c r="H15" s="3478">
        <f t="shared" si="23"/>
        <v>104.9</v>
      </c>
      <c r="I15" s="3478">
        <f t="shared" si="23"/>
        <v>105.9</v>
      </c>
      <c r="J15" s="3479">
        <f t="shared" si="23"/>
        <v>105.9</v>
      </c>
      <c r="K15" s="3478">
        <f t="shared" si="23"/>
        <v>103.6</v>
      </c>
      <c r="L15" s="3478">
        <f t="shared" si="23"/>
        <v>102.3</v>
      </c>
      <c r="M15" s="3478">
        <f t="shared" si="23"/>
        <v>101.5</v>
      </c>
      <c r="N15" s="3478">
        <f t="shared" si="23"/>
        <v>101.3</v>
      </c>
      <c r="O15" s="3478">
        <f t="shared" si="23"/>
        <v>101.1</v>
      </c>
      <c r="P15" s="3478">
        <f t="shared" si="23"/>
        <v>100</v>
      </c>
      <c r="Q15" s="3478">
        <f t="shared" si="23"/>
        <v>94.6</v>
      </c>
      <c r="R15" s="3478">
        <f t="shared" si="23"/>
        <v>91</v>
      </c>
      <c r="S15" s="3478">
        <f t="shared" si="23"/>
        <v>89.6</v>
      </c>
      <c r="T15" s="3478">
        <f t="shared" si="23"/>
        <v>88.3</v>
      </c>
      <c r="U15" s="3478">
        <f t="shared" si="23"/>
        <v>86.4</v>
      </c>
      <c r="V15" s="3478">
        <f t="shared" si="23"/>
        <v>83.3</v>
      </c>
      <c r="W15" s="3478">
        <f t="shared" si="23"/>
        <v>78.3</v>
      </c>
      <c r="X15" s="3478">
        <f t="shared" si="23"/>
        <v>75.900000000000006</v>
      </c>
    </row>
    <row r="16" spans="1:24">
      <c r="A16">
        <f ca="1">J16/J15*A15</f>
        <v>15440.982058545796</v>
      </c>
      <c r="B16"/>
      <c r="J16">
        <f ca="1">结果表!G20</f>
        <v>16352</v>
      </c>
    </row>
    <row r="17" spans="1:15">
      <c r="B17"/>
    </row>
    <row r="18" spans="1:15">
      <c r="A18" s="3476">
        <v>42795</v>
      </c>
      <c r="B18" s="3473">
        <v>42767</v>
      </c>
      <c r="C18" s="3473">
        <v>42736</v>
      </c>
      <c r="D18" s="3473">
        <v>42705</v>
      </c>
      <c r="E18" s="3473">
        <v>42675</v>
      </c>
      <c r="F18" s="3473">
        <v>42644</v>
      </c>
      <c r="G18" s="3473">
        <v>42614</v>
      </c>
      <c r="H18" s="3473">
        <v>42583</v>
      </c>
      <c r="I18" s="3473">
        <v>42552</v>
      </c>
      <c r="J18" s="3473">
        <v>42522</v>
      </c>
      <c r="K18" s="3473">
        <v>42491</v>
      </c>
      <c r="L18" s="3473">
        <v>42461</v>
      </c>
      <c r="M18" s="3473">
        <v>42430</v>
      </c>
      <c r="N18" s="3473">
        <v>42401</v>
      </c>
      <c r="O18" s="3473">
        <v>42370</v>
      </c>
    </row>
    <row r="19" spans="1:15">
      <c r="A19" s="3477">
        <v>102.2</v>
      </c>
      <c r="B19" s="3474">
        <v>101.3</v>
      </c>
      <c r="C19" s="3474">
        <v>100.8</v>
      </c>
      <c r="D19" s="3474">
        <v>100.2</v>
      </c>
      <c r="E19" s="3474">
        <v>100.2</v>
      </c>
      <c r="F19" s="3474">
        <v>101.1</v>
      </c>
      <c r="G19" s="3474">
        <v>105.7</v>
      </c>
      <c r="H19" s="3474">
        <v>103.9</v>
      </c>
      <c r="I19" s="3474">
        <v>101.6</v>
      </c>
      <c r="J19" s="3474">
        <v>101.4</v>
      </c>
      <c r="K19" s="3474">
        <v>102.3</v>
      </c>
      <c r="L19" s="3474">
        <v>103.7</v>
      </c>
      <c r="M19" s="3474">
        <v>106.3</v>
      </c>
      <c r="N19" s="3474">
        <v>103.2</v>
      </c>
      <c r="O19" s="3474">
        <v>102.3</v>
      </c>
    </row>
    <row r="20" spans="1:15">
      <c r="A20" s="3477">
        <v>1</v>
      </c>
      <c r="B20" s="3474">
        <f t="shared" ref="B20" si="24">ROUND(100/A19,4)</f>
        <v>0.97850000000000004</v>
      </c>
      <c r="C20" s="3474">
        <f t="shared" ref="C20" si="25">ROUND(100/B19,4)</f>
        <v>0.98719999999999997</v>
      </c>
      <c r="D20" s="3474">
        <f t="shared" ref="D20" si="26">ROUND(100/C19,4)</f>
        <v>0.99209999999999998</v>
      </c>
      <c r="E20" s="3474">
        <f t="shared" ref="E20" si="27">ROUND(100/D19,4)</f>
        <v>0.998</v>
      </c>
      <c r="F20" s="3474">
        <f t="shared" ref="F20" si="28">ROUND(100/E19,4)</f>
        <v>0.998</v>
      </c>
      <c r="G20" s="3474">
        <f t="shared" ref="G20" si="29">ROUND(100/F19,4)</f>
        <v>0.98909999999999998</v>
      </c>
      <c r="H20" s="3474">
        <f t="shared" ref="H20" si="30">ROUND(100/G19,4)</f>
        <v>0.94610000000000005</v>
      </c>
      <c r="I20" s="3474">
        <f t="shared" ref="I20" si="31">ROUND(100/H19,4)</f>
        <v>0.96250000000000002</v>
      </c>
      <c r="J20" s="3474">
        <f t="shared" ref="J20" si="32">ROUND(100/I19,4)</f>
        <v>0.98429999999999995</v>
      </c>
      <c r="K20" s="3474">
        <f t="shared" ref="K20" si="33">ROUND(100/J19,4)</f>
        <v>0.98619999999999997</v>
      </c>
      <c r="L20" s="3474">
        <f t="shared" ref="L20" si="34">ROUND(100/K19,4)</f>
        <v>0.97750000000000004</v>
      </c>
      <c r="M20" s="3474">
        <f t="shared" ref="M20" si="35">ROUND(100/L19,4)</f>
        <v>0.96430000000000005</v>
      </c>
      <c r="N20" s="3474">
        <f t="shared" ref="N20" si="36">ROUND(100/M19,4)</f>
        <v>0.94069999999999998</v>
      </c>
      <c r="O20" s="3474">
        <f t="shared" ref="O20" si="37">ROUND(100/N19,4)</f>
        <v>0.96899999999999997</v>
      </c>
    </row>
    <row r="21" spans="1:15">
      <c r="A21" s="3480">
        <v>1</v>
      </c>
      <c r="B21" s="3475">
        <f t="shared" ref="B21" si="38">ROUND(A21*B20,4)</f>
        <v>0.97850000000000004</v>
      </c>
      <c r="C21" s="3475">
        <f t="shared" ref="C21" si="39">ROUND(B21*C20,4)</f>
        <v>0.96599999999999997</v>
      </c>
      <c r="D21" s="3475">
        <f t="shared" ref="D21" si="40">ROUND(C21*D20,4)</f>
        <v>0.95840000000000003</v>
      </c>
      <c r="E21" s="3475">
        <f t="shared" ref="E21" si="41">ROUND(D21*E20,4)</f>
        <v>0.95650000000000002</v>
      </c>
      <c r="F21" s="3475">
        <f t="shared" ref="F21" si="42">ROUND(E21*F20,4)</f>
        <v>0.9546</v>
      </c>
      <c r="G21" s="3475">
        <f t="shared" ref="G21" si="43">ROUND(F21*G20,4)</f>
        <v>0.94420000000000004</v>
      </c>
      <c r="H21" s="3475">
        <f t="shared" ref="H21" si="44">ROUND(G21*H20,4)</f>
        <v>0.89329999999999998</v>
      </c>
      <c r="I21" s="3475">
        <f t="shared" ref="I21" si="45">ROUND(H21*I20,4)</f>
        <v>0.85980000000000001</v>
      </c>
      <c r="J21" s="3475">
        <f t="shared" ref="J21" si="46">ROUND(I21*J20,4)</f>
        <v>0.84630000000000005</v>
      </c>
      <c r="K21" s="3475">
        <f t="shared" ref="K21" si="47">ROUND(J21*K20,4)</f>
        <v>0.83460000000000001</v>
      </c>
      <c r="L21" s="3475">
        <f t="shared" ref="L21" si="48">ROUND(K21*L20,4)</f>
        <v>0.81579999999999997</v>
      </c>
      <c r="M21" s="3475">
        <f t="shared" ref="M21" si="49">ROUND(L21*M20,4)</f>
        <v>0.78669999999999995</v>
      </c>
      <c r="N21" s="3475">
        <f t="shared" ref="N21" si="50">ROUND(M21*N20,4)</f>
        <v>0.74</v>
      </c>
      <c r="O21" s="3475">
        <f t="shared" ref="O21" si="51">ROUND(N21*O20,4)</f>
        <v>0.71709999999999996</v>
      </c>
    </row>
    <row r="22" spans="1:15">
      <c r="A22" s="3479">
        <v>100</v>
      </c>
      <c r="B22" s="3478">
        <f t="shared" ref="B22" si="52">ROUND(B21*100,1)</f>
        <v>97.9</v>
      </c>
      <c r="C22" s="3478">
        <f t="shared" ref="C22" si="53">ROUND(C21*100,1)</f>
        <v>96.6</v>
      </c>
      <c r="D22" s="3478">
        <f t="shared" ref="D22" si="54">ROUND(D21*100,1)</f>
        <v>95.8</v>
      </c>
      <c r="E22" s="3478">
        <f t="shared" ref="E22" si="55">ROUND(E21*100,1)</f>
        <v>95.7</v>
      </c>
      <c r="F22" s="3478">
        <f t="shared" ref="F22" si="56">ROUND(F21*100,1)</f>
        <v>95.5</v>
      </c>
      <c r="G22" s="3478">
        <f t="shared" ref="G22" si="57">ROUND(G21*100,1)</f>
        <v>94.4</v>
      </c>
      <c r="H22" s="3478">
        <f t="shared" ref="H22" si="58">ROUND(H21*100,1)</f>
        <v>89.3</v>
      </c>
      <c r="I22" s="3478">
        <f t="shared" ref="I22" si="59">ROUND(I21*100,1)</f>
        <v>86</v>
      </c>
      <c r="J22" s="3478">
        <f t="shared" ref="J22" si="60">ROUND(J21*100,1)</f>
        <v>84.6</v>
      </c>
      <c r="K22" s="3478">
        <f t="shared" ref="K22" si="61">ROUND(K21*100,1)</f>
        <v>83.5</v>
      </c>
      <c r="L22" s="3478">
        <f t="shared" ref="L22" si="62">ROUND(L21*100,1)</f>
        <v>81.599999999999994</v>
      </c>
      <c r="M22" s="3478">
        <f t="shared" ref="M22" si="63">ROUND(M21*100,1)</f>
        <v>78.7</v>
      </c>
      <c r="N22" s="3478">
        <f t="shared" ref="N22" si="64">ROUND(N21*100,1)</f>
        <v>74</v>
      </c>
      <c r="O22" s="3478">
        <f t="shared" ref="O22" si="65">ROUND(O21*100,1)</f>
        <v>71.7</v>
      </c>
    </row>
    <row r="23" spans="1:15">
      <c r="B23"/>
    </row>
    <row r="24" spans="1:15">
      <c r="A24">
        <v>30000</v>
      </c>
      <c r="B24">
        <f>A24*J15/100</f>
        <v>31770</v>
      </c>
    </row>
    <row r="25" spans="1:15">
      <c r="B25"/>
    </row>
    <row r="26" spans="1:15">
      <c r="A26" s="3471" t="s">
        <v>3598</v>
      </c>
      <c r="B26"/>
      <c r="E26" s="3471" t="s">
        <v>3599</v>
      </c>
    </row>
    <row r="27" spans="1:15">
      <c r="A27" s="3471" t="s">
        <v>3574</v>
      </c>
      <c r="B27">
        <v>36561</v>
      </c>
      <c r="E27" s="3471" t="s">
        <v>3574</v>
      </c>
      <c r="F27">
        <v>38419</v>
      </c>
    </row>
    <row r="28" spans="1:15">
      <c r="A28" s="3471" t="s">
        <v>3575</v>
      </c>
      <c r="B28">
        <v>37401</v>
      </c>
      <c r="E28" s="3471" t="s">
        <v>3575</v>
      </c>
      <c r="F28">
        <v>39453</v>
      </c>
    </row>
    <row r="29" spans="1:15">
      <c r="A29" s="3471" t="s">
        <v>3576</v>
      </c>
      <c r="B29">
        <v>37653</v>
      </c>
      <c r="E29" s="3471" t="s">
        <v>3576</v>
      </c>
      <c r="F29">
        <v>40059</v>
      </c>
    </row>
    <row r="30" spans="1:15">
      <c r="A30" s="3471" t="s">
        <v>3577</v>
      </c>
      <c r="B30">
        <v>39640</v>
      </c>
      <c r="E30" s="3471" t="s">
        <v>3577</v>
      </c>
      <c r="F30">
        <v>41154</v>
      </c>
    </row>
    <row r="31" spans="1:15">
      <c r="A31" s="3471" t="s">
        <v>3578</v>
      </c>
      <c r="B31">
        <v>40403</v>
      </c>
      <c r="E31" s="3471" t="s">
        <v>3578</v>
      </c>
      <c r="F31">
        <v>41905</v>
      </c>
    </row>
    <row r="32" spans="1:15">
      <c r="A32" s="3471" t="s">
        <v>3579</v>
      </c>
      <c r="B32">
        <v>40762</v>
      </c>
      <c r="E32" s="3471" t="s">
        <v>3579</v>
      </c>
      <c r="F32">
        <v>43366</v>
      </c>
    </row>
    <row r="33" spans="1:6">
      <c r="A33" s="3471" t="s">
        <v>3580</v>
      </c>
      <c r="B33">
        <v>41808</v>
      </c>
      <c r="E33" s="3471" t="s">
        <v>3580</v>
      </c>
      <c r="F33">
        <v>42486</v>
      </c>
    </row>
    <row r="34" spans="1:6">
      <c r="A34" s="3471" t="s">
        <v>3581</v>
      </c>
      <c r="B34">
        <v>42411</v>
      </c>
      <c r="E34" s="3471" t="s">
        <v>3581</v>
      </c>
      <c r="F34">
        <v>43909</v>
      </c>
    </row>
    <row r="35" spans="1:6">
      <c r="A35" s="3471" t="s">
        <v>3582</v>
      </c>
      <c r="B35">
        <v>45417</v>
      </c>
      <c r="E35" s="3471" t="s">
        <v>3582</v>
      </c>
      <c r="F35">
        <v>46946</v>
      </c>
    </row>
    <row r="36" spans="1:6">
      <c r="A36" s="3471" t="s">
        <v>3583</v>
      </c>
      <c r="B36">
        <v>52172</v>
      </c>
      <c r="E36" s="3471" t="s">
        <v>3583</v>
      </c>
      <c r="F36">
        <v>52988</v>
      </c>
    </row>
    <row r="37" spans="1:6">
      <c r="A37" s="3471" t="s">
        <v>3584</v>
      </c>
      <c r="B37">
        <v>55707</v>
      </c>
      <c r="E37" s="3471" t="s">
        <v>3584</v>
      </c>
      <c r="F37">
        <v>57025</v>
      </c>
    </row>
    <row r="38" spans="1:6">
      <c r="A38" s="3471" t="s">
        <v>3585</v>
      </c>
      <c r="B38">
        <v>56266</v>
      </c>
      <c r="E38" s="3471" t="s">
        <v>3585</v>
      </c>
      <c r="F38">
        <v>58590</v>
      </c>
    </row>
    <row r="39" spans="1:6">
      <c r="A39" s="3471" t="s">
        <v>3586</v>
      </c>
      <c r="B39">
        <v>55969</v>
      </c>
      <c r="E39" s="3471" t="s">
        <v>3586</v>
      </c>
      <c r="F39">
        <v>57404</v>
      </c>
    </row>
    <row r="40" spans="1:6">
      <c r="A40" s="3471" t="s">
        <v>3587</v>
      </c>
      <c r="B40">
        <v>58164</v>
      </c>
      <c r="E40" s="3471" t="s">
        <v>3587</v>
      </c>
      <c r="F40">
        <v>60291</v>
      </c>
    </row>
    <row r="41" spans="1:6">
      <c r="A41" s="3472" t="s">
        <v>3588</v>
      </c>
      <c r="B41" s="3468">
        <v>61171</v>
      </c>
      <c r="E41" s="3472" t="s">
        <v>3588</v>
      </c>
      <c r="F41" s="3468">
        <v>63735</v>
      </c>
    </row>
    <row r="42" spans="1:6">
      <c r="A42" s="3471" t="s">
        <v>3589</v>
      </c>
      <c r="B42">
        <v>63742</v>
      </c>
      <c r="E42" s="3471" t="s">
        <v>3589</v>
      </c>
      <c r="F42">
        <v>67349</v>
      </c>
    </row>
    <row r="43" spans="1:6">
      <c r="A43" s="3471" t="s">
        <v>3590</v>
      </c>
      <c r="B43">
        <v>63875</v>
      </c>
      <c r="E43" s="3471" t="s">
        <v>3590</v>
      </c>
      <c r="F43">
        <v>67129</v>
      </c>
    </row>
    <row r="44" spans="1:6">
      <c r="A44" s="3471" t="s">
        <v>3591</v>
      </c>
      <c r="B44">
        <v>62859</v>
      </c>
      <c r="E44" s="3471" t="s">
        <v>3591</v>
      </c>
      <c r="F44">
        <v>66013</v>
      </c>
    </row>
    <row r="45" spans="1:6">
      <c r="A45" s="3471" t="s">
        <v>3592</v>
      </c>
      <c r="B45">
        <v>59079</v>
      </c>
      <c r="E45" s="3471" t="s">
        <v>3592</v>
      </c>
      <c r="F45">
        <v>65087</v>
      </c>
    </row>
    <row r="46" spans="1:6">
      <c r="A46" s="3471" t="s">
        <v>3593</v>
      </c>
      <c r="B46">
        <v>57876</v>
      </c>
      <c r="E46" s="3471" t="s">
        <v>3593</v>
      </c>
      <c r="F46">
        <v>63156</v>
      </c>
    </row>
    <row r="47" spans="1:6">
      <c r="A47" s="3471" t="s">
        <v>3594</v>
      </c>
      <c r="B47">
        <v>57283</v>
      </c>
      <c r="E47" s="3471" t="s">
        <v>3594</v>
      </c>
      <c r="F47">
        <v>62696</v>
      </c>
    </row>
    <row r="48" spans="1:6">
      <c r="A48" s="3471" t="s">
        <v>3595</v>
      </c>
      <c r="B48">
        <v>57750</v>
      </c>
      <c r="E48" s="3471" t="s">
        <v>3595</v>
      </c>
      <c r="F48">
        <v>62973</v>
      </c>
    </row>
    <row r="49" spans="1:7">
      <c r="A49" s="3471" t="s">
        <v>3596</v>
      </c>
      <c r="B49">
        <v>56790</v>
      </c>
      <c r="E49" s="3471" t="s">
        <v>3596</v>
      </c>
      <c r="F49">
        <v>61007</v>
      </c>
    </row>
    <row r="50" spans="1:7">
      <c r="A50" s="3472" t="s">
        <v>3597</v>
      </c>
      <c r="B50" s="3468">
        <v>58169</v>
      </c>
      <c r="C50">
        <f>(B41-B50)/B50</f>
        <v>5.1608244941463668E-2</v>
      </c>
      <c r="E50" s="3472" t="s">
        <v>3597</v>
      </c>
      <c r="F50" s="3468">
        <v>62455</v>
      </c>
      <c r="G50">
        <f>(F41-F50)/F50</f>
        <v>2.0494756224481627E-2</v>
      </c>
    </row>
  </sheetData>
  <phoneticPr fontId="136"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3386</v>
      </c>
      <c r="D1" s="1362" t="s">
        <v>43</v>
      </c>
      <c r="E1" s="1363" t="s">
        <v>678</v>
      </c>
      <c r="F1" s="1062">
        <f ca="1">J53</f>
        <v>44.59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33.2928</v>
      </c>
      <c r="C2" s="1387" t="s">
        <v>879</v>
      </c>
      <c r="D2" s="1471">
        <f ca="1">C40+J29+L46</f>
        <v>332928</v>
      </c>
      <c r="E2" s="1388" t="s">
        <v>880</v>
      </c>
      <c r="F2" s="1389"/>
      <c r="G2" s="2705"/>
      <c r="H2" s="2694"/>
      <c r="I2" s="2694"/>
      <c r="J2" s="2694"/>
      <c r="K2" s="2695"/>
      <c r="L2" s="2694"/>
      <c r="M2" s="2694"/>
    </row>
    <row r="3" spans="1:37" ht="18" customHeight="1" thickBot="1">
      <c r="A3" s="1390" t="s">
        <v>881</v>
      </c>
      <c r="B3" s="1391">
        <f ca="1">IF(ISERROR(D2/F43),0,ROUND(D2/F43,0))</f>
        <v>3565</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v>
      </c>
      <c r="D5" s="1364" t="s">
        <v>889</v>
      </c>
      <c r="E5" s="1071"/>
      <c r="F5" s="1072"/>
      <c r="G5" s="1384"/>
      <c r="H5" s="299">
        <v>1</v>
      </c>
      <c r="I5" s="300" t="s">
        <v>888</v>
      </c>
      <c r="J5" s="1070">
        <f ca="1">J6+J10+J12</f>
        <v>0</v>
      </c>
      <c r="K5" s="1364" t="s">
        <v>889</v>
      </c>
      <c r="L5" s="1071"/>
      <c r="M5" s="1072"/>
    </row>
    <row r="6" spans="1:37" ht="18" customHeight="1">
      <c r="A6" s="1069" t="s">
        <v>398</v>
      </c>
      <c r="B6" s="3817" t="s">
        <v>694</v>
      </c>
      <c r="C6" s="1074">
        <f ca="1">ROUND(F6*F8*F7*(1-F9),0)</f>
        <v>16200</v>
      </c>
      <c r="D6" s="155" t="s">
        <v>2105</v>
      </c>
      <c r="E6" s="302" t="s">
        <v>696</v>
      </c>
      <c r="F6" s="3624">
        <f ca="1">INDIRECT("'数据-取费表'!u"&amp;$G$1)</f>
        <v>1500</v>
      </c>
      <c r="G6" s="1384"/>
      <c r="H6" s="1069" t="s">
        <v>398</v>
      </c>
      <c r="I6" s="3817" t="s">
        <v>694</v>
      </c>
      <c r="J6" s="301">
        <f ca="1">ROUND(M6*M8*M7*(1-M9),0)</f>
        <v>0</v>
      </c>
      <c r="K6" s="1376" t="s">
        <v>2106</v>
      </c>
      <c r="L6" s="302" t="s">
        <v>696</v>
      </c>
      <c r="M6" s="303">
        <f ca="1">INDIRECT("'数据-取费表'!z"&amp;$G$1)</f>
        <v>0</v>
      </c>
    </row>
    <row r="7" spans="1:37" ht="18" customHeight="1">
      <c r="A7" s="1073"/>
      <c r="B7" s="3818"/>
      <c r="C7" s="1075"/>
      <c r="D7" s="307"/>
      <c r="E7" s="1076" t="s">
        <v>697</v>
      </c>
      <c r="F7" s="303">
        <f ca="1">IF(INDIRECT("'数据-取费表'!ah"&amp;$G$1)="",INDIRECT("'数据-取费表'!k"&amp;$G$1),INDIRECT("'数据-取费表'!ah"&amp;$G$1))</f>
        <v>1</v>
      </c>
      <c r="G7" s="1384"/>
      <c r="H7" s="304"/>
      <c r="I7" s="3818"/>
      <c r="J7" s="306"/>
      <c r="K7" s="307"/>
      <c r="L7" s="302" t="s">
        <v>697</v>
      </c>
      <c r="M7" s="303">
        <f ca="1">F7</f>
        <v>1</v>
      </c>
    </row>
    <row r="8" spans="1:37" ht="18" customHeight="1">
      <c r="A8" s="304"/>
      <c r="B8" s="3818"/>
      <c r="C8" s="306"/>
      <c r="D8" s="307"/>
      <c r="E8" s="302" t="s">
        <v>698</v>
      </c>
      <c r="F8" s="303">
        <f ca="1">INDIRECT("'数据-取费表'!ai"&amp;$G$1)</f>
        <v>12</v>
      </c>
      <c r="G8" s="1384"/>
      <c r="H8" s="304"/>
      <c r="I8" s="3818"/>
      <c r="J8" s="306"/>
      <c r="K8" s="307"/>
      <c r="L8" s="302" t="s">
        <v>698</v>
      </c>
      <c r="M8" s="303">
        <f ca="1">INDIRECT("'数据-取费表'!ai"&amp;$G$1)</f>
        <v>12</v>
      </c>
    </row>
    <row r="9" spans="1:37" ht="18" customHeight="1">
      <c r="A9" s="304"/>
      <c r="B9" s="3819"/>
      <c r="C9" s="306"/>
      <c r="D9" s="307"/>
      <c r="E9" s="302" t="s">
        <v>699</v>
      </c>
      <c r="F9" s="312">
        <f ca="1">INDIRECT("'数据-取费表'!w"&amp;$G$1)</f>
        <v>0.1</v>
      </c>
      <c r="G9" s="1384"/>
      <c r="H9" s="304"/>
      <c r="I9" s="3819"/>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2115</v>
      </c>
      <c r="E10" s="313" t="s">
        <v>701</v>
      </c>
      <c r="F10" s="1116" t="s">
        <v>3393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254972</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261464</v>
      </c>
      <c r="D14" s="1345" t="s">
        <v>708</v>
      </c>
      <c r="E14" s="1342"/>
      <c r="F14" s="319"/>
      <c r="G14" s="1384"/>
      <c r="H14" s="982" t="s">
        <v>398</v>
      </c>
      <c r="I14" s="302" t="s">
        <v>709</v>
      </c>
      <c r="J14" s="21">
        <f ca="1">C29</f>
        <v>392265</v>
      </c>
      <c r="K14" s="12"/>
      <c r="L14" s="807"/>
      <c r="M14" s="808"/>
    </row>
    <row r="15" spans="1:37" s="1397" customFormat="1" ht="18" customHeight="1" thickBot="1">
      <c r="A15" s="982" t="s">
        <v>399</v>
      </c>
      <c r="B15" s="302" t="s">
        <v>710</v>
      </c>
      <c r="C15" s="21">
        <f ca="1">ROUND(C14*F15,0)</f>
        <v>13073</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13073</v>
      </c>
      <c r="D16" s="302" t="s">
        <v>711</v>
      </c>
      <c r="E16" s="302" t="s">
        <v>712</v>
      </c>
      <c r="F16" s="322">
        <f ca="1">IF(INDIRECT("'数据-取费表'!c"&amp;$G$1)="住宅",'数据-取费表'!B34,0)</f>
        <v>0.05</v>
      </c>
      <c r="G16" s="1384"/>
      <c r="H16" s="1079" t="s">
        <v>393</v>
      </c>
      <c r="I16" s="1080" t="s">
        <v>714</v>
      </c>
      <c r="J16" s="310">
        <f ca="1">ROUND(J17+J22+J23+J24,0)</f>
        <v>3923</v>
      </c>
      <c r="K16" s="1087" t="s">
        <v>715</v>
      </c>
      <c r="L16" s="1088"/>
      <c r="M16" s="1072"/>
    </row>
    <row r="17" spans="1:37" s="1397" customFormat="1" ht="18" customHeight="1">
      <c r="A17" s="982" t="s">
        <v>681</v>
      </c>
      <c r="B17" s="302" t="s">
        <v>716</v>
      </c>
      <c r="C17" s="21">
        <f ca="1">ROUND(F17*(F43+INDIRECT("'数据-取费表'!S"&amp;$G$1)),0)</f>
        <v>18676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3922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310208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3102</v>
      </c>
      <c r="D20" s="323" t="s">
        <v>729</v>
      </c>
      <c r="E20" s="302" t="s">
        <v>712</v>
      </c>
      <c r="F20" s="322">
        <f>'数据-取费表'!B37</f>
        <v>0.01</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3923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6814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625">
        <f ca="1">'数据-取费表'!B40</f>
        <v>4.3500000000000004E-2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-3923</v>
      </c>
      <c r="K25" s="1095" t="s">
        <v>753</v>
      </c>
      <c r="L25" s="1096"/>
      <c r="M25" s="1097"/>
    </row>
    <row r="26" spans="1:37" ht="18" customHeight="1">
      <c r="A26" s="982" t="s">
        <v>397</v>
      </c>
      <c r="B26" s="302" t="s">
        <v>754</v>
      </c>
      <c r="C26" s="21">
        <f ca="1">ROUND((C19+C20)*F26,0)</f>
        <v>46997</v>
      </c>
      <c r="D26" s="323" t="s">
        <v>755</v>
      </c>
      <c r="E26" s="313" t="s">
        <v>756</v>
      </c>
      <c r="F26" s="3626">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392265</v>
      </c>
      <c r="D29" s="1092"/>
      <c r="E29" s="1090"/>
      <c r="F29" s="1093"/>
      <c r="G29" s="1396"/>
      <c r="H29" s="334" t="s">
        <v>396</v>
      </c>
      <c r="I29" s="335" t="s">
        <v>768</v>
      </c>
      <c r="J29" s="336">
        <f ca="1">ROUND(J26/(1+F40)^F41,0)</f>
        <v>0</v>
      </c>
      <c r="K29" s="337" t="s">
        <v>769</v>
      </c>
      <c r="L29" s="338"/>
      <c r="M29" s="339">
        <f ca="1">INDIRECT("'数据-取费表'!k"&amp;$G$1)</f>
        <v>93.38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4726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386</v>
      </c>
      <c r="D31" s="1345" t="s">
        <v>720</v>
      </c>
      <c r="E31" s="1344" t="s">
        <v>770</v>
      </c>
      <c r="F31" s="2314">
        <f ca="1">IF(项目基本情况!B11="企业","——",IF(M47="住宅",IF(F6*F7*F8/12/(1+'数据-取费表'!F30)&gt;100000,4%,2.5%),IF(F6*F7*F8/12/(1+'数据-取费表'!F30)&gt;100000,12%,7%)))</f>
        <v>2.5000000000000001E-2</v>
      </c>
      <c r="G31" s="1384"/>
      <c r="H31" s="2807" t="s">
        <v>2309</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3923</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255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162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11494</v>
      </c>
      <c r="D39" s="1095" t="s">
        <v>773</v>
      </c>
      <c r="E39" s="1096"/>
      <c r="F39" s="1097"/>
      <c r="G39" s="1384"/>
      <c r="H39" s="2699"/>
      <c r="I39" s="1398"/>
      <c r="J39" s="1399"/>
      <c r="K39" s="2703"/>
      <c r="L39" s="2699"/>
      <c r="M39" s="2699"/>
    </row>
    <row r="40" spans="1:18" ht="18" customHeight="1">
      <c r="A40" s="299" t="s">
        <v>395</v>
      </c>
      <c r="B40" s="300" t="s">
        <v>774</v>
      </c>
      <c r="C40" s="301">
        <f ca="1">ROUND(C39*(1-((1+F42)/(1+F40))^F41)/(F40-F42),0)</f>
        <v>332928</v>
      </c>
      <c r="D40" s="324" t="s">
        <v>758</v>
      </c>
      <c r="E40" s="302" t="s">
        <v>759</v>
      </c>
      <c r="F40" s="312">
        <f ca="1">INDIRECT("'数据-取费表'!I"&amp;$G$1)</f>
        <v>0.04</v>
      </c>
      <c r="G40" s="1384"/>
      <c r="H40" s="1461"/>
      <c r="I40" s="1398"/>
      <c r="J40" s="1399"/>
      <c r="K40" s="2703"/>
      <c r="L40" s="1461"/>
      <c r="M40" s="1461"/>
    </row>
    <row r="41" spans="1:18" ht="18" customHeight="1">
      <c r="A41" s="304"/>
      <c r="B41" s="305"/>
      <c r="C41" s="306"/>
      <c r="D41" s="332" t="s">
        <v>775</v>
      </c>
      <c r="E41" s="302" t="s">
        <v>763</v>
      </c>
      <c r="F41" s="3627">
        <f ca="1">IF(INDIRECT("'数据-取费表'!af"&amp;$G$1)=0,INDIRECT("'数据-取费表'!ae"&amp;$G$1),INDIRECT("'数据-取费表'!af"&amp;$G$1))</f>
        <v>44.59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3565</v>
      </c>
      <c r="D43" s="337" t="s">
        <v>777</v>
      </c>
      <c r="E43" s="338" t="s">
        <v>778</v>
      </c>
      <c r="F43" s="339">
        <f ca="1">INDIRECT("'数据-取费表'!k"&amp;$G$1)</f>
        <v>93.38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-41.9206</v>
      </c>
      <c r="D45" s="3431" t="s">
        <v>3354</v>
      </c>
      <c r="E45" s="1400"/>
      <c r="F45" s="1400"/>
      <c r="O45" s="1403" t="s">
        <v>808</v>
      </c>
      <c r="P45" s="1461"/>
      <c r="Q45" s="1461"/>
      <c r="R45" s="1461"/>
    </row>
    <row r="46" spans="1:18" s="1384" customFormat="1" ht="13.8" thickBot="1">
      <c r="A46" s="1404" t="s">
        <v>809</v>
      </c>
      <c r="C46" s="1405">
        <f ca="1">ROUND(C45,0)</f>
        <v>-42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3394</v>
      </c>
      <c r="K47" s="1416" t="s">
        <v>816</v>
      </c>
      <c r="L47" s="1417">
        <f ca="1">INDIRECT("'数据-取费表'!d"&amp;$G$1)</f>
        <v>70</v>
      </c>
      <c r="M47" s="1380" t="str">
        <f>IF(ISNUMBER(FIND("住宅",C1)),"住宅","非住宅")</f>
        <v>住宅</v>
      </c>
      <c r="O47" s="1418" t="s">
        <v>403</v>
      </c>
      <c r="P47" s="1419" t="s">
        <v>817</v>
      </c>
      <c r="Q47" s="1420">
        <f ca="1">C40+J29</f>
        <v>332928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3395</v>
      </c>
      <c r="K48" s="1423" t="s">
        <v>820</v>
      </c>
      <c r="L48" s="1424">
        <f ca="1">INDIRECT("'数据-取费表'!f"&amp;$G$1)</f>
        <v>44.59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392265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34</v>
      </c>
      <c r="K51" s="1434" t="s">
        <v>830</v>
      </c>
      <c r="L51" s="1435">
        <f ca="1">ROUND(-PV(INDIRECT("'数据-取费表'!h"&amp;$G$1),J51,(C39-C13*C76),0),0)</f>
        <v>-93514</v>
      </c>
      <c r="M51" s="1436"/>
      <c r="O51" s="1428" t="s">
        <v>407</v>
      </c>
      <c r="P51" s="1419" t="s">
        <v>831</v>
      </c>
      <c r="Q51" s="1431">
        <f>J52</f>
        <v>7.0000000000000007E-2</v>
      </c>
      <c r="R51" s="1420"/>
    </row>
    <row r="52" spans="1:18" s="1384" customFormat="1" ht="13.8" thickBot="1">
      <c r="A52" s="977"/>
      <c r="B52" s="979"/>
      <c r="C52" s="980"/>
      <c r="D52" s="953"/>
      <c r="E52" s="981" t="s">
        <v>699</v>
      </c>
      <c r="F52" s="1054"/>
      <c r="I52" s="1437" t="s">
        <v>832</v>
      </c>
      <c r="J52" s="1438">
        <v>7.0000000000000007E-2</v>
      </c>
      <c r="K52" s="1437" t="s">
        <v>833</v>
      </c>
      <c r="L52" s="1438">
        <v>0.05</v>
      </c>
      <c r="O52" s="1428" t="s">
        <v>408</v>
      </c>
      <c r="P52" s="1419" t="s">
        <v>834</v>
      </c>
      <c r="Q52" s="1420">
        <f ca="1">J53</f>
        <v>44.59</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7">
        <f ca="1">IF(M47="住宅",IF(D1="——",MAX(J51,L48),MAX(J51,L48-'数据-取费表'!B24)),IF(D1="——",MIN(J51,L48),MIN(J51,L48-'数据-取费表'!B24)))</f>
        <v>44.59</v>
      </c>
      <c r="K53" s="3815" t="s">
        <v>837</v>
      </c>
      <c r="L53" s="3816"/>
      <c r="O53" s="1418" t="s">
        <v>409</v>
      </c>
      <c r="P53" s="1419" t="s">
        <v>838</v>
      </c>
      <c r="Q53" s="1420">
        <f ca="1">Q47+Q48</f>
        <v>332928</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3397</v>
      </c>
      <c r="O55" s="1411" t="s">
        <v>811</v>
      </c>
      <c r="P55" s="1412" t="s">
        <v>812</v>
      </c>
      <c r="Q55" s="1413" t="s">
        <v>813</v>
      </c>
      <c r="R55" s="1413" t="s">
        <v>814</v>
      </c>
    </row>
    <row r="56" spans="1:18" s="1384" customFormat="1" ht="36" customHeight="1" thickTop="1" thickBot="1">
      <c r="A56" s="957">
        <v>2</v>
      </c>
      <c r="B56" s="958" t="s">
        <v>704</v>
      </c>
      <c r="C56" s="232">
        <f ca="1">C13</f>
        <v>254972</v>
      </c>
      <c r="D56" s="1447"/>
      <c r="E56" s="1448"/>
      <c r="F56" s="1440"/>
      <c r="I56" s="1449" t="s">
        <v>842</v>
      </c>
      <c r="J56" s="1450" t="s">
        <v>3396</v>
      </c>
      <c r="K56" s="1421" t="s">
        <v>843</v>
      </c>
      <c r="L56" s="1424">
        <f ca="1">IF(L48&lt;J51,"——",L48-J51)</f>
        <v>10.590000000000003</v>
      </c>
      <c r="O56" s="1418" t="s">
        <v>403</v>
      </c>
      <c r="P56" s="1419" t="s">
        <v>817</v>
      </c>
      <c r="Q56" s="1420">
        <f ca="1">C40+J29</f>
        <v>332928</v>
      </c>
      <c r="R56" s="1420" t="s">
        <v>818</v>
      </c>
    </row>
    <row r="57" spans="1:18" s="1384" customFormat="1" ht="24.6" thickBot="1">
      <c r="A57" s="1451"/>
      <c r="B57" s="950" t="s">
        <v>767</v>
      </c>
      <c r="C57" s="238">
        <f ca="1">C29</f>
        <v>392265</v>
      </c>
      <c r="D57" s="1452"/>
      <c r="E57" s="1453"/>
      <c r="F57" s="1454"/>
      <c r="I57" s="1455" t="s">
        <v>844</v>
      </c>
      <c r="J57" s="1456" t="str">
        <f ca="1">IF(OR(M47="住宅",J51&lt;L48,J56="是"),"——",J51-L48)</f>
        <v>——</v>
      </c>
      <c r="K57" s="1421" t="s">
        <v>892</v>
      </c>
      <c r="L57" s="1424">
        <f ca="1">IF(L48&lt;J51,"——",IF(L55="比较法",L49,IF(L55="基准地价",L50,L51)))</f>
        <v>-93514</v>
      </c>
      <c r="O57" s="1418" t="s">
        <v>404</v>
      </c>
      <c r="P57" s="1419" t="s">
        <v>893</v>
      </c>
      <c r="Q57" s="1420">
        <f ca="1">L60</f>
        <v>0</v>
      </c>
      <c r="R57" s="1420" t="s">
        <v>894</v>
      </c>
    </row>
    <row r="58" spans="1:18" s="1384" customFormat="1" ht="24.6" thickBot="1">
      <c r="A58" s="315" t="s">
        <v>393</v>
      </c>
      <c r="B58" s="958" t="s">
        <v>714</v>
      </c>
      <c r="C58" s="316">
        <f ca="1">ROUND(C59+C64+C65+C66,0)</f>
        <v>4178</v>
      </c>
      <c r="D58" s="960" t="s">
        <v>715</v>
      </c>
      <c r="E58" s="961"/>
      <c r="F58" s="962"/>
      <c r="I58" s="1455" t="s">
        <v>848</v>
      </c>
      <c r="J58" s="1457" t="e">
        <f ca="1">IF(J55&lt;0.4,0.4,J55)</f>
        <v>#VALUE!</v>
      </c>
      <c r="K58" s="1434" t="s">
        <v>895</v>
      </c>
      <c r="L58" s="1424">
        <f ca="1">ROUND(POWER(1+L52,L47-L48)*(POWER(1+L52,L48)-1)/(POWER(1+L52,L47)-1),4)</f>
        <v>0.91659999999999997</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0.83720000000000006</v>
      </c>
      <c r="M59" s="1381">
        <f ca="1">ROUND(POWER(1+L52,L47-(J51+'数据-取费表'!B24))*(POWER(1+L52,(J51+'数据-取费表'!B24))-1)/(POWER(1+L52,L47)-1),4)</f>
        <v>0.83720000000000006</v>
      </c>
      <c r="N59" s="1381">
        <f ca="1">ROUND(POWER(1+L52,L47-(J51+'数据-取费表'!B20))*(POWER(1+L52,(J51+'数据-取费表'!B20))-1)/(POWER(1+L52,L47)-1),4)</f>
        <v>0.84650000000000003</v>
      </c>
      <c r="O59" s="1428" t="s">
        <v>406</v>
      </c>
      <c r="P59" s="1419" t="s">
        <v>852</v>
      </c>
      <c r="Q59" s="1431">
        <f>L52</f>
        <v>0.05</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0.91659999999999997</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f ca="1">L59</f>
        <v>0.83720000000000006</v>
      </c>
      <c r="R61" s="1420" t="s">
        <v>857</v>
      </c>
    </row>
    <row r="62" spans="1:18" s="1384" customFormat="1" ht="13.8"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332928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3923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255</v>
      </c>
      <c r="D65" s="964" t="s">
        <v>743</v>
      </c>
      <c r="E65" s="950" t="s">
        <v>744</v>
      </c>
      <c r="F65" s="330">
        <f t="shared" ca="1" si="0"/>
        <v>1E-3</v>
      </c>
      <c r="I65" s="1462" t="s">
        <v>867</v>
      </c>
      <c r="J65" s="1463">
        <v>40</v>
      </c>
      <c r="K65" s="1463">
        <v>30</v>
      </c>
      <c r="L65" s="1463">
        <v>50</v>
      </c>
      <c r="M65" s="1465">
        <v>0.02</v>
      </c>
      <c r="O65" s="1418" t="s">
        <v>403</v>
      </c>
      <c r="P65" s="1419" t="s">
        <v>868</v>
      </c>
      <c r="Q65" s="1420">
        <f ca="1">C40+J29</f>
        <v>332928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-4178</v>
      </c>
      <c r="D67" s="963" t="s">
        <v>753</v>
      </c>
      <c r="E67" s="968"/>
      <c r="F67" s="969"/>
      <c r="O67" s="1428" t="s">
        <v>405</v>
      </c>
      <c r="P67" s="1419" t="s">
        <v>850</v>
      </c>
      <c r="Q67" s="1466">
        <f ca="1">L51</f>
        <v>-93514</v>
      </c>
      <c r="R67" s="1420" t="s">
        <v>870</v>
      </c>
    </row>
    <row r="68" spans="1:18" s="1384" customFormat="1" ht="16.2" thickBot="1">
      <c r="A68" s="947" t="s">
        <v>395</v>
      </c>
      <c r="B68" s="948" t="s">
        <v>774</v>
      </c>
      <c r="C68" s="301">
        <f ca="1">ROUND(C67*(1-((1+F70)/(1+F68))^F69)/(F68-F70),0)</f>
        <v>-86278</v>
      </c>
      <c r="D68" s="965" t="s">
        <v>758</v>
      </c>
      <c r="E68" s="950" t="s">
        <v>759</v>
      </c>
      <c r="F68" s="312">
        <f ca="1">F40</f>
        <v>0.04</v>
      </c>
      <c r="O68" s="1428" t="s">
        <v>406</v>
      </c>
      <c r="P68" s="1467" t="s">
        <v>871</v>
      </c>
      <c r="Q68" s="1420">
        <f ca="1">ROUND(Q69-Q70*Q71,0)</f>
        <v>-5079</v>
      </c>
      <c r="R68" s="1420" t="s">
        <v>414</v>
      </c>
    </row>
    <row r="69" spans="1:18" s="1384" customFormat="1" ht="13.8" thickBot="1">
      <c r="A69" s="951"/>
      <c r="B69" s="952"/>
      <c r="C69" s="306"/>
      <c r="D69" s="970" t="s">
        <v>762</v>
      </c>
      <c r="E69" s="950" t="s">
        <v>763</v>
      </c>
      <c r="F69" s="333">
        <f ca="1">F41</f>
        <v>44.59</v>
      </c>
      <c r="O69" s="1428" t="s">
        <v>411</v>
      </c>
      <c r="P69" s="1467" t="s">
        <v>872</v>
      </c>
      <c r="Q69" s="1420">
        <f ca="1">C39</f>
        <v>11494</v>
      </c>
      <c r="R69" s="1420" t="s">
        <v>818</v>
      </c>
    </row>
    <row r="70" spans="1:18" s="1384" customFormat="1" ht="13.8" thickBot="1">
      <c r="A70" s="954"/>
      <c r="B70" s="955"/>
      <c r="C70" s="310"/>
      <c r="D70" s="966"/>
      <c r="E70" s="950" t="s">
        <v>766</v>
      </c>
      <c r="F70" s="1054"/>
      <c r="O70" s="1428" t="s">
        <v>412</v>
      </c>
      <c r="P70" s="1467" t="s">
        <v>873</v>
      </c>
      <c r="Q70" s="1420">
        <f ca="1">C13</f>
        <v>254972</v>
      </c>
      <c r="R70" s="1420" t="s">
        <v>818</v>
      </c>
    </row>
    <row r="71" spans="1:18" s="1384" customFormat="1" ht="13.8" thickBot="1">
      <c r="A71" s="971" t="s">
        <v>396</v>
      </c>
      <c r="B71" s="972" t="s">
        <v>776</v>
      </c>
      <c r="C71" s="336">
        <f ca="1">ROUND(C68/F71,0)</f>
        <v>-924</v>
      </c>
      <c r="D71" s="973" t="s">
        <v>777</v>
      </c>
      <c r="E71" s="974" t="s">
        <v>778</v>
      </c>
      <c r="F71" s="339">
        <f ca="1">F43</f>
        <v>93.38</v>
      </c>
      <c r="O71" s="1428" t="s">
        <v>413</v>
      </c>
      <c r="P71" s="1467" t="s">
        <v>874</v>
      </c>
      <c r="Q71" s="1431">
        <f ca="1">C76</f>
        <v>6.5000000000000002E-2</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0.91659999999999997</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0.83720000000000006</v>
      </c>
      <c r="R74" s="1420" t="s">
        <v>857</v>
      </c>
    </row>
    <row r="75" spans="1:18" ht="13.8" thickBot="1">
      <c r="A75" s="1384"/>
      <c r="B75" s="340" t="s">
        <v>795</v>
      </c>
      <c r="C75" s="341">
        <f ca="1">ROUND(C13*C76,0)</f>
        <v>16573</v>
      </c>
      <c r="D75" s="1384"/>
      <c r="E75" s="1384"/>
      <c r="F75" s="1384"/>
      <c r="K75" s="1402"/>
      <c r="L75" s="1384"/>
      <c r="O75" s="1418" t="s">
        <v>409</v>
      </c>
      <c r="P75" s="1419" t="s">
        <v>838</v>
      </c>
      <c r="Q75" s="1420">
        <f ca="1">Q65+Q66</f>
        <v>332928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-0.44199999999999995</v>
      </c>
    </row>
    <row r="80" spans="1:18">
      <c r="B80" s="340" t="s">
        <v>800</v>
      </c>
      <c r="C80" s="274">
        <f ca="1">ROUND(C75/C39,3)</f>
        <v>1.4419999999999999</v>
      </c>
    </row>
    <row r="81" spans="2:3">
      <c r="B81" s="270" t="s">
        <v>801</v>
      </c>
      <c r="C81" s="238"/>
    </row>
    <row r="82" spans="2:3">
      <c r="B82" s="273" t="s">
        <v>802</v>
      </c>
      <c r="C82" s="275">
        <f ca="1">1-C83</f>
        <v>0.23399999999999999</v>
      </c>
    </row>
    <row r="83" spans="2:3">
      <c r="B83" s="273" t="s">
        <v>803</v>
      </c>
      <c r="C83" s="274">
        <f ca="1">ROUND(C13/C40,3)</f>
        <v>0.76600000000000001</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workbookViewId="0">
      <selection activeCell="N29" sqref="N29"/>
    </sheetView>
  </sheetViews>
  <sheetFormatPr defaultRowHeight="14.4"/>
  <cols>
    <col min="14" max="15" width="10.44140625" bestFit="1" customWidth="1"/>
    <col min="16" max="16" width="11.6640625" bestFit="1" customWidth="1"/>
  </cols>
  <sheetData>
    <row r="1" spans="11:16">
      <c r="K1" s="3449" t="s">
        <v>3390</v>
      </c>
      <c r="L1" s="3449" t="s">
        <v>3391</v>
      </c>
      <c r="M1" s="3449" t="s">
        <v>3392</v>
      </c>
    </row>
    <row r="2" spans="11:16">
      <c r="K2" s="3464">
        <v>62.01</v>
      </c>
      <c r="L2" s="3464">
        <v>5418</v>
      </c>
      <c r="M2" s="3570">
        <f>L2/K2</f>
        <v>87.373004354136427</v>
      </c>
    </row>
    <row r="3" spans="11:16">
      <c r="K3" s="3464">
        <v>48.95</v>
      </c>
      <c r="L3" s="3464">
        <v>4500</v>
      </c>
      <c r="M3" s="3570">
        <f t="shared" ref="M3:M8" si="0">L3/K3</f>
        <v>91.930541368743604</v>
      </c>
    </row>
    <row r="4" spans="11:16">
      <c r="K4">
        <v>49.25</v>
      </c>
      <c r="L4">
        <v>5040</v>
      </c>
      <c r="M4" s="3450">
        <f t="shared" si="0"/>
        <v>102.33502538071066</v>
      </c>
      <c r="N4" s="3605">
        <v>45407</v>
      </c>
      <c r="O4" s="3566">
        <v>42825</v>
      </c>
      <c r="P4" s="3566">
        <v>43100</v>
      </c>
    </row>
    <row r="5" spans="11:16">
      <c r="K5" s="3464">
        <v>79.52</v>
      </c>
      <c r="L5" s="3464">
        <v>6500</v>
      </c>
      <c r="M5" s="3570">
        <f t="shared" si="0"/>
        <v>81.740442655935624</v>
      </c>
      <c r="N5">
        <f>ROUND((M2+M3+M5)/3*K5,0)</f>
        <v>6919</v>
      </c>
      <c r="O5">
        <f>ROUND(N5/(1+2.5%)/(1+2.5%)/(1+2.5%)/(1+2.5%)/(1+2.5%)/(1+2.5%)/(1+2.5%)/(1+2.5%*2/12),0)</f>
        <v>5797</v>
      </c>
      <c r="P5">
        <f>ROUND(N5/(1+2.5%)/(1+2.5%)/(1+2.5%)/(1+2.5%)/(1+2.5%)/(1+2.5%)/(1+2.5%*5/12),0)</f>
        <v>5905</v>
      </c>
    </row>
    <row r="6" spans="11:16">
      <c r="K6">
        <v>50</v>
      </c>
      <c r="L6">
        <v>4800</v>
      </c>
      <c r="M6" s="3450">
        <f t="shared" si="0"/>
        <v>96</v>
      </c>
    </row>
    <row r="7" spans="11:16">
      <c r="K7">
        <v>97</v>
      </c>
      <c r="L7">
        <v>9500</v>
      </c>
      <c r="M7" s="3450">
        <f t="shared" si="0"/>
        <v>97.9381443298969</v>
      </c>
    </row>
    <row r="8" spans="11:16">
      <c r="K8">
        <v>60.89</v>
      </c>
      <c r="L8">
        <v>6790</v>
      </c>
      <c r="M8" s="3450">
        <f t="shared" si="0"/>
        <v>111.51256363934965</v>
      </c>
    </row>
    <row r="9" spans="11:16">
      <c r="M9" s="3450"/>
    </row>
    <row r="10" spans="11:16">
      <c r="M10" s="3450"/>
    </row>
    <row r="11" spans="11:16">
      <c r="M11" s="3450">
        <f>AVERAGE(M2:M10)</f>
        <v>95.547103104110406</v>
      </c>
      <c r="N11">
        <f>M11*'数据-汇总表'!E3</f>
        <v>8922.1884878618293</v>
      </c>
    </row>
  </sheetData>
  <phoneticPr fontId="13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28.864100000000001</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3091</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7470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7470</v>
      </c>
      <c r="D8" s="222"/>
      <c r="E8" s="220"/>
      <c r="F8" s="221"/>
      <c r="G8" s="1856"/>
    </row>
    <row r="9" spans="1:8" s="214" customFormat="1" ht="13.5" customHeight="1">
      <c r="A9" s="779" t="s">
        <v>355</v>
      </c>
      <c r="B9" s="224" t="s">
        <v>1477</v>
      </c>
      <c r="C9" s="225">
        <f ca="1">ROUND(D9*E9,0)</f>
        <v>7470</v>
      </c>
      <c r="D9" s="845">
        <f ca="1">IF(B1="",'数据-汇总表'!E5,IF(INDIRECT("'数据-取费表'!c"&amp;$G$1)="住宅",INDIRECT("'数据-取费表'!k"&amp;$G$1),0))</f>
        <v>93.38</v>
      </c>
      <c r="E9" s="225">
        <f>'数据-取费表'!B27</f>
        <v>80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0</v>
      </c>
      <c r="E10" s="225">
        <f>'数据-取费表'!B28</f>
        <v>80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18676</v>
      </c>
      <c r="D19" s="849">
        <f ca="1">D9+D10</f>
        <v>93.38</v>
      </c>
      <c r="E19" s="211">
        <f>'数据-取费表'!B31</f>
        <v>200</v>
      </c>
      <c r="F19" s="231"/>
      <c r="G19" s="1856"/>
    </row>
    <row r="20" spans="1:7" s="214" customFormat="1" ht="13.5" customHeight="1">
      <c r="A20" s="255" t="s">
        <v>1573</v>
      </c>
      <c r="B20" s="210" t="s">
        <v>1574</v>
      </c>
      <c r="C20" s="232">
        <f ca="1">ROUND((C5+C19)*F20,0)</f>
        <v>261</v>
      </c>
      <c r="D20" s="232"/>
      <c r="E20" s="232"/>
      <c r="F20" s="233">
        <f>'数据-取费表'!B37</f>
        <v>0.01</v>
      </c>
      <c r="G20" s="234" t="s">
        <v>1575</v>
      </c>
    </row>
    <row r="21" spans="1:7" s="214" customFormat="1" ht="13.5" customHeight="1">
      <c r="A21" s="255" t="s">
        <v>1576</v>
      </c>
      <c r="B21" s="210" t="s">
        <v>1577</v>
      </c>
      <c r="C21" s="235">
        <f>F21</f>
        <v>0.01</v>
      </c>
      <c r="D21" s="236" t="s">
        <v>1578</v>
      </c>
      <c r="E21" s="232"/>
      <c r="F21" s="233">
        <f>'数据-取费表'!B38</f>
        <v>0.01</v>
      </c>
      <c r="G21" s="234" t="s">
        <v>1579</v>
      </c>
    </row>
    <row r="22" spans="1:7" s="214" customFormat="1" ht="13.5" customHeight="1">
      <c r="A22" s="255" t="s">
        <v>1580</v>
      </c>
      <c r="B22" s="210" t="s">
        <v>1581</v>
      </c>
      <c r="C22" s="1127">
        <f ca="1">ROUND(SUM(C23:C25),0)</f>
        <v>1143</v>
      </c>
      <c r="D22" s="235">
        <f ca="1">C26</f>
        <v>2.0000000000000001E-4</v>
      </c>
      <c r="E22" s="236" t="s">
        <v>1578</v>
      </c>
      <c r="F22" s="237">
        <f ca="1">'数据-取费表'!B40</f>
        <v>4.3500000000000004E-2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325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812</v>
      </c>
      <c r="D24" s="238"/>
      <c r="E24" s="238"/>
      <c r="F24" s="239"/>
      <c r="G24" s="240" t="s">
        <v>1585</v>
      </c>
    </row>
    <row r="25" spans="1:7" s="214" customFormat="1" ht="24">
      <c r="A25" s="780" t="s">
        <v>1475</v>
      </c>
      <c r="B25" s="215" t="s">
        <v>1586</v>
      </c>
      <c r="C25" s="1128">
        <f ca="1">ROUND(IF('数据-取费表'!B22&lt;=1,C20*F22*'数据-取费表'!B22/2,C20*(POWER((1+F22),'数据-取费表'!B22/2)-1)),0)</f>
        <v>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6.4">
      <c r="A27" s="255" t="s">
        <v>1511</v>
      </c>
      <c r="B27" s="244" t="s">
        <v>1512</v>
      </c>
      <c r="C27" s="245">
        <f ca="1">C28</f>
        <v>3961</v>
      </c>
      <c r="D27" s="235">
        <f ca="1">C29</f>
        <v>1.5E-3</v>
      </c>
      <c r="E27" s="236" t="s">
        <v>1513</v>
      </c>
      <c r="F27" s="246">
        <f ca="1">IF(B1="",'数据-取费表'!Q16,INDIRECT("'数据-取费表'!q"&amp;$G$1))</f>
        <v>0.15</v>
      </c>
      <c r="G27" s="247" t="s">
        <v>1514</v>
      </c>
    </row>
    <row r="28" spans="1:7" s="214" customFormat="1" ht="13.5" customHeight="1">
      <c r="A28" s="780" t="s">
        <v>346</v>
      </c>
      <c r="B28" s="248" t="s">
        <v>1515</v>
      </c>
      <c r="C28" s="249">
        <f ca="1">ROUND((C5+C19+C20)*F27,0)</f>
        <v>3961</v>
      </c>
      <c r="D28" s="235"/>
      <c r="E28" s="236"/>
      <c r="F28" s="246"/>
      <c r="G28" s="247"/>
    </row>
    <row r="29" spans="1:7" s="214" customFormat="1" ht="13.5" customHeight="1">
      <c r="A29" s="780" t="s">
        <v>347</v>
      </c>
      <c r="B29" s="248" t="s">
        <v>1516</v>
      </c>
      <c r="C29" s="238">
        <f ca="1">ROUND(C21*F27,4)</f>
        <v>1.5E-3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33669</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310208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261464</v>
      </c>
      <c r="D34" s="217"/>
      <c r="E34" s="220"/>
      <c r="F34" s="257"/>
      <c r="G34" s="219"/>
    </row>
    <row r="35" spans="1:7" ht="13.5" customHeight="1">
      <c r="A35" s="780" t="s">
        <v>351</v>
      </c>
      <c r="B35" s="215" t="s">
        <v>1526</v>
      </c>
      <c r="C35" s="220">
        <f ca="1">ROUND(C34*F35,0)</f>
        <v>13073</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13073</v>
      </c>
      <c r="D36" s="220"/>
      <c r="E36" s="220"/>
      <c r="F36" s="259">
        <f>'数据-取费表'!B34</f>
        <v>0.05</v>
      </c>
      <c r="G36" s="260" t="s">
        <v>1529</v>
      </c>
    </row>
    <row r="37" spans="1:7" s="258" customFormat="1" ht="13.5" customHeight="1">
      <c r="A37" s="780" t="s">
        <v>353</v>
      </c>
      <c r="B37" s="215" t="s">
        <v>1530</v>
      </c>
      <c r="C37" s="249">
        <f ca="1">ROUND(E37*D37,0)</f>
        <v>18676</v>
      </c>
      <c r="D37" s="217">
        <f ca="1">D19</f>
        <v>93.38</v>
      </c>
      <c r="E37" s="249">
        <f>'数据-取费表'!B35</f>
        <v>200</v>
      </c>
      <c r="F37" s="259"/>
      <c r="G37" s="261"/>
    </row>
    <row r="38" spans="1:7" ht="13.5" customHeight="1">
      <c r="A38" s="780" t="s">
        <v>354</v>
      </c>
      <c r="B38" s="215" t="s">
        <v>1532</v>
      </c>
      <c r="C38" s="220">
        <f ca="1">ROUND(C34*F38,0)</f>
        <v>3922</v>
      </c>
      <c r="D38" s="220"/>
      <c r="E38" s="220"/>
      <c r="F38" s="259">
        <f>'数据-取费表'!B36</f>
        <v>1.4999999999999999E-2</v>
      </c>
      <c r="G38" s="219" t="s">
        <v>1527</v>
      </c>
    </row>
    <row r="39" spans="1:7" s="214" customFormat="1" ht="13.5" customHeight="1">
      <c r="A39" s="255" t="s">
        <v>1533</v>
      </c>
      <c r="B39" s="210" t="s">
        <v>1534</v>
      </c>
      <c r="C39" s="232">
        <f ca="1">ROUND(C33*F20,0)</f>
        <v>3102</v>
      </c>
      <c r="D39" s="232"/>
      <c r="E39" s="232"/>
      <c r="F39" s="233">
        <f>F20</f>
        <v>0.01</v>
      </c>
      <c r="G39" s="234" t="s">
        <v>1535</v>
      </c>
    </row>
    <row r="40" spans="1:7" s="214" customFormat="1" ht="13.5" customHeight="1">
      <c r="A40" s="255" t="s">
        <v>1536</v>
      </c>
      <c r="B40" s="210" t="s">
        <v>1537</v>
      </c>
      <c r="C40" s="1327">
        <f>F21</f>
        <v>0.01</v>
      </c>
      <c r="D40" s="236" t="s">
        <v>1538</v>
      </c>
      <c r="E40" s="232"/>
      <c r="F40" s="233">
        <f>F21</f>
        <v>0.01</v>
      </c>
      <c r="G40" s="234" t="s">
        <v>1539</v>
      </c>
    </row>
    <row r="41" spans="1:7" s="214" customFormat="1" ht="13.5" customHeight="1">
      <c r="A41" s="255" t="s">
        <v>1540</v>
      </c>
      <c r="B41" s="210" t="s">
        <v>1541</v>
      </c>
      <c r="C41" s="232">
        <f ca="1">ROUND(SUM(C42:C43),0)</f>
        <v>6814</v>
      </c>
      <c r="D41" s="235">
        <f ca="1">C44</f>
        <v>2.0000000000000001E-4</v>
      </c>
      <c r="E41" s="236" t="s">
        <v>1538</v>
      </c>
      <c r="F41" s="237">
        <f ca="1">F22</f>
        <v>4.3500000000000004E-2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6747</v>
      </c>
      <c r="D42" s="238"/>
      <c r="E42" s="238"/>
      <c r="F42" s="239"/>
      <c r="G42" s="3812" t="s">
        <v>1590</v>
      </c>
    </row>
    <row r="43" spans="1:7" ht="13.5" customHeight="1">
      <c r="A43" s="780" t="s">
        <v>347</v>
      </c>
      <c r="B43" s="215" t="s">
        <v>1544</v>
      </c>
      <c r="C43" s="238">
        <f ca="1">ROUND(IF('数据-取费表'!B22&lt;=1,C39*F22*'数据-取费表'!B20/2,C39*(POWER((1+F22),'数据-取费表'!B20/2)-1)),0)</f>
        <v>67</v>
      </c>
      <c r="D43" s="238"/>
      <c r="E43" s="238"/>
      <c r="F43" s="239"/>
      <c r="G43" s="3813"/>
    </row>
    <row r="44" spans="1:7" ht="13.5" customHeight="1">
      <c r="A44" s="780" t="s">
        <v>348</v>
      </c>
      <c r="B44" s="215" t="s">
        <v>1545</v>
      </c>
      <c r="C44" s="238">
        <f ca="1">ROUND(IF('数据-取费表'!B22&lt;=1,C40*F22*'数据-取费表'!B20/2,C40*(POWER((1+F22),'数据-取费表'!B20/2)-1)),4)</f>
        <v>2.0000000000000001E-4</v>
      </c>
      <c r="D44" s="238"/>
      <c r="E44" s="238"/>
      <c r="F44" s="239"/>
      <c r="G44" s="3814"/>
    </row>
    <row r="45" spans="1:7" s="214" customFormat="1" ht="13.5" customHeight="1">
      <c r="A45" s="255" t="s">
        <v>1546</v>
      </c>
      <c r="B45" s="244" t="s">
        <v>1512</v>
      </c>
      <c r="C45" s="245">
        <f ca="1">C46</f>
        <v>46997</v>
      </c>
      <c r="D45" s="235">
        <f ca="1">C47</f>
        <v>1.5E-3</v>
      </c>
      <c r="E45" s="236" t="s">
        <v>1538</v>
      </c>
      <c r="F45" s="246">
        <f ca="1">F27</f>
        <v>0.15</v>
      </c>
      <c r="G45" s="247" t="s">
        <v>1547</v>
      </c>
    </row>
    <row r="46" spans="1:7" s="214" customFormat="1" ht="13.5" customHeight="1">
      <c r="A46" s="780" t="s">
        <v>346</v>
      </c>
      <c r="B46" s="248" t="s">
        <v>1548</v>
      </c>
      <c r="C46" s="249">
        <f ca="1">ROUND((C33+C39)*F27,0)</f>
        <v>46997</v>
      </c>
      <c r="D46" s="263"/>
      <c r="E46" s="236"/>
      <c r="F46" s="246"/>
      <c r="G46" s="247"/>
    </row>
    <row r="47" spans="1:7" s="214" customFormat="1" ht="13.5" customHeight="1">
      <c r="A47" s="780" t="s">
        <v>347</v>
      </c>
      <c r="B47" s="248" t="s">
        <v>1549</v>
      </c>
      <c r="C47" s="238">
        <f ca="1">ROUND(C40*F27,4)</f>
        <v>1.5E-3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392265</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254972</v>
      </c>
      <c r="D51" s="232"/>
      <c r="E51" s="232"/>
      <c r="F51" s="264"/>
      <c r="G51" s="234" t="s">
        <v>1559</v>
      </c>
    </row>
    <row r="52" spans="1:7" s="208" customFormat="1" ht="16.8" thickBot="1">
      <c r="A52" s="265" t="s">
        <v>1560</v>
      </c>
      <c r="B52" s="266"/>
      <c r="C52" s="267">
        <f ca="1">C31+C51</f>
        <v>288641</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6" sqref="C6"/>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93.38</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45533</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152.69499999999999</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93.38</v>
      </c>
      <c r="C14" s="2517"/>
      <c r="D14" s="2517">
        <f ca="1">结果表!G23/10000</f>
        <v>152.69499999999999</v>
      </c>
      <c r="E14" s="2517">
        <f ca="1">ROUND(D14*10000/B14,0)</f>
        <v>16352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93.38</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48" t="s">
        <v>1770</v>
      </c>
      <c r="S4" s="3849"/>
      <c r="T4" s="3848" t="s">
        <v>1771</v>
      </c>
      <c r="U4" s="3849"/>
      <c r="V4" s="3854" t="s">
        <v>1772</v>
      </c>
      <c r="W4" s="3854"/>
      <c r="X4" s="1355"/>
      <c r="Y4" s="3848" t="s">
        <v>1774</v>
      </c>
      <c r="Z4" s="3849"/>
      <c r="AA4" s="3835" t="s">
        <v>1770</v>
      </c>
      <c r="AB4" s="3854" t="s">
        <v>1771</v>
      </c>
      <c r="AC4" s="3835" t="s">
        <v>1772</v>
      </c>
    </row>
    <row r="5" spans="1:29">
      <c r="A5" s="358"/>
      <c r="B5" s="359"/>
      <c r="C5" s="3857" t="s">
        <v>1672</v>
      </c>
      <c r="D5" s="3858"/>
      <c r="E5" s="3865" t="s">
        <v>1673</v>
      </c>
      <c r="F5" s="3866"/>
      <c r="G5" s="3857" t="s">
        <v>1674</v>
      </c>
      <c r="H5" s="3858"/>
      <c r="I5" s="3857" t="s">
        <v>1675</v>
      </c>
      <c r="J5" s="3858"/>
      <c r="K5" s="559"/>
      <c r="L5" s="2714"/>
      <c r="M5" s="2715"/>
      <c r="N5" s="2715"/>
      <c r="O5" s="2715"/>
      <c r="P5" s="3844"/>
      <c r="Q5" s="3845"/>
      <c r="R5" s="3850"/>
      <c r="S5" s="3851"/>
      <c r="T5" s="3850"/>
      <c r="U5" s="3851"/>
      <c r="V5" s="3854"/>
      <c r="W5" s="3854"/>
      <c r="X5" s="1355"/>
      <c r="Y5" s="3850"/>
      <c r="Z5" s="3851"/>
      <c r="AA5" s="3836"/>
      <c r="AB5" s="3854"/>
      <c r="AC5" s="3836"/>
    </row>
    <row r="6" spans="1:29" ht="15" thickBot="1">
      <c r="A6" s="360"/>
      <c r="B6" s="361"/>
      <c r="C6" s="3855" t="s">
        <v>1676</v>
      </c>
      <c r="D6" s="3856"/>
      <c r="E6" s="3863" t="s">
        <v>1676</v>
      </c>
      <c r="F6" s="3864"/>
      <c r="G6" s="3855" t="s">
        <v>1676</v>
      </c>
      <c r="H6" s="3856"/>
      <c r="I6" s="3855" t="s">
        <v>1676</v>
      </c>
      <c r="J6" s="3856"/>
      <c r="K6" s="559" t="s">
        <v>1677</v>
      </c>
      <c r="L6" s="2714"/>
      <c r="M6" s="2715"/>
      <c r="N6" s="2715"/>
      <c r="O6" s="2715"/>
      <c r="P6" s="3846"/>
      <c r="Q6" s="3847"/>
      <c r="R6" s="3850"/>
      <c r="S6" s="3851"/>
      <c r="T6" s="3852"/>
      <c r="U6" s="3853"/>
      <c r="V6" s="3854"/>
      <c r="W6" s="3854"/>
      <c r="X6" s="1355"/>
      <c r="Y6" s="3852"/>
      <c r="Z6" s="3853"/>
      <c r="AA6" s="3837"/>
      <c r="AB6" s="3854"/>
      <c r="AC6" s="3837"/>
    </row>
    <row r="7" spans="1:29" s="108" customFormat="1" ht="15" thickBot="1">
      <c r="A7" s="362" t="s">
        <v>1678</v>
      </c>
      <c r="B7" s="363"/>
      <c r="C7" s="364">
        <f>'数据-取费表'!B2</f>
        <v>45533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859" t="s">
        <v>1679</v>
      </c>
      <c r="Q7" s="3861"/>
      <c r="R7" s="701" t="s">
        <v>14</v>
      </c>
      <c r="S7" s="702">
        <f t="shared" ref="S7:S15" si="0">F7</f>
        <v>0</v>
      </c>
      <c r="T7" s="701" t="s">
        <v>14</v>
      </c>
      <c r="U7" s="702">
        <f t="shared" ref="U7:U15" si="1">H7</f>
        <v>0</v>
      </c>
      <c r="V7" s="701" t="s">
        <v>14</v>
      </c>
      <c r="W7" s="702">
        <f t="shared" ref="W7:W15" si="2">J7</f>
        <v>0</v>
      </c>
      <c r="X7" s="703"/>
      <c r="Y7" s="3859" t="s">
        <v>1679</v>
      </c>
      <c r="Z7" s="3860"/>
      <c r="AA7" s="704" t="e">
        <f>D7/F7</f>
        <v>#DIV/0!</v>
      </c>
      <c r="AB7" s="704" t="e">
        <f>D7/H7</f>
        <v>#DIV/0!</v>
      </c>
      <c r="AC7" s="704" t="e">
        <f>D7/J7</f>
        <v>#DIV/0!</v>
      </c>
    </row>
    <row r="8" spans="1:29" s="108" customFormat="1" ht="1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859" t="s">
        <v>1682</v>
      </c>
      <c r="Q8" s="3860"/>
      <c r="R8" s="701" t="s">
        <v>14</v>
      </c>
      <c r="S8" s="702">
        <f t="shared" si="0"/>
        <v>100</v>
      </c>
      <c r="T8" s="701" t="s">
        <v>14</v>
      </c>
      <c r="U8" s="702">
        <f t="shared" si="1"/>
        <v>100</v>
      </c>
      <c r="V8" s="701" t="s">
        <v>14</v>
      </c>
      <c r="W8" s="702">
        <f t="shared" si="2"/>
        <v>100</v>
      </c>
      <c r="X8" s="703"/>
      <c r="Y8" s="3859" t="s">
        <v>1682</v>
      </c>
      <c r="Z8" s="3860"/>
      <c r="AA8" s="704">
        <f t="shared" ref="AA8:AA46" si="3">D8/F8</f>
        <v>1</v>
      </c>
      <c r="AB8" s="704">
        <f t="shared" ref="AB8:AB46" si="4">D8/H8</f>
        <v>1</v>
      </c>
      <c r="AC8" s="704">
        <f t="shared" ref="AC8:AC46" si="5">D8/J8</f>
        <v>1</v>
      </c>
    </row>
    <row r="9" spans="1:29" s="108" customFormat="1" ht="14.4">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834"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834"/>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834"/>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834"/>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834"/>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834"/>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32" t="s">
        <v>1690</v>
      </c>
      <c r="Q15" s="1352" t="str">
        <f t="shared" si="6"/>
        <v>商业繁华度</v>
      </c>
      <c r="R15" s="705" t="s">
        <v>14</v>
      </c>
      <c r="S15" s="706">
        <f t="shared" si="0"/>
        <v>100</v>
      </c>
      <c r="T15" s="705" t="s">
        <v>14</v>
      </c>
      <c r="U15" s="706">
        <f t="shared" si="1"/>
        <v>100</v>
      </c>
      <c r="V15" s="705" t="s">
        <v>14</v>
      </c>
      <c r="W15" s="706">
        <f t="shared" si="2"/>
        <v>100</v>
      </c>
      <c r="X15" s="1355"/>
      <c r="Y15" s="3825"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33"/>
      <c r="Q16" s="1352"/>
      <c r="R16" s="705"/>
      <c r="S16" s="706"/>
      <c r="T16" s="705"/>
      <c r="U16" s="706"/>
      <c r="V16" s="705"/>
      <c r="W16" s="706"/>
      <c r="X16" s="1355"/>
      <c r="Y16" s="3826"/>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33"/>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33"/>
      <c r="Q18" s="1352"/>
      <c r="R18" s="705"/>
      <c r="S18" s="706"/>
      <c r="T18" s="705"/>
      <c r="U18" s="706"/>
      <c r="V18" s="705"/>
      <c r="W18" s="706"/>
      <c r="X18" s="1355"/>
      <c r="Y18" s="382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33"/>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33"/>
      <c r="Q20" s="1352"/>
      <c r="R20" s="705"/>
      <c r="S20" s="706"/>
      <c r="T20" s="705"/>
      <c r="U20" s="706"/>
      <c r="V20" s="705"/>
      <c r="W20" s="706"/>
      <c r="X20" s="1355"/>
      <c r="Y20" s="382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33"/>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33"/>
      <c r="Q22" s="1352"/>
      <c r="R22" s="705"/>
      <c r="S22" s="706"/>
      <c r="T22" s="705"/>
      <c r="U22" s="706"/>
      <c r="V22" s="705"/>
      <c r="W22" s="706"/>
      <c r="X22" s="1355"/>
      <c r="Y22" s="3826"/>
      <c r="Z22" s="1356"/>
      <c r="AA22" s="1353">
        <v>1</v>
      </c>
      <c r="AB22" s="1353">
        <v>1</v>
      </c>
      <c r="AC22" s="1353">
        <v>1</v>
      </c>
    </row>
    <row r="23" spans="1:29" ht="55.2">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33"/>
      <c r="Q23" s="1352" t="str">
        <f>B23</f>
        <v>自然及人文环境</v>
      </c>
      <c r="R23" s="705" t="s">
        <v>14</v>
      </c>
      <c r="S23" s="706">
        <f>F23</f>
        <v>100</v>
      </c>
      <c r="T23" s="705" t="s">
        <v>14</v>
      </c>
      <c r="U23" s="706">
        <f>H23</f>
        <v>100</v>
      </c>
      <c r="V23" s="705" t="s">
        <v>14</v>
      </c>
      <c r="W23" s="706">
        <f>J23</f>
        <v>100</v>
      </c>
      <c r="X23" s="1355"/>
      <c r="Y23" s="38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33"/>
      <c r="Q24" s="1352"/>
      <c r="R24" s="705"/>
      <c r="S24" s="706"/>
      <c r="T24" s="705"/>
      <c r="U24" s="706"/>
      <c r="V24" s="705"/>
      <c r="W24" s="706"/>
      <c r="X24" s="1355"/>
      <c r="Y24" s="382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33"/>
      <c r="Q25" s="1352" t="str">
        <f t="shared" ref="Q25:Q46" si="11">B25</f>
        <v>临街状况</v>
      </c>
      <c r="R25" s="705" t="s">
        <v>14</v>
      </c>
      <c r="S25" s="706">
        <f>F25</f>
        <v>100</v>
      </c>
      <c r="T25" s="705" t="s">
        <v>14</v>
      </c>
      <c r="U25" s="706">
        <f>H25</f>
        <v>100</v>
      </c>
      <c r="V25" s="705" t="s">
        <v>14</v>
      </c>
      <c r="W25" s="706">
        <f>J25</f>
        <v>100</v>
      </c>
      <c r="X25" s="1355"/>
      <c r="Y25" s="382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33"/>
      <c r="Q26" s="1352" t="str">
        <f t="shared" si="11"/>
        <v>平面位置/可视性</v>
      </c>
      <c r="R26" s="705" t="s">
        <v>14</v>
      </c>
      <c r="S26" s="706">
        <f>F26</f>
        <v>100</v>
      </c>
      <c r="T26" s="705" t="s">
        <v>14</v>
      </c>
      <c r="U26" s="706">
        <f>H26</f>
        <v>100</v>
      </c>
      <c r="V26" s="705" t="s">
        <v>14</v>
      </c>
      <c r="W26" s="706">
        <f>J26</f>
        <v>100</v>
      </c>
      <c r="X26" s="1355"/>
      <c r="Y26" s="3826"/>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833"/>
      <c r="Q27" s="1343" t="str">
        <f t="shared" si="11"/>
        <v>人流量</v>
      </c>
      <c r="R27" s="701" t="s">
        <v>14</v>
      </c>
      <c r="S27" s="702">
        <f>F27</f>
        <v>100</v>
      </c>
      <c r="T27" s="701" t="s">
        <v>14</v>
      </c>
      <c r="U27" s="702">
        <f>H27</f>
        <v>100</v>
      </c>
      <c r="V27" s="701" t="s">
        <v>14</v>
      </c>
      <c r="W27" s="702">
        <f>J27</f>
        <v>100</v>
      </c>
      <c r="X27" s="703"/>
      <c r="Y27" s="3826"/>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33"/>
      <c r="Q29" s="1352">
        <f t="shared" si="11"/>
        <v>111</v>
      </c>
      <c r="R29" s="705" t="s">
        <v>14</v>
      </c>
      <c r="S29" s="706">
        <f t="shared" si="12"/>
        <v>100</v>
      </c>
      <c r="T29" s="705" t="s">
        <v>14</v>
      </c>
      <c r="U29" s="706">
        <f t="shared" si="13"/>
        <v>100</v>
      </c>
      <c r="V29" s="705" t="s">
        <v>14</v>
      </c>
      <c r="W29" s="706">
        <f t="shared" si="14"/>
        <v>100</v>
      </c>
      <c r="X29" s="1355"/>
      <c r="Y29" s="38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33"/>
      <c r="Q30" s="1352">
        <f t="shared" si="11"/>
        <v>111</v>
      </c>
      <c r="R30" s="705" t="s">
        <v>14</v>
      </c>
      <c r="S30" s="706">
        <f t="shared" si="12"/>
        <v>100</v>
      </c>
      <c r="T30" s="705" t="s">
        <v>14</v>
      </c>
      <c r="U30" s="706">
        <f t="shared" si="13"/>
        <v>100</v>
      </c>
      <c r="V30" s="705" t="s">
        <v>14</v>
      </c>
      <c r="W30" s="706">
        <f t="shared" si="14"/>
        <v>100</v>
      </c>
      <c r="X30" s="1355"/>
      <c r="Y30" s="382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33"/>
      <c r="Q31" s="1352">
        <f t="shared" si="11"/>
        <v>111</v>
      </c>
      <c r="R31" s="705" t="s">
        <v>14</v>
      </c>
      <c r="S31" s="706">
        <f t="shared" si="12"/>
        <v>100</v>
      </c>
      <c r="T31" s="705" t="s">
        <v>14</v>
      </c>
      <c r="U31" s="706">
        <f t="shared" si="13"/>
        <v>100</v>
      </c>
      <c r="V31" s="705" t="s">
        <v>14</v>
      </c>
      <c r="W31" s="706">
        <f t="shared" si="14"/>
        <v>100</v>
      </c>
      <c r="X31" s="1355"/>
      <c r="Y31" s="3826"/>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827" t="s">
        <v>1695</v>
      </c>
      <c r="Q32" s="1352" t="str">
        <f t="shared" si="11"/>
        <v>商业类型</v>
      </c>
      <c r="R32" s="705" t="s">
        <v>14</v>
      </c>
      <c r="S32" s="706">
        <f t="shared" si="12"/>
        <v>100</v>
      </c>
      <c r="T32" s="705" t="s">
        <v>14</v>
      </c>
      <c r="U32" s="706">
        <f t="shared" si="13"/>
        <v>100</v>
      </c>
      <c r="V32" s="705" t="s">
        <v>14</v>
      </c>
      <c r="W32" s="706">
        <f t="shared" si="14"/>
        <v>100</v>
      </c>
      <c r="X32" s="1355"/>
      <c r="Y32" s="3830"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828"/>
      <c r="Q33" s="707" t="str">
        <f t="shared" si="11"/>
        <v>项目建筑规模</v>
      </c>
      <c r="R33" s="708" t="s">
        <v>14</v>
      </c>
      <c r="S33" s="709" t="e">
        <f t="shared" si="12"/>
        <v>#N/A</v>
      </c>
      <c r="T33" s="708" t="s">
        <v>14</v>
      </c>
      <c r="U33" s="709" t="e">
        <f t="shared" si="13"/>
        <v>#N/A</v>
      </c>
      <c r="V33" s="708" t="s">
        <v>14</v>
      </c>
      <c r="W33" s="709" t="e">
        <f t="shared" si="14"/>
        <v>#N/A</v>
      </c>
      <c r="X33" s="710"/>
      <c r="Y33" s="3830"/>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828"/>
      <c r="Q34" s="1352" t="str">
        <f t="shared" si="11"/>
        <v>建筑结构</v>
      </c>
      <c r="R34" s="705" t="s">
        <v>14</v>
      </c>
      <c r="S34" s="706">
        <f t="shared" si="12"/>
        <v>100</v>
      </c>
      <c r="T34" s="705" t="s">
        <v>14</v>
      </c>
      <c r="U34" s="706">
        <f t="shared" si="13"/>
        <v>100</v>
      </c>
      <c r="V34" s="705" t="s">
        <v>14</v>
      </c>
      <c r="W34" s="706">
        <f t="shared" si="14"/>
        <v>100</v>
      </c>
      <c r="X34" s="1355"/>
      <c r="Y34" s="3830"/>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828"/>
      <c r="Q35" s="1352" t="str">
        <f t="shared" si="11"/>
        <v>公共部分装修</v>
      </c>
      <c r="R35" s="705" t="s">
        <v>14</v>
      </c>
      <c r="S35" s="706">
        <f t="shared" si="12"/>
        <v>100</v>
      </c>
      <c r="T35" s="705" t="s">
        <v>14</v>
      </c>
      <c r="U35" s="706">
        <f t="shared" si="13"/>
        <v>100</v>
      </c>
      <c r="V35" s="705" t="s">
        <v>14</v>
      </c>
      <c r="W35" s="706">
        <f t="shared" si="14"/>
        <v>100</v>
      </c>
      <c r="X35" s="1355"/>
      <c r="Y35" s="3830"/>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828"/>
      <c r="Q36" s="1352" t="str">
        <f t="shared" si="11"/>
        <v>成新度</v>
      </c>
      <c r="R36" s="705" t="s">
        <v>14</v>
      </c>
      <c r="S36" s="706" t="e">
        <f t="shared" si="12"/>
        <v>#N/A</v>
      </c>
      <c r="T36" s="705" t="s">
        <v>14</v>
      </c>
      <c r="U36" s="706" t="e">
        <f t="shared" si="13"/>
        <v>#N/A</v>
      </c>
      <c r="V36" s="705" t="s">
        <v>14</v>
      </c>
      <c r="W36" s="706" t="e">
        <f t="shared" si="14"/>
        <v>#N/A</v>
      </c>
      <c r="X36" s="1355"/>
      <c r="Y36" s="3830"/>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828"/>
      <c r="Q37" s="1343" t="str">
        <f t="shared" si="11"/>
        <v>市政基础设施</v>
      </c>
      <c r="R37" s="701" t="s">
        <v>14</v>
      </c>
      <c r="S37" s="702">
        <f t="shared" si="12"/>
        <v>100</v>
      </c>
      <c r="T37" s="701" t="s">
        <v>14</v>
      </c>
      <c r="U37" s="702">
        <f t="shared" si="13"/>
        <v>100</v>
      </c>
      <c r="V37" s="701" t="s">
        <v>14</v>
      </c>
      <c r="W37" s="702">
        <f t="shared" si="14"/>
        <v>100</v>
      </c>
      <c r="X37" s="703"/>
      <c r="Y37" s="3830"/>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828" t="s">
        <v>1695</v>
      </c>
      <c r="Q38" s="1352" t="str">
        <f t="shared" si="11"/>
        <v>业态</v>
      </c>
      <c r="R38" s="705" t="s">
        <v>14</v>
      </c>
      <c r="S38" s="706">
        <f t="shared" si="12"/>
        <v>100</v>
      </c>
      <c r="T38" s="705" t="s">
        <v>14</v>
      </c>
      <c r="U38" s="706">
        <f t="shared" si="13"/>
        <v>100</v>
      </c>
      <c r="V38" s="705" t="s">
        <v>14</v>
      </c>
      <c r="W38" s="706">
        <f t="shared" si="14"/>
        <v>100</v>
      </c>
      <c r="X38" s="1355"/>
      <c r="Y38" s="3830"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828"/>
      <c r="Q39" s="1352" t="str">
        <f t="shared" si="11"/>
        <v>层高</v>
      </c>
      <c r="R39" s="705" t="s">
        <v>14</v>
      </c>
      <c r="S39" s="706">
        <f t="shared" si="12"/>
        <v>100</v>
      </c>
      <c r="T39" s="705" t="s">
        <v>14</v>
      </c>
      <c r="U39" s="706">
        <f t="shared" si="13"/>
        <v>100</v>
      </c>
      <c r="V39" s="705" t="s">
        <v>14</v>
      </c>
      <c r="W39" s="706">
        <f t="shared" si="14"/>
        <v>100</v>
      </c>
      <c r="X39" s="1355"/>
      <c r="Y39" s="3830"/>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828"/>
      <c r="Q40" s="1352" t="str">
        <f t="shared" si="11"/>
        <v>单套建筑面积</v>
      </c>
      <c r="R40" s="705" t="s">
        <v>14</v>
      </c>
      <c r="S40" s="706">
        <f t="shared" si="12"/>
        <v>100</v>
      </c>
      <c r="T40" s="705" t="s">
        <v>14</v>
      </c>
      <c r="U40" s="706">
        <f t="shared" si="13"/>
        <v>100</v>
      </c>
      <c r="V40" s="705" t="s">
        <v>14</v>
      </c>
      <c r="W40" s="706">
        <f t="shared" si="14"/>
        <v>100</v>
      </c>
      <c r="X40" s="1355"/>
      <c r="Y40" s="383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828"/>
      <c r="Q41" s="707" t="str">
        <f t="shared" si="11"/>
        <v>进深比</v>
      </c>
      <c r="R41" s="708" t="s">
        <v>14</v>
      </c>
      <c r="S41" s="709">
        <f t="shared" si="12"/>
        <v>100</v>
      </c>
      <c r="T41" s="708" t="s">
        <v>14</v>
      </c>
      <c r="U41" s="709">
        <f t="shared" si="13"/>
        <v>100</v>
      </c>
      <c r="V41" s="708" t="s">
        <v>14</v>
      </c>
      <c r="W41" s="709">
        <f t="shared" si="14"/>
        <v>100</v>
      </c>
      <c r="X41" s="710"/>
      <c r="Y41" s="3830"/>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828"/>
      <c r="Q42" s="1352" t="str">
        <f t="shared" si="11"/>
        <v>内部装修</v>
      </c>
      <c r="R42" s="705" t="s">
        <v>14</v>
      </c>
      <c r="S42" s="706">
        <f t="shared" si="12"/>
        <v>100</v>
      </c>
      <c r="T42" s="705" t="s">
        <v>14</v>
      </c>
      <c r="U42" s="706">
        <f t="shared" si="13"/>
        <v>100</v>
      </c>
      <c r="V42" s="705" t="s">
        <v>14</v>
      </c>
      <c r="W42" s="706">
        <f t="shared" si="14"/>
        <v>100</v>
      </c>
      <c r="X42" s="1355"/>
      <c r="Y42" s="3830"/>
      <c r="Z42" s="1356" t="str">
        <f t="shared" si="15"/>
        <v>内部装修</v>
      </c>
      <c r="AA42" s="1353">
        <f t="shared" si="3"/>
        <v>1</v>
      </c>
      <c r="AB42" s="1353">
        <f t="shared" si="4"/>
        <v>1</v>
      </c>
      <c r="AC42" s="1353">
        <f t="shared" si="5"/>
        <v>1</v>
      </c>
    </row>
    <row r="43" spans="1:29" ht="28.8">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828"/>
      <c r="Q43" s="1352" t="str">
        <f t="shared" si="11"/>
        <v>内部装修维护情况</v>
      </c>
      <c r="R43" s="705" t="s">
        <v>14</v>
      </c>
      <c r="S43" s="706">
        <f t="shared" si="12"/>
        <v>100</v>
      </c>
      <c r="T43" s="705" t="s">
        <v>14</v>
      </c>
      <c r="U43" s="706">
        <f t="shared" si="13"/>
        <v>100</v>
      </c>
      <c r="V43" s="705" t="s">
        <v>14</v>
      </c>
      <c r="W43" s="706">
        <f t="shared" si="14"/>
        <v>100</v>
      </c>
      <c r="X43" s="1355"/>
      <c r="Y43" s="38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828"/>
      <c r="Q44" s="1343">
        <f t="shared" si="11"/>
        <v>111</v>
      </c>
      <c r="R44" s="701" t="s">
        <v>14</v>
      </c>
      <c r="S44" s="702">
        <f t="shared" si="12"/>
        <v>100</v>
      </c>
      <c r="T44" s="701" t="s">
        <v>14</v>
      </c>
      <c r="U44" s="702">
        <f t="shared" si="13"/>
        <v>100</v>
      </c>
      <c r="V44" s="701" t="s">
        <v>14</v>
      </c>
      <c r="W44" s="702">
        <f t="shared" si="14"/>
        <v>100</v>
      </c>
      <c r="X44" s="703"/>
      <c r="Y44" s="38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828"/>
      <c r="Q45" s="1352">
        <f t="shared" si="11"/>
        <v>111</v>
      </c>
      <c r="R45" s="705" t="s">
        <v>14</v>
      </c>
      <c r="S45" s="706">
        <f t="shared" si="12"/>
        <v>100</v>
      </c>
      <c r="T45" s="705" t="s">
        <v>14</v>
      </c>
      <c r="U45" s="706">
        <f t="shared" si="13"/>
        <v>100</v>
      </c>
      <c r="V45" s="705" t="s">
        <v>14</v>
      </c>
      <c r="W45" s="706">
        <f t="shared" si="14"/>
        <v>100</v>
      </c>
      <c r="X45" s="1355"/>
      <c r="Y45" s="383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829"/>
      <c r="Q46" s="1352">
        <f t="shared" si="11"/>
        <v>111</v>
      </c>
      <c r="R46" s="705" t="s">
        <v>14</v>
      </c>
      <c r="S46" s="706">
        <f t="shared" si="12"/>
        <v>100</v>
      </c>
      <c r="T46" s="705" t="s">
        <v>14</v>
      </c>
      <c r="U46" s="706">
        <f t="shared" si="13"/>
        <v>100</v>
      </c>
      <c r="V46" s="705" t="s">
        <v>14</v>
      </c>
      <c r="W46" s="706">
        <f t="shared" si="14"/>
        <v>100</v>
      </c>
      <c r="X46" s="1355"/>
      <c r="Y46" s="3831"/>
      <c r="Z46" s="1356">
        <f t="shared" si="15"/>
        <v>111</v>
      </c>
      <c r="AA46" s="1353">
        <f t="shared" si="3"/>
        <v>1</v>
      </c>
      <c r="AB46" s="1353">
        <f t="shared" si="4"/>
        <v>1</v>
      </c>
      <c r="AC46" s="1353">
        <f t="shared" si="5"/>
        <v>1</v>
      </c>
    </row>
    <row r="47" spans="1:29" ht="14.4">
      <c r="A47" s="430" t="s">
        <v>1707</v>
      </c>
      <c r="B47" s="431"/>
      <c r="C47" s="1154" t="s">
        <v>0</v>
      </c>
      <c r="D47" s="1155"/>
      <c r="E47" s="1156"/>
      <c r="F47" s="1157"/>
      <c r="G47" s="1158"/>
      <c r="H47" s="1159"/>
      <c r="I47" s="1156"/>
      <c r="J47" s="1159"/>
      <c r="K47" s="714"/>
      <c r="L47" s="2723"/>
      <c r="M47" s="2724"/>
      <c r="N47" s="2715"/>
      <c r="O47" s="2724"/>
      <c r="P47" s="3823" t="str">
        <f>A47</f>
        <v>成交单价（元/平方米）</v>
      </c>
      <c r="Q47" s="3823"/>
      <c r="R47" s="3854">
        <f>E47</f>
        <v>0</v>
      </c>
      <c r="S47" s="3854"/>
      <c r="T47" s="3854">
        <f>G47</f>
        <v>0</v>
      </c>
      <c r="U47" s="3854"/>
      <c r="V47" s="3854">
        <f>I47</f>
        <v>0</v>
      </c>
      <c r="W47" s="3854"/>
      <c r="X47" s="690"/>
      <c r="Y47" s="712"/>
      <c r="Z47" s="690"/>
      <c r="AA47" s="690"/>
      <c r="AB47" s="690"/>
      <c r="AC47" s="690"/>
    </row>
    <row r="48" spans="1:29" ht="15" thickBot="1">
      <c r="A48" s="437" t="s">
        <v>1792</v>
      </c>
      <c r="B48" s="438"/>
      <c r="C48" s="1160" t="e">
        <f>R49</f>
        <v>#DIV/0!</v>
      </c>
      <c r="D48" s="2316" t="s">
        <v>2137</v>
      </c>
      <c r="E48" s="1161" t="e">
        <f>R48</f>
        <v>#DIV/0!</v>
      </c>
      <c r="F48" s="2317"/>
      <c r="G48" s="1160" t="e">
        <f>T48</f>
        <v>#DIV/0!</v>
      </c>
      <c r="H48" s="2317"/>
      <c r="I48" s="1161" t="e">
        <f>V48</f>
        <v>#DIV/0!</v>
      </c>
      <c r="J48" s="2317"/>
      <c r="K48" s="2319">
        <f>F48+H48+J48</f>
        <v>0</v>
      </c>
      <c r="L48" s="2723"/>
      <c r="M48" s="2724"/>
      <c r="N48" s="2715"/>
      <c r="O48" s="2724"/>
      <c r="P48" s="3823" t="str">
        <f>A48</f>
        <v>比较价值（元/平方米）</v>
      </c>
      <c r="Q48" s="3823"/>
      <c r="R48" s="3824" t="e">
        <f>IF(F1="售价",ROUND(PRODUCT(R47,AA7:AA46),0),ROUND(PRODUCT(R47,AA7:AA46),1))</f>
        <v>#DIV/0!</v>
      </c>
      <c r="S48" s="3824"/>
      <c r="T48" s="3824" t="e">
        <f>IF(F1="售价",ROUND(PRODUCT(T47,AB7:AB46),0),ROUND(PRODUCT(T47,AB7:AB46),1))</f>
        <v>#DIV/0!</v>
      </c>
      <c r="U48" s="3824"/>
      <c r="V48" s="3824" t="e">
        <f>IF(F1="售价",ROUND(PRODUCT(V47,AC7:AC46),0),ROUND(PRODUCT(V47,AC7:AC46),1))</f>
        <v>#DIV/0!</v>
      </c>
      <c r="W48" s="3824"/>
      <c r="X48" s="690"/>
      <c r="Y48" s="690"/>
      <c r="Z48" s="690"/>
      <c r="AA48" s="690"/>
      <c r="AB48" s="690"/>
      <c r="AC48" s="690"/>
    </row>
    <row r="49" spans="1:29" ht="15" thickBot="1">
      <c r="A49" s="441" t="s">
        <v>1793</v>
      </c>
      <c r="B49" s="442"/>
      <c r="C49" s="1163" t="e">
        <f>R49</f>
        <v>#DIV/0!</v>
      </c>
      <c r="D49" s="1163"/>
      <c r="E49" s="1163"/>
      <c r="F49" s="1163"/>
      <c r="G49" s="1163"/>
      <c r="H49" s="1163"/>
      <c r="I49" s="1163"/>
      <c r="J49" s="1163"/>
      <c r="K49" s="715"/>
      <c r="L49" s="2723"/>
      <c r="M49" s="2724"/>
      <c r="N49" s="2715"/>
      <c r="O49" s="2724"/>
      <c r="P49" s="3820" t="str">
        <f>A49</f>
        <v>估价对象XX用房的比较价值（楼面单价，元/平方米）</v>
      </c>
      <c r="Q49" s="3821"/>
      <c r="R49" s="3822" t="e">
        <f>IF(F1="售价",ROUND(IF(D48="简单平均",AVERAGE(R48:V48),R48*F48+T48*H48+V48*J48),0),ROUND(IF(D48="简单平均",AVERAGE(R48:V48),R48*F48+T48*H48+V48*J48),1))</f>
        <v>#DIV/0!</v>
      </c>
      <c r="S49" s="3822"/>
      <c r="T49" s="3822"/>
      <c r="U49" s="3822"/>
      <c r="V49" s="3822"/>
      <c r="W49" s="382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1678</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34"/>
      <c r="C2" s="3634"/>
      <c r="D2" s="3634"/>
      <c r="E2" s="3634"/>
    </row>
    <row r="3" spans="1:5" ht="17.399999999999999">
      <c r="A3" s="3635" t="str">
        <f>IF(项目基本情况!B9="房地产市场价值","估价结果一览表（市场价值不需“结果表-1”）","估价结果一览表")</f>
        <v>估价结果一览表（市场价值不需“结果表-1”）</v>
      </c>
      <c r="B3" s="3635"/>
      <c r="C3" s="3635"/>
      <c r="D3" s="3635"/>
      <c r="E3" s="3635"/>
    </row>
    <row r="4" spans="1:5" ht="18" thickBot="1">
      <c r="A4" s="1493"/>
      <c r="B4" s="3633" t="s">
        <v>917</v>
      </c>
      <c r="C4" s="3633"/>
      <c r="D4" s="3633"/>
      <c r="E4" s="1493"/>
    </row>
    <row r="5" spans="1:5" ht="16.2" thickTop="1">
      <c r="A5" s="1491"/>
      <c r="B5" s="3631" t="s">
        <v>909</v>
      </c>
      <c r="C5" s="1494" t="s">
        <v>910</v>
      </c>
      <c r="D5" s="850" t="e">
        <f ca="1">结果表!H101</f>
        <v>#REF!</v>
      </c>
      <c r="E5" s="1491"/>
    </row>
    <row r="6" spans="1:5" ht="15.6">
      <c r="A6" s="1491"/>
      <c r="B6" s="3631"/>
      <c r="C6" s="1494" t="s">
        <v>911</v>
      </c>
      <c r="D6" s="850" t="e">
        <f ca="1">NUMBERSTRING(INT(D5*10000),2)&amp;"元整"</f>
        <v>#REF!</v>
      </c>
      <c r="E6" s="1491"/>
    </row>
    <row r="7" spans="1:5" ht="15.6">
      <c r="A7" s="1491"/>
      <c r="B7" s="3636"/>
      <c r="C7" s="1495" t="s">
        <v>912</v>
      </c>
      <c r="D7" s="851" t="e">
        <f ca="1">结果表!H102</f>
        <v>#REF!</v>
      </c>
      <c r="E7" s="1491"/>
    </row>
    <row r="8" spans="1:5" ht="15.6">
      <c r="A8" s="1491"/>
      <c r="B8" s="3637" t="str">
        <f>结果表!E103</f>
        <v>2.估价师知悉的法定优先受偿款</v>
      </c>
      <c r="C8" s="1496" t="s">
        <v>913</v>
      </c>
      <c r="D8" s="851">
        <f>结果表!H103</f>
        <v>0</v>
      </c>
      <c r="E8" s="1491"/>
    </row>
    <row r="9" spans="1:5" ht="15.6">
      <c r="A9" s="1491"/>
      <c r="B9" s="3639"/>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630" t="str">
        <f>结果表!E107</f>
        <v>3.房地产抵押价值</v>
      </c>
      <c r="C13" s="1499" t="s">
        <v>910</v>
      </c>
      <c r="D13" s="853" t="e">
        <f ca="1">结果表!H107</f>
        <v>#REF!</v>
      </c>
      <c r="E13" s="1491"/>
    </row>
    <row r="14" spans="1:5" ht="15.6">
      <c r="A14" s="1491"/>
      <c r="B14" s="3631"/>
      <c r="C14" s="1494" t="s">
        <v>911</v>
      </c>
      <c r="D14" s="850" t="e">
        <f ca="1">NUMBERSTRING(INT(D13*10000),2)&amp;"元整"</f>
        <v>#REF!</v>
      </c>
      <c r="E14" s="1491"/>
    </row>
    <row r="15" spans="1:5" ht="15.6">
      <c r="A15" s="1491"/>
      <c r="B15" s="3636"/>
      <c r="C15" s="1495" t="s">
        <v>921</v>
      </c>
      <c r="D15" s="859" t="e">
        <f ca="1">结果表!H108</f>
        <v>#REF!</v>
      </c>
      <c r="E15" s="1491"/>
    </row>
    <row r="16" spans="1:5" ht="15.6">
      <c r="A16" s="1491"/>
      <c r="B16" s="3637" t="str">
        <f>结果表!E109</f>
        <v>——</v>
      </c>
      <c r="C16" s="1499" t="s">
        <v>922</v>
      </c>
      <c r="D16" s="1500" t="str">
        <f>结果表!H109</f>
        <v>——</v>
      </c>
      <c r="E16" s="1491"/>
    </row>
    <row r="17" spans="1:5" ht="15.6">
      <c r="A17" s="1491"/>
      <c r="B17" s="3638"/>
      <c r="C17" s="1494" t="s">
        <v>923</v>
      </c>
      <c r="D17" s="850" t="e">
        <f>NUMBERSTRING(INT(D16*10000),2)&amp;"元整"</f>
        <v>#VALUE!</v>
      </c>
      <c r="E17" s="1491"/>
    </row>
    <row r="18" spans="1:5" ht="15.6">
      <c r="A18" s="1491"/>
      <c r="B18" s="3639"/>
      <c r="C18" s="1495" t="s">
        <v>912</v>
      </c>
      <c r="D18" s="859" t="str">
        <f>结果表!H110</f>
        <v>——</v>
      </c>
      <c r="E18" s="1491"/>
    </row>
    <row r="19" spans="1:5" ht="15.6">
      <c r="A19" s="1491"/>
      <c r="B19" s="3630" t="str">
        <f>结果表!E111</f>
        <v>——</v>
      </c>
      <c r="C19" s="1499" t="s">
        <v>910</v>
      </c>
      <c r="D19" s="851" t="str">
        <f>结果表!H111</f>
        <v>——</v>
      </c>
      <c r="E19" s="1491"/>
    </row>
    <row r="20" spans="1:5" ht="15.6">
      <c r="A20" s="1491"/>
      <c r="B20" s="3631"/>
      <c r="C20" s="1494" t="s">
        <v>923</v>
      </c>
      <c r="D20" s="850" t="e">
        <f>NUMBERSTRING(INT(D19*10000),2)&amp;"元整"</f>
        <v>#VALUE!</v>
      </c>
      <c r="E20" s="1491"/>
    </row>
    <row r="21" spans="1:5" ht="16.2" thickBot="1">
      <c r="A21" s="1491"/>
      <c r="B21" s="3632"/>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93.38</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94" t="s">
        <v>1774</v>
      </c>
      <c r="Q4" s="3895"/>
      <c r="R4" s="3898" t="s">
        <v>1770</v>
      </c>
      <c r="S4" s="3899"/>
      <c r="T4" s="3898" t="s">
        <v>1771</v>
      </c>
      <c r="U4" s="3899"/>
      <c r="V4" s="3900" t="s">
        <v>1772</v>
      </c>
      <c r="W4" s="3900"/>
      <c r="X4" s="1957"/>
      <c r="Y4" s="3898" t="s">
        <v>1774</v>
      </c>
      <c r="Z4" s="3899"/>
      <c r="AA4" s="3902" t="s">
        <v>1770</v>
      </c>
      <c r="AB4" s="3902" t="s">
        <v>1771</v>
      </c>
      <c r="AC4" s="3891" t="s">
        <v>1772</v>
      </c>
    </row>
    <row r="5" spans="1:29">
      <c r="A5" s="358"/>
      <c r="B5" s="359"/>
      <c r="C5" s="3857" t="s">
        <v>1672</v>
      </c>
      <c r="D5" s="3858"/>
      <c r="E5" s="3865" t="s">
        <v>1673</v>
      </c>
      <c r="F5" s="3866"/>
      <c r="G5" s="3857" t="s">
        <v>1674</v>
      </c>
      <c r="H5" s="3858"/>
      <c r="I5" s="3857" t="s">
        <v>1675</v>
      </c>
      <c r="J5" s="3858"/>
      <c r="K5" s="559"/>
      <c r="L5" s="2714"/>
      <c r="M5" s="2715"/>
      <c r="N5" s="2715"/>
      <c r="O5" s="2715"/>
      <c r="P5" s="3896"/>
      <c r="Q5" s="3845"/>
      <c r="R5" s="3850"/>
      <c r="S5" s="3851"/>
      <c r="T5" s="3850"/>
      <c r="U5" s="3851"/>
      <c r="V5" s="3854"/>
      <c r="W5" s="3854"/>
      <c r="X5" s="1355"/>
      <c r="Y5" s="3850"/>
      <c r="Z5" s="3851"/>
      <c r="AA5" s="3836"/>
      <c r="AB5" s="3836"/>
      <c r="AC5" s="3892"/>
    </row>
    <row r="6" spans="1:29" ht="15" thickBot="1">
      <c r="A6" s="360"/>
      <c r="B6" s="361"/>
      <c r="C6" s="3855" t="s">
        <v>1676</v>
      </c>
      <c r="D6" s="3856"/>
      <c r="E6" s="3863" t="s">
        <v>1676</v>
      </c>
      <c r="F6" s="3864"/>
      <c r="G6" s="3855" t="s">
        <v>1676</v>
      </c>
      <c r="H6" s="3856"/>
      <c r="I6" s="3855" t="s">
        <v>1676</v>
      </c>
      <c r="J6" s="3856"/>
      <c r="K6" s="559" t="s">
        <v>1677</v>
      </c>
      <c r="L6" s="2714"/>
      <c r="M6" s="2715"/>
      <c r="N6" s="2715"/>
      <c r="O6" s="2715"/>
      <c r="P6" s="3897"/>
      <c r="Q6" s="3847"/>
      <c r="R6" s="3850"/>
      <c r="S6" s="3851"/>
      <c r="T6" s="3852"/>
      <c r="U6" s="3853"/>
      <c r="V6" s="3854"/>
      <c r="W6" s="3854"/>
      <c r="X6" s="1355"/>
      <c r="Y6" s="3852"/>
      <c r="Z6" s="3853"/>
      <c r="AA6" s="3837"/>
      <c r="AB6" s="3837"/>
      <c r="AC6" s="3893"/>
    </row>
    <row r="7" spans="1:29" s="108" customFormat="1" ht="15" thickBot="1">
      <c r="A7" s="362" t="s">
        <v>1678</v>
      </c>
      <c r="B7" s="363"/>
      <c r="C7" s="364">
        <f>'数据-取费表'!B2</f>
        <v>45533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901" t="s">
        <v>1679</v>
      </c>
      <c r="Q7" s="3861"/>
      <c r="R7" s="701" t="s">
        <v>14</v>
      </c>
      <c r="S7" s="702">
        <f t="shared" ref="S7:S15" si="0">F7</f>
        <v>0</v>
      </c>
      <c r="T7" s="701" t="s">
        <v>14</v>
      </c>
      <c r="U7" s="702">
        <f t="shared" ref="U7:U15" si="1">H7</f>
        <v>0</v>
      </c>
      <c r="V7" s="701" t="s">
        <v>14</v>
      </c>
      <c r="W7" s="702">
        <f t="shared" ref="W7:W15" si="2">J7</f>
        <v>0</v>
      </c>
      <c r="X7" s="703"/>
      <c r="Y7" s="3859" t="s">
        <v>1679</v>
      </c>
      <c r="Z7" s="3860"/>
      <c r="AA7" s="704" t="e">
        <f>D7/F7</f>
        <v>#DIV/0!</v>
      </c>
      <c r="AB7" s="704" t="e">
        <f>D7/H7</f>
        <v>#DIV/0!</v>
      </c>
      <c r="AC7" s="1958"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901" t="s">
        <v>1682</v>
      </c>
      <c r="Q8" s="3860"/>
      <c r="R8" s="701" t="s">
        <v>14</v>
      </c>
      <c r="S8" s="702">
        <f t="shared" si="0"/>
        <v>100</v>
      </c>
      <c r="T8" s="701" t="s">
        <v>14</v>
      </c>
      <c r="U8" s="702">
        <f t="shared" si="1"/>
        <v>100</v>
      </c>
      <c r="V8" s="701" t="s">
        <v>14</v>
      </c>
      <c r="W8" s="702">
        <f t="shared" si="2"/>
        <v>100</v>
      </c>
      <c r="X8" s="703"/>
      <c r="Y8" s="3859" t="s">
        <v>1682</v>
      </c>
      <c r="Z8" s="3860"/>
      <c r="AA8" s="704">
        <f t="shared" ref="AA8:AA47" si="3">D8/F8</f>
        <v>1</v>
      </c>
      <c r="AB8" s="704">
        <f t="shared" ref="AB8:AB47" si="4">D8/H8</f>
        <v>1</v>
      </c>
      <c r="AC8" s="1958">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834"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1958">
        <f t="shared" si="5"/>
        <v>1</v>
      </c>
    </row>
    <row r="10" spans="1:29" s="378" customFormat="1" ht="28.8">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834"/>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834"/>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834"/>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834"/>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834"/>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1958">
        <f t="shared" si="5"/>
        <v>1</v>
      </c>
    </row>
    <row r="15" spans="1:29" ht="69">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32" t="s">
        <v>1690</v>
      </c>
      <c r="Q15" s="1352" t="str">
        <f t="shared" si="6"/>
        <v>办公集聚程度</v>
      </c>
      <c r="R15" s="705" t="s">
        <v>14</v>
      </c>
      <c r="S15" s="706">
        <f t="shared" si="0"/>
        <v>100</v>
      </c>
      <c r="T15" s="705" t="s">
        <v>14</v>
      </c>
      <c r="U15" s="706">
        <f t="shared" si="1"/>
        <v>100</v>
      </c>
      <c r="V15" s="705" t="s">
        <v>14</v>
      </c>
      <c r="W15" s="706">
        <f t="shared" si="2"/>
        <v>100</v>
      </c>
      <c r="X15" s="1355"/>
      <c r="Y15" s="3825" t="s">
        <v>1690</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1"/>
      <c r="M16" s="2715"/>
      <c r="N16" s="2715"/>
      <c r="O16" s="2715"/>
      <c r="P16" s="3833"/>
      <c r="Q16" s="1352"/>
      <c r="R16" s="705"/>
      <c r="S16" s="706"/>
      <c r="T16" s="705"/>
      <c r="U16" s="706"/>
      <c r="V16" s="705"/>
      <c r="W16" s="706"/>
      <c r="X16" s="1355"/>
      <c r="Y16" s="3826"/>
      <c r="Z16" s="1356"/>
      <c r="AA16" s="1353">
        <v>1</v>
      </c>
      <c r="AB16" s="1353">
        <v>1</v>
      </c>
      <c r="AC16" s="1961">
        <v>1</v>
      </c>
    </row>
    <row r="17" spans="1:29" ht="82.8">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33"/>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1"/>
      <c r="M18" s="2715"/>
      <c r="N18" s="2715"/>
      <c r="O18" s="2715"/>
      <c r="P18" s="3833"/>
      <c r="Q18" s="1352"/>
      <c r="R18" s="705"/>
      <c r="S18" s="706"/>
      <c r="T18" s="705"/>
      <c r="U18" s="706"/>
      <c r="V18" s="705"/>
      <c r="W18" s="706"/>
      <c r="X18" s="1355"/>
      <c r="Y18" s="3826"/>
      <c r="Z18" s="1356"/>
      <c r="AA18" s="1353">
        <v>1</v>
      </c>
      <c r="AB18" s="1353">
        <v>1</v>
      </c>
      <c r="AC18" s="1961">
        <v>1</v>
      </c>
    </row>
    <row r="19" spans="1:29" ht="41.4">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33"/>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1"/>
      <c r="M20" s="2715"/>
      <c r="N20" s="2715"/>
      <c r="O20" s="2715"/>
      <c r="P20" s="3833"/>
      <c r="Q20" s="1352"/>
      <c r="R20" s="705"/>
      <c r="S20" s="706"/>
      <c r="T20" s="705"/>
      <c r="U20" s="706"/>
      <c r="V20" s="705"/>
      <c r="W20" s="706"/>
      <c r="X20" s="1355"/>
      <c r="Y20" s="3826"/>
      <c r="Z20" s="1356"/>
      <c r="AA20" s="1353">
        <v>1</v>
      </c>
      <c r="AB20" s="1353">
        <v>1</v>
      </c>
      <c r="AC20" s="1961">
        <v>1</v>
      </c>
    </row>
    <row r="21" spans="1:29" ht="27.6">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33"/>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1"/>
      <c r="M22" s="2715"/>
      <c r="N22" s="2715"/>
      <c r="O22" s="2715"/>
      <c r="P22" s="3833"/>
      <c r="Q22" s="1352"/>
      <c r="R22" s="705"/>
      <c r="S22" s="706"/>
      <c r="T22" s="705"/>
      <c r="U22" s="706"/>
      <c r="V22" s="705"/>
      <c r="W22" s="706"/>
      <c r="X22" s="1355"/>
      <c r="Y22" s="3826"/>
      <c r="Z22" s="1356"/>
      <c r="AA22" s="1353">
        <v>1</v>
      </c>
      <c r="AB22" s="1353">
        <v>1</v>
      </c>
      <c r="AC22" s="1961">
        <v>1</v>
      </c>
    </row>
    <row r="23" spans="1:29" ht="55.2">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33"/>
      <c r="Q23" s="1352" t="str">
        <f>B23</f>
        <v>环境质量</v>
      </c>
      <c r="R23" s="705" t="s">
        <v>14</v>
      </c>
      <c r="S23" s="706">
        <f>F23</f>
        <v>100</v>
      </c>
      <c r="T23" s="705" t="s">
        <v>14</v>
      </c>
      <c r="U23" s="706">
        <f>H23</f>
        <v>100</v>
      </c>
      <c r="V23" s="705" t="s">
        <v>14</v>
      </c>
      <c r="W23" s="706">
        <f>J23</f>
        <v>100</v>
      </c>
      <c r="X23" s="1355"/>
      <c r="Y23" s="3826"/>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1"/>
      <c r="M24" s="2715"/>
      <c r="N24" s="2715"/>
      <c r="O24" s="2715"/>
      <c r="P24" s="3833"/>
      <c r="Q24" s="1352"/>
      <c r="R24" s="705"/>
      <c r="S24" s="706"/>
      <c r="T24" s="705"/>
      <c r="U24" s="706"/>
      <c r="V24" s="705"/>
      <c r="W24" s="706"/>
      <c r="X24" s="1355"/>
      <c r="Y24" s="3826"/>
      <c r="Z24" s="1356"/>
      <c r="AA24" s="1353">
        <v>1</v>
      </c>
      <c r="AB24" s="1353">
        <v>1</v>
      </c>
      <c r="AC24" s="1961">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33"/>
      <c r="Q25" s="1352" t="str">
        <f>B25</f>
        <v>毗邻道路的类型与等级</v>
      </c>
      <c r="R25" s="705" t="s">
        <v>14</v>
      </c>
      <c r="S25" s="706">
        <f>F25</f>
        <v>100</v>
      </c>
      <c r="T25" s="705" t="s">
        <v>14</v>
      </c>
      <c r="U25" s="706">
        <f>H25</f>
        <v>100</v>
      </c>
      <c r="V25" s="705" t="s">
        <v>14</v>
      </c>
      <c r="W25" s="706">
        <f>J25</f>
        <v>100</v>
      </c>
      <c r="X25" s="1355"/>
      <c r="Y25" s="3826"/>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833"/>
      <c r="Q26" s="1352"/>
      <c r="R26" s="705"/>
      <c r="S26" s="706"/>
      <c r="T26" s="705"/>
      <c r="U26" s="706"/>
      <c r="V26" s="705"/>
      <c r="W26" s="706"/>
      <c r="X26" s="1355"/>
      <c r="Y26" s="3826"/>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33"/>
      <c r="Q27" s="1352" t="str">
        <f t="shared" ref="Q27:Q47" si="11">B27</f>
        <v>楼层</v>
      </c>
      <c r="R27" s="705" t="s">
        <v>14</v>
      </c>
      <c r="S27" s="706">
        <f>F27</f>
        <v>100</v>
      </c>
      <c r="T27" s="705" t="s">
        <v>14</v>
      </c>
      <c r="U27" s="706">
        <f>H27</f>
        <v>100</v>
      </c>
      <c r="V27" s="705" t="s">
        <v>14</v>
      </c>
      <c r="W27" s="706">
        <f>J27</f>
        <v>100</v>
      </c>
      <c r="X27" s="1355"/>
      <c r="Y27" s="3826"/>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833"/>
      <c r="Q28" s="1343" t="str">
        <f t="shared" si="11"/>
        <v>朝向</v>
      </c>
      <c r="R28" s="701" t="s">
        <v>14</v>
      </c>
      <c r="S28" s="702">
        <f>F28</f>
        <v>100</v>
      </c>
      <c r="T28" s="701" t="s">
        <v>14</v>
      </c>
      <c r="U28" s="702">
        <f>H28</f>
        <v>100</v>
      </c>
      <c r="V28" s="701" t="s">
        <v>14</v>
      </c>
      <c r="W28" s="702">
        <f>J28</f>
        <v>100</v>
      </c>
      <c r="X28" s="703"/>
      <c r="Y28" s="3826"/>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833"/>
      <c r="Q29" s="1352">
        <f t="shared" si="11"/>
        <v>111</v>
      </c>
      <c r="R29" s="705" t="s">
        <v>14</v>
      </c>
      <c r="S29" s="706">
        <f t="shared" ref="S29:S47" si="12">F29</f>
        <v>100</v>
      </c>
      <c r="T29" s="705" t="s">
        <v>14</v>
      </c>
      <c r="U29" s="706">
        <f t="shared" ref="U29:U47" si="13">H29</f>
        <v>100</v>
      </c>
      <c r="V29" s="705" t="s">
        <v>14</v>
      </c>
      <c r="W29" s="706">
        <f t="shared" ref="W29:W47" si="14">J29</f>
        <v>100</v>
      </c>
      <c r="X29" s="1355"/>
      <c r="Y29" s="3826"/>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833"/>
      <c r="Q30" s="1352">
        <f t="shared" si="11"/>
        <v>111</v>
      </c>
      <c r="R30" s="705" t="s">
        <v>14</v>
      </c>
      <c r="S30" s="706">
        <f t="shared" si="12"/>
        <v>100</v>
      </c>
      <c r="T30" s="705" t="s">
        <v>14</v>
      </c>
      <c r="U30" s="706">
        <f t="shared" si="13"/>
        <v>100</v>
      </c>
      <c r="V30" s="705" t="s">
        <v>14</v>
      </c>
      <c r="W30" s="706">
        <f t="shared" si="14"/>
        <v>100</v>
      </c>
      <c r="X30" s="1355"/>
      <c r="Y30" s="3826"/>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833"/>
      <c r="Q31" s="1352">
        <f t="shared" si="11"/>
        <v>111</v>
      </c>
      <c r="R31" s="705" t="s">
        <v>14</v>
      </c>
      <c r="S31" s="706">
        <f t="shared" si="12"/>
        <v>100</v>
      </c>
      <c r="T31" s="705" t="s">
        <v>14</v>
      </c>
      <c r="U31" s="706">
        <f t="shared" si="13"/>
        <v>100</v>
      </c>
      <c r="V31" s="705" t="s">
        <v>14</v>
      </c>
      <c r="W31" s="706">
        <f t="shared" si="14"/>
        <v>100</v>
      </c>
      <c r="X31" s="1355"/>
      <c r="Y31" s="3826"/>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833"/>
      <c r="Q32" s="1352">
        <f t="shared" si="11"/>
        <v>111</v>
      </c>
      <c r="R32" s="705" t="s">
        <v>14</v>
      </c>
      <c r="S32" s="706">
        <f t="shared" si="12"/>
        <v>100</v>
      </c>
      <c r="T32" s="705" t="s">
        <v>14</v>
      </c>
      <c r="U32" s="706">
        <f t="shared" si="13"/>
        <v>100</v>
      </c>
      <c r="V32" s="705" t="s">
        <v>14</v>
      </c>
      <c r="W32" s="706">
        <f t="shared" si="14"/>
        <v>100</v>
      </c>
      <c r="X32" s="1355"/>
      <c r="Y32" s="3826"/>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827" t="s">
        <v>1695</v>
      </c>
      <c r="Q33" s="1352" t="str">
        <f t="shared" si="11"/>
        <v>建筑类型</v>
      </c>
      <c r="R33" s="705" t="s">
        <v>14</v>
      </c>
      <c r="S33" s="706">
        <f t="shared" si="12"/>
        <v>100</v>
      </c>
      <c r="T33" s="705" t="s">
        <v>14</v>
      </c>
      <c r="U33" s="706">
        <f t="shared" si="13"/>
        <v>100</v>
      </c>
      <c r="V33" s="705" t="s">
        <v>14</v>
      </c>
      <c r="W33" s="706">
        <f t="shared" si="14"/>
        <v>100</v>
      </c>
      <c r="X33" s="1355"/>
      <c r="Y33" s="3830"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828"/>
      <c r="Q34" s="707" t="str">
        <f t="shared" si="11"/>
        <v>项目建筑规模</v>
      </c>
      <c r="R34" s="708" t="s">
        <v>14</v>
      </c>
      <c r="S34" s="709" t="e">
        <f t="shared" si="12"/>
        <v>#N/A</v>
      </c>
      <c r="T34" s="708" t="s">
        <v>14</v>
      </c>
      <c r="U34" s="709" t="e">
        <f t="shared" si="13"/>
        <v>#N/A</v>
      </c>
      <c r="V34" s="708" t="s">
        <v>14</v>
      </c>
      <c r="W34" s="709" t="e">
        <f t="shared" si="14"/>
        <v>#N/A</v>
      </c>
      <c r="X34" s="710"/>
      <c r="Y34" s="3830"/>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828"/>
      <c r="Q35" s="1352" t="str">
        <f t="shared" si="11"/>
        <v>建筑结构</v>
      </c>
      <c r="R35" s="705" t="s">
        <v>14</v>
      </c>
      <c r="S35" s="706">
        <f t="shared" si="12"/>
        <v>100</v>
      </c>
      <c r="T35" s="705" t="s">
        <v>14</v>
      </c>
      <c r="U35" s="706">
        <f t="shared" si="13"/>
        <v>100</v>
      </c>
      <c r="V35" s="705" t="s">
        <v>14</v>
      </c>
      <c r="W35" s="706">
        <f t="shared" si="14"/>
        <v>100</v>
      </c>
      <c r="X35" s="1355"/>
      <c r="Y35" s="3830"/>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828"/>
      <c r="Q36" s="1352" t="str">
        <f t="shared" si="11"/>
        <v>公共部分装修</v>
      </c>
      <c r="R36" s="705" t="s">
        <v>14</v>
      </c>
      <c r="S36" s="706">
        <f t="shared" si="12"/>
        <v>100</v>
      </c>
      <c r="T36" s="705" t="s">
        <v>14</v>
      </c>
      <c r="U36" s="706">
        <f t="shared" si="13"/>
        <v>100</v>
      </c>
      <c r="V36" s="705" t="s">
        <v>14</v>
      </c>
      <c r="W36" s="706">
        <f t="shared" si="14"/>
        <v>100</v>
      </c>
      <c r="X36" s="1355"/>
      <c r="Y36" s="3830"/>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828"/>
      <c r="Q37" s="1352" t="str">
        <f t="shared" si="11"/>
        <v>成新度</v>
      </c>
      <c r="R37" s="705" t="s">
        <v>14</v>
      </c>
      <c r="S37" s="706" t="e">
        <f t="shared" si="12"/>
        <v>#N/A</v>
      </c>
      <c r="T37" s="705" t="s">
        <v>14</v>
      </c>
      <c r="U37" s="706" t="e">
        <f t="shared" si="13"/>
        <v>#N/A</v>
      </c>
      <c r="V37" s="705" t="s">
        <v>14</v>
      </c>
      <c r="W37" s="706" t="e">
        <f t="shared" si="14"/>
        <v>#N/A</v>
      </c>
      <c r="X37" s="1355"/>
      <c r="Y37" s="3830"/>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828"/>
      <c r="Q38" s="1343" t="str">
        <f t="shared" si="11"/>
        <v>写字楼等级</v>
      </c>
      <c r="R38" s="701" t="s">
        <v>14</v>
      </c>
      <c r="S38" s="702">
        <f t="shared" si="12"/>
        <v>100</v>
      </c>
      <c r="T38" s="701" t="s">
        <v>14</v>
      </c>
      <c r="U38" s="702">
        <f t="shared" si="13"/>
        <v>100</v>
      </c>
      <c r="V38" s="701" t="s">
        <v>14</v>
      </c>
      <c r="W38" s="702">
        <f t="shared" si="14"/>
        <v>100</v>
      </c>
      <c r="X38" s="703"/>
      <c r="Y38" s="3830"/>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828" t="s">
        <v>1695</v>
      </c>
      <c r="Q39" s="1352" t="str">
        <f t="shared" si="11"/>
        <v>物业管理</v>
      </c>
      <c r="R39" s="705" t="s">
        <v>14</v>
      </c>
      <c r="S39" s="706">
        <f t="shared" si="12"/>
        <v>100</v>
      </c>
      <c r="T39" s="705" t="s">
        <v>14</v>
      </c>
      <c r="U39" s="706">
        <f t="shared" si="13"/>
        <v>100</v>
      </c>
      <c r="V39" s="705" t="s">
        <v>14</v>
      </c>
      <c r="W39" s="706">
        <f t="shared" si="14"/>
        <v>100</v>
      </c>
      <c r="X39" s="1355"/>
      <c r="Y39" s="3830"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828"/>
      <c r="Q40" s="1352" t="str">
        <f t="shared" si="11"/>
        <v>市政基础设施</v>
      </c>
      <c r="R40" s="705" t="s">
        <v>14</v>
      </c>
      <c r="S40" s="706">
        <f t="shared" si="12"/>
        <v>100</v>
      </c>
      <c r="T40" s="705" t="s">
        <v>14</v>
      </c>
      <c r="U40" s="706">
        <f t="shared" si="13"/>
        <v>100</v>
      </c>
      <c r="V40" s="705" t="s">
        <v>14</v>
      </c>
      <c r="W40" s="706">
        <f t="shared" si="14"/>
        <v>100</v>
      </c>
      <c r="X40" s="1355"/>
      <c r="Y40" s="3830"/>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828"/>
      <c r="Q41" s="1352" t="str">
        <f t="shared" si="11"/>
        <v>层高</v>
      </c>
      <c r="R41" s="705" t="s">
        <v>14</v>
      </c>
      <c r="S41" s="706">
        <f t="shared" si="12"/>
        <v>100</v>
      </c>
      <c r="T41" s="705" t="s">
        <v>14</v>
      </c>
      <c r="U41" s="706">
        <f t="shared" si="13"/>
        <v>100</v>
      </c>
      <c r="V41" s="705" t="s">
        <v>14</v>
      </c>
      <c r="W41" s="706">
        <f t="shared" si="14"/>
        <v>100</v>
      </c>
      <c r="X41" s="1355"/>
      <c r="Y41" s="3830"/>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828"/>
      <c r="Q42" s="707" t="str">
        <f t="shared" si="11"/>
        <v>单套建筑面积</v>
      </c>
      <c r="R42" s="708" t="s">
        <v>14</v>
      </c>
      <c r="S42" s="709">
        <f t="shared" si="12"/>
        <v>100</v>
      </c>
      <c r="T42" s="708" t="s">
        <v>14</v>
      </c>
      <c r="U42" s="709">
        <f t="shared" si="13"/>
        <v>100</v>
      </c>
      <c r="V42" s="708" t="s">
        <v>14</v>
      </c>
      <c r="W42" s="709">
        <f t="shared" si="14"/>
        <v>100</v>
      </c>
      <c r="X42" s="710"/>
      <c r="Y42" s="3830"/>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828"/>
      <c r="Q43" s="1352" t="str">
        <f t="shared" si="11"/>
        <v>内部装修</v>
      </c>
      <c r="R43" s="705" t="s">
        <v>14</v>
      </c>
      <c r="S43" s="706">
        <f t="shared" si="12"/>
        <v>100</v>
      </c>
      <c r="T43" s="705" t="s">
        <v>14</v>
      </c>
      <c r="U43" s="706">
        <f t="shared" si="13"/>
        <v>100</v>
      </c>
      <c r="V43" s="705" t="s">
        <v>14</v>
      </c>
      <c r="W43" s="706">
        <f t="shared" si="14"/>
        <v>100</v>
      </c>
      <c r="X43" s="1355"/>
      <c r="Y43" s="3830"/>
      <c r="Z43" s="1356" t="str">
        <f t="shared" si="15"/>
        <v>内部装修</v>
      </c>
      <c r="AA43" s="1353">
        <f t="shared" si="3"/>
        <v>1</v>
      </c>
      <c r="AB43" s="1353">
        <f t="shared" si="4"/>
        <v>1</v>
      </c>
      <c r="AC43" s="1961">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828"/>
      <c r="Q44" s="1352" t="str">
        <f t="shared" si="11"/>
        <v>内部装修维护情况</v>
      </c>
      <c r="R44" s="705" t="s">
        <v>14</v>
      </c>
      <c r="S44" s="706">
        <f t="shared" si="12"/>
        <v>100</v>
      </c>
      <c r="T44" s="705" t="s">
        <v>14</v>
      </c>
      <c r="U44" s="706">
        <f t="shared" si="13"/>
        <v>100</v>
      </c>
      <c r="V44" s="705" t="s">
        <v>14</v>
      </c>
      <c r="W44" s="706">
        <f t="shared" si="14"/>
        <v>100</v>
      </c>
      <c r="X44" s="1355"/>
      <c r="Y44" s="3830"/>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828"/>
      <c r="Q45" s="1343">
        <f t="shared" si="11"/>
        <v>111</v>
      </c>
      <c r="R45" s="701" t="s">
        <v>14</v>
      </c>
      <c r="S45" s="702">
        <f t="shared" si="12"/>
        <v>100</v>
      </c>
      <c r="T45" s="701" t="s">
        <v>14</v>
      </c>
      <c r="U45" s="702">
        <f t="shared" si="13"/>
        <v>100</v>
      </c>
      <c r="V45" s="701" t="s">
        <v>14</v>
      </c>
      <c r="W45" s="702">
        <f t="shared" si="14"/>
        <v>100</v>
      </c>
      <c r="X45" s="703"/>
      <c r="Y45" s="383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829"/>
      <c r="Q47" s="1352">
        <f t="shared" si="11"/>
        <v>111</v>
      </c>
      <c r="R47" s="705" t="s">
        <v>14</v>
      </c>
      <c r="S47" s="706">
        <f t="shared" si="12"/>
        <v>100</v>
      </c>
      <c r="T47" s="705" t="s">
        <v>14</v>
      </c>
      <c r="U47" s="706">
        <f t="shared" si="13"/>
        <v>100</v>
      </c>
      <c r="V47" s="705" t="s">
        <v>14</v>
      </c>
      <c r="W47" s="706">
        <f t="shared" si="14"/>
        <v>100</v>
      </c>
      <c r="X47" s="1355"/>
      <c r="Y47" s="3831"/>
      <c r="Z47" s="1356">
        <f t="shared" si="15"/>
        <v>111</v>
      </c>
      <c r="AA47" s="1353">
        <f t="shared" si="3"/>
        <v>1</v>
      </c>
      <c r="AB47" s="1353">
        <f t="shared" si="4"/>
        <v>1</v>
      </c>
      <c r="AC47" s="1961">
        <f t="shared" si="5"/>
        <v>1</v>
      </c>
    </row>
    <row r="48" spans="1:29" ht="14.4">
      <c r="A48" s="430" t="s">
        <v>1707</v>
      </c>
      <c r="B48" s="431"/>
      <c r="C48" s="1154" t="s">
        <v>0</v>
      </c>
      <c r="D48" s="1155"/>
      <c r="E48" s="1156"/>
      <c r="F48" s="1157"/>
      <c r="G48" s="1158"/>
      <c r="H48" s="1159"/>
      <c r="I48" s="1156"/>
      <c r="J48" s="436"/>
      <c r="K48" s="714"/>
      <c r="L48" s="2723"/>
      <c r="M48" s="2715"/>
      <c r="N48" s="2715"/>
      <c r="O48" s="2715"/>
      <c r="P48" s="3834" t="str">
        <f>A48</f>
        <v>成交单价（元/平方米）</v>
      </c>
      <c r="Q48" s="3823"/>
      <c r="R48" s="3824">
        <f>E48</f>
        <v>0</v>
      </c>
      <c r="S48" s="3824"/>
      <c r="T48" s="3824">
        <f>G48</f>
        <v>0</v>
      </c>
      <c r="U48" s="3824"/>
      <c r="V48" s="3824">
        <f>I48</f>
        <v>0</v>
      </c>
      <c r="W48" s="3824"/>
      <c r="X48" s="397"/>
      <c r="Y48" s="712"/>
      <c r="Z48" s="397"/>
      <c r="AA48" s="397"/>
      <c r="AB48" s="397"/>
      <c r="AC48" s="578"/>
    </row>
    <row r="49" spans="1:29" ht="15" thickBot="1">
      <c r="A49" s="437" t="s">
        <v>1792</v>
      </c>
      <c r="B49" s="438"/>
      <c r="C49" s="1160" t="e">
        <f>R50</f>
        <v>#DIV/0!</v>
      </c>
      <c r="D49" s="2316" t="s">
        <v>2137</v>
      </c>
      <c r="E49" s="1161" t="e">
        <f>R49</f>
        <v>#DIV/0!</v>
      </c>
      <c r="F49" s="2317"/>
      <c r="G49" s="1160" t="e">
        <f>T49</f>
        <v>#DIV/0!</v>
      </c>
      <c r="H49" s="2317"/>
      <c r="I49" s="1161" t="e">
        <f>V49</f>
        <v>#DIV/0!</v>
      </c>
      <c r="J49" s="2317"/>
      <c r="K49" s="2319">
        <f>F49+H49+J49</f>
        <v>0</v>
      </c>
      <c r="L49" s="2723"/>
      <c r="M49" s="2715"/>
      <c r="N49" s="2715"/>
      <c r="O49" s="2715"/>
      <c r="P49" s="3834" t="str">
        <f>A49</f>
        <v>比较价值（元/平方米）</v>
      </c>
      <c r="Q49" s="3823"/>
      <c r="R49" s="3824" t="e">
        <f>IF(F1="售价",ROUND(PRODUCT(R48,AA7:AA47),0),ROUND(PRODUCT(R48,AA7:AA47),1))</f>
        <v>#DIV/0!</v>
      </c>
      <c r="S49" s="3824"/>
      <c r="T49" s="3824" t="e">
        <f>IF(F1="售价",ROUND(PRODUCT(T48,AB7:AB47),0),ROUND(PRODUCT(T48,AB7:AB47),1))</f>
        <v>#DIV/0!</v>
      </c>
      <c r="U49" s="3824"/>
      <c r="V49" s="3824" t="e">
        <f>IF(F1="售价",ROUND(PRODUCT(V48,AC7:AC47),0),ROUND(PRODUCT(V48,AC7:AC47),1))</f>
        <v>#DIV/0!</v>
      </c>
      <c r="W49" s="3824"/>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3"/>
      <c r="M50" s="2715"/>
      <c r="N50" s="2715"/>
      <c r="O50" s="2715"/>
      <c r="P50" s="3888" t="str">
        <f>A50</f>
        <v>估价对象XX用房的比较价值（楼面单价，元/平方米）</v>
      </c>
      <c r="Q50" s="3889"/>
      <c r="R50" s="3890" t="e">
        <f>IF(F1="售价",ROUND(IF(D49="简单平均",AVERAGE(R49:V49),R49*F49+T49*H49+V49*J49),0),ROUND(IF(D49="简单平均",AVERAGE(R49:V49),R49*F49+T49*H49+V49*J49),1))</f>
        <v>#DIV/0!</v>
      </c>
      <c r="S50" s="3890"/>
      <c r="T50" s="3890"/>
      <c r="U50" s="3890"/>
      <c r="V50" s="3890"/>
      <c r="W50" s="389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1678</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6"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93.38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913"/>
      <c r="M4" s="914"/>
      <c r="N4" s="914"/>
      <c r="O4" s="914"/>
      <c r="P4" s="3842" t="s">
        <v>1774</v>
      </c>
      <c r="Q4" s="3843"/>
      <c r="R4" s="3848" t="s">
        <v>1770</v>
      </c>
      <c r="S4" s="3849"/>
      <c r="T4" s="3848" t="s">
        <v>1771</v>
      </c>
      <c r="U4" s="3849"/>
      <c r="V4" s="3854" t="s">
        <v>1772</v>
      </c>
      <c r="W4" s="3854"/>
      <c r="X4" s="1355"/>
      <c r="Y4" s="3848" t="s">
        <v>1774</v>
      </c>
      <c r="Z4" s="3849"/>
      <c r="AA4" s="3835" t="s">
        <v>1770</v>
      </c>
      <c r="AB4" s="3836" t="s">
        <v>1771</v>
      </c>
      <c r="AC4" s="3835" t="s">
        <v>1772</v>
      </c>
    </row>
    <row r="5" spans="1:29">
      <c r="A5" s="358"/>
      <c r="B5" s="359"/>
      <c r="C5" s="3857" t="s">
        <v>1672</v>
      </c>
      <c r="D5" s="3858"/>
      <c r="E5" s="3865" t="s">
        <v>1673</v>
      </c>
      <c r="F5" s="3866"/>
      <c r="G5" s="3857" t="s">
        <v>1674</v>
      </c>
      <c r="H5" s="3858"/>
      <c r="I5" s="3857" t="s">
        <v>1675</v>
      </c>
      <c r="J5" s="3858"/>
      <c r="K5" s="559"/>
      <c r="L5" s="913"/>
      <c r="M5" s="914"/>
      <c r="N5" s="914"/>
      <c r="O5" s="914"/>
      <c r="P5" s="3844"/>
      <c r="Q5" s="3845"/>
      <c r="R5" s="3850"/>
      <c r="S5" s="3851"/>
      <c r="T5" s="3850"/>
      <c r="U5" s="3851"/>
      <c r="V5" s="3854"/>
      <c r="W5" s="3854"/>
      <c r="X5" s="1355"/>
      <c r="Y5" s="3850"/>
      <c r="Z5" s="3851"/>
      <c r="AA5" s="3836"/>
      <c r="AB5" s="3836"/>
      <c r="AC5" s="3836"/>
    </row>
    <row r="6" spans="1:29" ht="15" thickBot="1">
      <c r="A6" s="360"/>
      <c r="B6" s="361"/>
      <c r="C6" s="3855" t="s">
        <v>1676</v>
      </c>
      <c r="D6" s="3856"/>
      <c r="E6" s="3863" t="s">
        <v>1676</v>
      </c>
      <c r="F6" s="3864"/>
      <c r="G6" s="3855" t="s">
        <v>1676</v>
      </c>
      <c r="H6" s="3856"/>
      <c r="I6" s="3855" t="s">
        <v>1676</v>
      </c>
      <c r="J6" s="3856"/>
      <c r="K6" s="559" t="s">
        <v>1677</v>
      </c>
      <c r="L6" s="913"/>
      <c r="M6" s="914"/>
      <c r="N6" s="914"/>
      <c r="O6" s="914"/>
      <c r="P6" s="3846"/>
      <c r="Q6" s="3847"/>
      <c r="R6" s="3850"/>
      <c r="S6" s="3851"/>
      <c r="T6" s="3852"/>
      <c r="U6" s="3853"/>
      <c r="V6" s="3854"/>
      <c r="W6" s="3854"/>
      <c r="X6" s="1355"/>
      <c r="Y6" s="3852"/>
      <c r="Z6" s="3853"/>
      <c r="AA6" s="3837"/>
      <c r="AB6" s="3837"/>
      <c r="AC6" s="3837"/>
    </row>
    <row r="7" spans="1:29" s="108" customFormat="1" ht="15" thickBot="1">
      <c r="A7" s="362" t="s">
        <v>1678</v>
      </c>
      <c r="B7" s="363"/>
      <c r="C7" s="364">
        <f>'数据-取费表'!B2</f>
        <v>45533</v>
      </c>
      <c r="D7" s="365">
        <v>100</v>
      </c>
      <c r="E7" s="366"/>
      <c r="F7" s="367">
        <f>SUMIF(52:52,YEAR(E7)&amp;"-"&amp;MONTH(E7),53:53)</f>
        <v>0</v>
      </c>
      <c r="G7" s="366"/>
      <c r="H7" s="365">
        <f>SUMIF(52:52,YEAR(G7)&amp;"-"&amp;MONTH(G7),53:53)</f>
        <v>0</v>
      </c>
      <c r="I7" s="366"/>
      <c r="J7" s="365">
        <f>SUMIF(52:52,YEAR(I7)&amp;"-"&amp;MONTH(I7),53:53)</f>
        <v>0</v>
      </c>
      <c r="K7" s="560"/>
      <c r="L7" s="915"/>
      <c r="M7" s="916"/>
      <c r="N7" s="916"/>
      <c r="O7" s="916"/>
      <c r="P7" s="3859" t="s">
        <v>1679</v>
      </c>
      <c r="Q7" s="3861"/>
      <c r="R7" s="701" t="s">
        <v>14</v>
      </c>
      <c r="S7" s="702">
        <f t="shared" ref="S7:S15" si="0">F7</f>
        <v>0</v>
      </c>
      <c r="T7" s="701" t="s">
        <v>14</v>
      </c>
      <c r="U7" s="702">
        <f t="shared" ref="U7:U15" si="1">H7</f>
        <v>0</v>
      </c>
      <c r="V7" s="701" t="s">
        <v>14</v>
      </c>
      <c r="W7" s="702">
        <f t="shared" ref="W7:W15" si="2">J7</f>
        <v>0</v>
      </c>
      <c r="X7" s="703"/>
      <c r="Y7" s="3859" t="s">
        <v>1679</v>
      </c>
      <c r="Z7" s="3860"/>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59" t="s">
        <v>1682</v>
      </c>
      <c r="Q8" s="3860"/>
      <c r="R8" s="701" t="s">
        <v>14</v>
      </c>
      <c r="S8" s="702">
        <f t="shared" si="0"/>
        <v>100</v>
      </c>
      <c r="T8" s="701" t="s">
        <v>14</v>
      </c>
      <c r="U8" s="702">
        <f t="shared" si="1"/>
        <v>100</v>
      </c>
      <c r="V8" s="701" t="s">
        <v>14</v>
      </c>
      <c r="W8" s="702">
        <f t="shared" si="2"/>
        <v>100</v>
      </c>
      <c r="X8" s="703"/>
      <c r="Y8" s="3859" t="s">
        <v>1682</v>
      </c>
      <c r="Z8" s="3860"/>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3"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704">
        <f t="shared" si="5"/>
        <v>1</v>
      </c>
    </row>
    <row r="10" spans="1:29" s="378" customFormat="1" ht="28.8">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823"/>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3"/>
      <c r="Q11" s="1343" t="str">
        <f t="shared" si="6"/>
        <v>容积率</v>
      </c>
      <c r="R11" s="701" t="s">
        <v>14</v>
      </c>
      <c r="S11" s="702">
        <f t="shared" si="0"/>
        <v>100</v>
      </c>
      <c r="T11" s="701" t="s">
        <v>14</v>
      </c>
      <c r="U11" s="702">
        <f t="shared" si="1"/>
        <v>100</v>
      </c>
      <c r="V11" s="701" t="s">
        <v>14</v>
      </c>
      <c r="W11" s="702">
        <f t="shared" si="2"/>
        <v>100</v>
      </c>
      <c r="X11" s="703"/>
      <c r="Y11" s="37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3"/>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3"/>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3"/>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69">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5" t="s">
        <v>1690</v>
      </c>
      <c r="Q15" s="1352" t="str">
        <f t="shared" si="6"/>
        <v>产业集聚程度</v>
      </c>
      <c r="R15" s="705" t="s">
        <v>14</v>
      </c>
      <c r="S15" s="706">
        <f t="shared" si="0"/>
        <v>100</v>
      </c>
      <c r="T15" s="705" t="s">
        <v>14</v>
      </c>
      <c r="U15" s="706">
        <f t="shared" si="1"/>
        <v>100</v>
      </c>
      <c r="V15" s="705" t="s">
        <v>14</v>
      </c>
      <c r="W15" s="706">
        <f t="shared" si="2"/>
        <v>100</v>
      </c>
      <c r="X15" s="1355"/>
      <c r="Y15" s="382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6"/>
      <c r="Q16" s="1352"/>
      <c r="R16" s="705"/>
      <c r="S16" s="706"/>
      <c r="T16" s="705"/>
      <c r="U16" s="706"/>
      <c r="V16" s="705"/>
      <c r="W16" s="706"/>
      <c r="X16" s="1355"/>
      <c r="Y16" s="3826"/>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6"/>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6"/>
      <c r="Q18" s="1352"/>
      <c r="R18" s="705"/>
      <c r="S18" s="706"/>
      <c r="T18" s="705"/>
      <c r="U18" s="706"/>
      <c r="V18" s="705"/>
      <c r="W18" s="706"/>
      <c r="X18" s="1355"/>
      <c r="Y18" s="382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6"/>
      <c r="Q19" s="1352" t="str">
        <f>B19</f>
        <v>公共配套设施</v>
      </c>
      <c r="R19" s="705" t="s">
        <v>14</v>
      </c>
      <c r="S19" s="706">
        <f>F19</f>
        <v>100</v>
      </c>
      <c r="T19" s="705" t="s">
        <v>14</v>
      </c>
      <c r="U19" s="706">
        <f>H19</f>
        <v>100</v>
      </c>
      <c r="V19" s="705" t="s">
        <v>14</v>
      </c>
      <c r="W19" s="706">
        <f>J19</f>
        <v>100</v>
      </c>
      <c r="X19" s="1355"/>
      <c r="Y19" s="38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6"/>
      <c r="Q20" s="1352"/>
      <c r="R20" s="705"/>
      <c r="S20" s="706"/>
      <c r="T20" s="705"/>
      <c r="U20" s="706"/>
      <c r="V20" s="705"/>
      <c r="W20" s="706"/>
      <c r="X20" s="1355"/>
      <c r="Y20" s="382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6"/>
      <c r="Q21" s="1352" t="str">
        <f>B21</f>
        <v>基础设施水平</v>
      </c>
      <c r="R21" s="705" t="s">
        <v>14</v>
      </c>
      <c r="S21" s="706">
        <f>F21</f>
        <v>100</v>
      </c>
      <c r="T21" s="705" t="s">
        <v>14</v>
      </c>
      <c r="U21" s="706">
        <f>H21</f>
        <v>100</v>
      </c>
      <c r="V21" s="705" t="s">
        <v>14</v>
      </c>
      <c r="W21" s="706">
        <f>J21</f>
        <v>100</v>
      </c>
      <c r="X21" s="1355"/>
      <c r="Y21" s="38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6"/>
      <c r="Q22" s="1352"/>
      <c r="R22" s="705"/>
      <c r="S22" s="706"/>
      <c r="T22" s="705"/>
      <c r="U22" s="706"/>
      <c r="V22" s="705"/>
      <c r="W22" s="706"/>
      <c r="X22" s="1355"/>
      <c r="Y22" s="382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6"/>
      <c r="Q23" s="1352" t="str">
        <f>B23</f>
        <v>环境质量</v>
      </c>
      <c r="R23" s="705" t="s">
        <v>14</v>
      </c>
      <c r="S23" s="706">
        <f>F23</f>
        <v>100</v>
      </c>
      <c r="T23" s="705" t="s">
        <v>14</v>
      </c>
      <c r="U23" s="706">
        <f>H23</f>
        <v>100</v>
      </c>
      <c r="V23" s="705" t="s">
        <v>14</v>
      </c>
      <c r="W23" s="706">
        <f>J23</f>
        <v>100</v>
      </c>
      <c r="X23" s="1355"/>
      <c r="Y23" s="38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6"/>
      <c r="Q24" s="1352"/>
      <c r="R24" s="705"/>
      <c r="S24" s="706"/>
      <c r="T24" s="705"/>
      <c r="U24" s="706"/>
      <c r="V24" s="705"/>
      <c r="W24" s="706"/>
      <c r="X24" s="1355"/>
      <c r="Y24" s="38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6"/>
      <c r="Q25" s="1352">
        <f>B25</f>
        <v>111</v>
      </c>
      <c r="R25" s="705" t="s">
        <v>14</v>
      </c>
      <c r="S25" s="706">
        <f>F25</f>
        <v>100</v>
      </c>
      <c r="T25" s="705" t="s">
        <v>14</v>
      </c>
      <c r="U25" s="706">
        <f>H25</f>
        <v>100</v>
      </c>
      <c r="V25" s="705" t="s">
        <v>14</v>
      </c>
      <c r="W25" s="706">
        <f>J25</f>
        <v>100</v>
      </c>
      <c r="X25" s="1355"/>
      <c r="Y25" s="38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6"/>
      <c r="Q26" s="1352">
        <f t="shared" ref="Q26:Q40" si="11">B26</f>
        <v>111</v>
      </c>
      <c r="R26" s="705" t="s">
        <v>14</v>
      </c>
      <c r="S26" s="706">
        <f>F26</f>
        <v>100</v>
      </c>
      <c r="T26" s="705" t="s">
        <v>14</v>
      </c>
      <c r="U26" s="706">
        <f>H26</f>
        <v>100</v>
      </c>
      <c r="V26" s="705" t="s">
        <v>14</v>
      </c>
      <c r="W26" s="706">
        <f>J26</f>
        <v>100</v>
      </c>
      <c r="X26" s="1355"/>
      <c r="Y26" s="38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6"/>
      <c r="Q27" s="1343">
        <f t="shared" si="11"/>
        <v>111</v>
      </c>
      <c r="R27" s="701" t="s">
        <v>14</v>
      </c>
      <c r="S27" s="702">
        <f>F27</f>
        <v>100</v>
      </c>
      <c r="T27" s="701" t="s">
        <v>14</v>
      </c>
      <c r="U27" s="702">
        <f>H27</f>
        <v>100</v>
      </c>
      <c r="V27" s="701" t="s">
        <v>14</v>
      </c>
      <c r="W27" s="702">
        <f>J27</f>
        <v>100</v>
      </c>
      <c r="X27" s="703"/>
      <c r="Y27" s="382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6"/>
      <c r="Q28" s="1352">
        <f t="shared" si="11"/>
        <v>111</v>
      </c>
      <c r="R28" s="705" t="s">
        <v>14</v>
      </c>
      <c r="S28" s="706">
        <f t="shared" ref="S28:S40" si="12">F28</f>
        <v>100</v>
      </c>
      <c r="T28" s="705" t="s">
        <v>14</v>
      </c>
      <c r="U28" s="706">
        <f t="shared" ref="U28:U40" si="13">H28</f>
        <v>100</v>
      </c>
      <c r="V28" s="705" t="s">
        <v>14</v>
      </c>
      <c r="W28" s="706">
        <f t="shared" ref="W28:W40" si="14">J28</f>
        <v>100</v>
      </c>
      <c r="X28" s="1355"/>
      <c r="Y28" s="3826"/>
      <c r="Z28" s="1356">
        <f t="shared" ref="Z28:Z40" si="15">Q28</f>
        <v>111</v>
      </c>
      <c r="AA28" s="1353">
        <f t="shared" si="3"/>
        <v>1</v>
      </c>
      <c r="AB28" s="1353">
        <f t="shared" si="4"/>
        <v>1</v>
      </c>
      <c r="AC28" s="1353">
        <f t="shared" si="5"/>
        <v>1</v>
      </c>
    </row>
    <row r="29" spans="1:29" ht="30">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903" t="s">
        <v>1695</v>
      </c>
      <c r="Q29" s="1352" t="str">
        <f t="shared" si="11"/>
        <v>建筑类型</v>
      </c>
      <c r="R29" s="705" t="s">
        <v>14</v>
      </c>
      <c r="S29" s="706">
        <f t="shared" si="12"/>
        <v>100</v>
      </c>
      <c r="T29" s="705" t="s">
        <v>14</v>
      </c>
      <c r="U29" s="706">
        <f t="shared" si="13"/>
        <v>100</v>
      </c>
      <c r="V29" s="705" t="s">
        <v>14</v>
      </c>
      <c r="W29" s="706">
        <f t="shared" si="14"/>
        <v>100</v>
      </c>
      <c r="X29" s="1355"/>
      <c r="Y29" s="383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0"/>
      <c r="Q30" s="707" t="str">
        <f t="shared" si="11"/>
        <v>项目建筑规模</v>
      </c>
      <c r="R30" s="708" t="s">
        <v>14</v>
      </c>
      <c r="S30" s="709" t="e">
        <f t="shared" si="12"/>
        <v>#N/A</v>
      </c>
      <c r="T30" s="708" t="s">
        <v>14</v>
      </c>
      <c r="U30" s="709" t="e">
        <f t="shared" si="13"/>
        <v>#N/A</v>
      </c>
      <c r="V30" s="708" t="s">
        <v>14</v>
      </c>
      <c r="W30" s="709" t="e">
        <f t="shared" si="14"/>
        <v>#N/A</v>
      </c>
      <c r="X30" s="710"/>
      <c r="Y30" s="383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0"/>
      <c r="Q31" s="1352" t="str">
        <f t="shared" si="11"/>
        <v>建筑结构</v>
      </c>
      <c r="R31" s="705" t="s">
        <v>14</v>
      </c>
      <c r="S31" s="706">
        <f t="shared" si="12"/>
        <v>100</v>
      </c>
      <c r="T31" s="705" t="s">
        <v>14</v>
      </c>
      <c r="U31" s="706">
        <f t="shared" si="13"/>
        <v>100</v>
      </c>
      <c r="V31" s="705" t="s">
        <v>14</v>
      </c>
      <c r="W31" s="706">
        <f t="shared" si="14"/>
        <v>100</v>
      </c>
      <c r="X31" s="1355"/>
      <c r="Y31" s="383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0"/>
      <c r="Q32" s="1352" t="str">
        <f t="shared" si="11"/>
        <v>公共部分装修</v>
      </c>
      <c r="R32" s="705" t="s">
        <v>14</v>
      </c>
      <c r="S32" s="706">
        <f t="shared" si="12"/>
        <v>100</v>
      </c>
      <c r="T32" s="705" t="s">
        <v>14</v>
      </c>
      <c r="U32" s="706">
        <f t="shared" si="13"/>
        <v>100</v>
      </c>
      <c r="V32" s="705" t="s">
        <v>14</v>
      </c>
      <c r="W32" s="706">
        <f t="shared" si="14"/>
        <v>100</v>
      </c>
      <c r="X32" s="1355"/>
      <c r="Y32" s="383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0"/>
      <c r="Q33" s="1352" t="str">
        <f t="shared" si="11"/>
        <v>成新度</v>
      </c>
      <c r="R33" s="705" t="s">
        <v>14</v>
      </c>
      <c r="S33" s="706" t="e">
        <f t="shared" si="12"/>
        <v>#N/A</v>
      </c>
      <c r="T33" s="705" t="s">
        <v>14</v>
      </c>
      <c r="U33" s="706" t="e">
        <f t="shared" si="13"/>
        <v>#N/A</v>
      </c>
      <c r="V33" s="705" t="s">
        <v>14</v>
      </c>
      <c r="W33" s="706" t="e">
        <f t="shared" si="14"/>
        <v>#N/A</v>
      </c>
      <c r="X33" s="1355"/>
      <c r="Y33" s="383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0"/>
      <c r="Q34" s="1343" t="str">
        <f t="shared" si="11"/>
        <v>物业管理</v>
      </c>
      <c r="R34" s="701" t="s">
        <v>14</v>
      </c>
      <c r="S34" s="702">
        <f t="shared" si="12"/>
        <v>100</v>
      </c>
      <c r="T34" s="701" t="s">
        <v>14</v>
      </c>
      <c r="U34" s="702">
        <f t="shared" si="13"/>
        <v>100</v>
      </c>
      <c r="V34" s="701" t="s">
        <v>14</v>
      </c>
      <c r="W34" s="702">
        <f t="shared" si="14"/>
        <v>100</v>
      </c>
      <c r="X34" s="703"/>
      <c r="Y34" s="383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0" t="s">
        <v>1695</v>
      </c>
      <c r="Q35" s="1352" t="str">
        <f t="shared" si="11"/>
        <v>市政基础设施</v>
      </c>
      <c r="R35" s="705" t="s">
        <v>14</v>
      </c>
      <c r="S35" s="706">
        <f t="shared" si="12"/>
        <v>100</v>
      </c>
      <c r="T35" s="705" t="s">
        <v>14</v>
      </c>
      <c r="U35" s="706">
        <f t="shared" si="13"/>
        <v>100</v>
      </c>
      <c r="V35" s="705" t="s">
        <v>14</v>
      </c>
      <c r="W35" s="706">
        <f t="shared" si="14"/>
        <v>100</v>
      </c>
      <c r="X35" s="1355"/>
      <c r="Y35" s="383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0"/>
      <c r="Q36" s="1352" t="str">
        <f t="shared" si="11"/>
        <v>内部装修</v>
      </c>
      <c r="R36" s="705" t="s">
        <v>14</v>
      </c>
      <c r="S36" s="706">
        <f t="shared" si="12"/>
        <v>100</v>
      </c>
      <c r="T36" s="705" t="s">
        <v>14</v>
      </c>
      <c r="U36" s="706">
        <f t="shared" si="13"/>
        <v>100</v>
      </c>
      <c r="V36" s="705" t="s">
        <v>14</v>
      </c>
      <c r="W36" s="706">
        <f t="shared" si="14"/>
        <v>100</v>
      </c>
      <c r="X36" s="1355"/>
      <c r="Y36" s="383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0"/>
      <c r="Q37" s="1352" t="str">
        <f t="shared" si="11"/>
        <v>内部装修状况</v>
      </c>
      <c r="R37" s="705" t="s">
        <v>14</v>
      </c>
      <c r="S37" s="706">
        <f t="shared" si="12"/>
        <v>100</v>
      </c>
      <c r="T37" s="705" t="s">
        <v>14</v>
      </c>
      <c r="U37" s="706">
        <f t="shared" si="13"/>
        <v>100</v>
      </c>
      <c r="V37" s="705" t="s">
        <v>14</v>
      </c>
      <c r="W37" s="706">
        <f t="shared" si="14"/>
        <v>100</v>
      </c>
      <c r="X37" s="1355"/>
      <c r="Y37" s="38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0"/>
      <c r="Q38" s="707">
        <f t="shared" si="11"/>
        <v>111</v>
      </c>
      <c r="R38" s="708" t="s">
        <v>14</v>
      </c>
      <c r="S38" s="709">
        <f t="shared" si="12"/>
        <v>100</v>
      </c>
      <c r="T38" s="708" t="s">
        <v>14</v>
      </c>
      <c r="U38" s="709">
        <f t="shared" si="13"/>
        <v>100</v>
      </c>
      <c r="V38" s="708" t="s">
        <v>14</v>
      </c>
      <c r="W38" s="709">
        <f t="shared" si="14"/>
        <v>100</v>
      </c>
      <c r="X38" s="710"/>
      <c r="Y38" s="38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0"/>
      <c r="Q39" s="1352">
        <f t="shared" si="11"/>
        <v>111</v>
      </c>
      <c r="R39" s="705" t="s">
        <v>14</v>
      </c>
      <c r="S39" s="706">
        <f t="shared" si="12"/>
        <v>100</v>
      </c>
      <c r="T39" s="705" t="s">
        <v>14</v>
      </c>
      <c r="U39" s="706">
        <f t="shared" si="13"/>
        <v>100</v>
      </c>
      <c r="V39" s="705" t="s">
        <v>14</v>
      </c>
      <c r="W39" s="706">
        <f t="shared" si="14"/>
        <v>100</v>
      </c>
      <c r="X39" s="1355"/>
      <c r="Y39" s="383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1"/>
      <c r="Q40" s="1352">
        <f t="shared" si="11"/>
        <v>111</v>
      </c>
      <c r="R40" s="705" t="s">
        <v>14</v>
      </c>
      <c r="S40" s="706">
        <f t="shared" si="12"/>
        <v>100</v>
      </c>
      <c r="T40" s="705" t="s">
        <v>14</v>
      </c>
      <c r="U40" s="706">
        <f t="shared" si="13"/>
        <v>100</v>
      </c>
      <c r="V40" s="705" t="s">
        <v>14</v>
      </c>
      <c r="W40" s="706">
        <f t="shared" si="14"/>
        <v>100</v>
      </c>
      <c r="X40" s="1355"/>
      <c r="Y40" s="383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823" t="str">
        <f>A41</f>
        <v>成交单价（元/平方米）</v>
      </c>
      <c r="Q41" s="3823"/>
      <c r="R41" s="3824">
        <f>E41</f>
        <v>0</v>
      </c>
      <c r="S41" s="3824"/>
      <c r="T41" s="3824">
        <f>G41</f>
        <v>0</v>
      </c>
      <c r="U41" s="3824"/>
      <c r="V41" s="3824">
        <f>I41</f>
        <v>0</v>
      </c>
      <c r="W41" s="3824"/>
      <c r="X41" s="690"/>
      <c r="Y41" s="712"/>
      <c r="Z41" s="690"/>
      <c r="AA41" s="690"/>
      <c r="AB41" s="690"/>
      <c r="AC41" s="690"/>
    </row>
    <row r="42" spans="1:29" ht="15" thickBot="1">
      <c r="A42" s="437" t="s">
        <v>1792</v>
      </c>
      <c r="B42" s="438"/>
      <c r="C42" s="1160" t="e">
        <f>R43</f>
        <v>#DIV/0!</v>
      </c>
      <c r="D42" s="2316" t="s">
        <v>2137</v>
      </c>
      <c r="E42" s="1161" t="e">
        <f>R42</f>
        <v>#DIV/0!</v>
      </c>
      <c r="F42" s="2317"/>
      <c r="G42" s="1160" t="e">
        <f>T42</f>
        <v>#DIV/0!</v>
      </c>
      <c r="H42" s="2317"/>
      <c r="I42" s="1161" t="e">
        <f>V42</f>
        <v>#DIV/0!</v>
      </c>
      <c r="J42" s="2317"/>
      <c r="K42" s="2319">
        <f>F42+H42+J42</f>
        <v>0</v>
      </c>
      <c r="L42" s="926"/>
      <c r="M42" s="927"/>
      <c r="N42" s="914"/>
      <c r="O42" s="927"/>
      <c r="P42" s="3823" t="str">
        <f>A42</f>
        <v>比较价值（元/平方米）</v>
      </c>
      <c r="Q42" s="3823"/>
      <c r="R42" s="3824" t="e">
        <f>IF(F1="售价",ROUND(PRODUCT(R41,AA7:AA40),0),ROUND(PRODUCT(R41,AA7:AA40),1))</f>
        <v>#DIV/0!</v>
      </c>
      <c r="S42" s="3824"/>
      <c r="T42" s="3824" t="e">
        <f>IF(F1="售价",ROUND(PRODUCT(T41,AB7:AB40),0),ROUND(PRODUCT(T41,AB7:AB40),1))</f>
        <v>#DIV/0!</v>
      </c>
      <c r="U42" s="3824"/>
      <c r="V42" s="3824" t="e">
        <f>IF(F1="售价",ROUND(PRODUCT(V41,AC7:AC40),0),ROUND(PRODUCT(V41,AC7:AC40),1))</f>
        <v>#DIV/0!</v>
      </c>
      <c r="W42" s="3824"/>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820" t="str">
        <f>A43</f>
        <v>估价对象XX用房的比较价值（楼面单价，元/平方米）</v>
      </c>
      <c r="Q43" s="3821"/>
      <c r="R43" s="3822" t="e">
        <f>IF(F1="售价",ROUND(IF(D42="简单平均",AVERAGE(R42:V42),R42*F42+T42*H42+V42*J42),0),ROUND(IF(D42="简单平均",AVERAGE(R42:V42),R42*F42+T42*H42+V42*J42),1))</f>
        <v>#DIV/0!</v>
      </c>
      <c r="S43" s="3822"/>
      <c r="T43" s="3822"/>
      <c r="U43" s="3822"/>
      <c r="V43" s="3822"/>
      <c r="W43" s="382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9"/>
      <c r="O54" s="2770"/>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48" t="s">
        <v>1770</v>
      </c>
      <c r="S4" s="3849"/>
      <c r="T4" s="3848" t="s">
        <v>1771</v>
      </c>
      <c r="U4" s="3849"/>
      <c r="V4" s="3854" t="s">
        <v>1772</v>
      </c>
      <c r="W4" s="3854"/>
      <c r="X4" s="1355"/>
      <c r="Y4" s="3848" t="s">
        <v>1774</v>
      </c>
      <c r="Z4" s="3849"/>
      <c r="AA4" s="3835" t="s">
        <v>1770</v>
      </c>
      <c r="AB4" s="3836" t="s">
        <v>1771</v>
      </c>
      <c r="AC4" s="3835" t="s">
        <v>1772</v>
      </c>
    </row>
    <row r="5" spans="1:29">
      <c r="A5" s="358"/>
      <c r="B5" s="359"/>
      <c r="C5" s="3857" t="s">
        <v>1672</v>
      </c>
      <c r="D5" s="3858"/>
      <c r="E5" s="3865" t="s">
        <v>1673</v>
      </c>
      <c r="F5" s="3866"/>
      <c r="G5" s="3857" t="s">
        <v>1674</v>
      </c>
      <c r="H5" s="3858"/>
      <c r="I5" s="3857" t="s">
        <v>1675</v>
      </c>
      <c r="J5" s="3858"/>
      <c r="K5" s="559"/>
      <c r="L5" s="2714"/>
      <c r="M5" s="2715"/>
      <c r="N5" s="2715"/>
      <c r="O5" s="2715"/>
      <c r="P5" s="3844"/>
      <c r="Q5" s="3845"/>
      <c r="R5" s="3850"/>
      <c r="S5" s="3851"/>
      <c r="T5" s="3850"/>
      <c r="U5" s="3851"/>
      <c r="V5" s="3854"/>
      <c r="W5" s="3854"/>
      <c r="X5" s="1355"/>
      <c r="Y5" s="3850"/>
      <c r="Z5" s="3851"/>
      <c r="AA5" s="3836"/>
      <c r="AB5" s="3836"/>
      <c r="AC5" s="3836"/>
    </row>
    <row r="6" spans="1:29" ht="15" thickBot="1">
      <c r="A6" s="360"/>
      <c r="B6" s="361"/>
      <c r="C6" s="3855" t="s">
        <v>1676</v>
      </c>
      <c r="D6" s="3856"/>
      <c r="E6" s="3863" t="s">
        <v>1676</v>
      </c>
      <c r="F6" s="3864"/>
      <c r="G6" s="3855" t="s">
        <v>1676</v>
      </c>
      <c r="H6" s="3856"/>
      <c r="I6" s="3855" t="s">
        <v>1676</v>
      </c>
      <c r="J6" s="3856"/>
      <c r="K6" s="559" t="s">
        <v>1677</v>
      </c>
      <c r="L6" s="2714"/>
      <c r="M6" s="2715"/>
      <c r="N6" s="2715"/>
      <c r="O6" s="2715"/>
      <c r="P6" s="3846"/>
      <c r="Q6" s="3847"/>
      <c r="R6" s="3850"/>
      <c r="S6" s="3851"/>
      <c r="T6" s="3852"/>
      <c r="U6" s="3853"/>
      <c r="V6" s="3854"/>
      <c r="W6" s="3854"/>
      <c r="X6" s="1355"/>
      <c r="Y6" s="3852"/>
      <c r="Z6" s="3853"/>
      <c r="AA6" s="3837"/>
      <c r="AB6" s="3837"/>
      <c r="AC6" s="3837"/>
    </row>
    <row r="7" spans="1:29" s="108" customFormat="1" ht="15" thickBot="1">
      <c r="A7" s="362" t="s">
        <v>1678</v>
      </c>
      <c r="B7" s="363"/>
      <c r="C7" s="364">
        <f>'数据-取费表'!B2</f>
        <v>45533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859" t="s">
        <v>1679</v>
      </c>
      <c r="Q7" s="3861"/>
      <c r="R7" s="701" t="s">
        <v>14</v>
      </c>
      <c r="S7" s="702">
        <f t="shared" ref="S7:S14" si="0">F7</f>
        <v>0</v>
      </c>
      <c r="T7" s="701" t="s">
        <v>14</v>
      </c>
      <c r="U7" s="702">
        <f t="shared" ref="U7:U14" si="1">H7</f>
        <v>0</v>
      </c>
      <c r="V7" s="701" t="s">
        <v>14</v>
      </c>
      <c r="W7" s="702">
        <f t="shared" ref="W7:W14" si="2">J7</f>
        <v>0</v>
      </c>
      <c r="X7" s="703"/>
      <c r="Y7" s="3859" t="s">
        <v>1679</v>
      </c>
      <c r="Z7" s="3860"/>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859" t="s">
        <v>1682</v>
      </c>
      <c r="Q8" s="3860"/>
      <c r="R8" s="701" t="s">
        <v>14</v>
      </c>
      <c r="S8" s="702">
        <f t="shared" si="0"/>
        <v>100</v>
      </c>
      <c r="T8" s="701" t="s">
        <v>14</v>
      </c>
      <c r="U8" s="702">
        <f t="shared" si="1"/>
        <v>100</v>
      </c>
      <c r="V8" s="701" t="s">
        <v>14</v>
      </c>
      <c r="W8" s="702">
        <f t="shared" si="2"/>
        <v>100</v>
      </c>
      <c r="X8" s="703"/>
      <c r="Y8" s="3859" t="s">
        <v>1682</v>
      </c>
      <c r="Z8" s="3860"/>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823" t="s">
        <v>1685</v>
      </c>
      <c r="Q9" s="1343" t="str">
        <f t="shared" ref="Q9:Q14" si="6">B9</f>
        <v>用途</v>
      </c>
      <c r="R9" s="701" t="s">
        <v>14</v>
      </c>
      <c r="S9" s="702">
        <f t="shared" si="0"/>
        <v>100</v>
      </c>
      <c r="T9" s="701" t="s">
        <v>14</v>
      </c>
      <c r="U9" s="702">
        <f t="shared" si="1"/>
        <v>100</v>
      </c>
      <c r="V9" s="701" t="s">
        <v>14</v>
      </c>
      <c r="W9" s="702">
        <f t="shared" si="2"/>
        <v>100</v>
      </c>
      <c r="X9" s="703"/>
      <c r="Y9" s="3717" t="s">
        <v>1686</v>
      </c>
      <c r="Z9" s="52" t="str">
        <f t="shared" ref="Z9:Z14" si="7">Q9</f>
        <v>用途</v>
      </c>
      <c r="AA9" s="704">
        <f t="shared" si="3"/>
        <v>1</v>
      </c>
      <c r="AB9" s="704">
        <f t="shared" si="4"/>
        <v>1</v>
      </c>
      <c r="AC9" s="704">
        <f t="shared" si="5"/>
        <v>1</v>
      </c>
    </row>
    <row r="10" spans="1:29" s="378" customFormat="1" ht="28.8">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823"/>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823"/>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823"/>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823"/>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96.6">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825" t="s">
        <v>1690</v>
      </c>
      <c r="Q14" s="1352" t="str">
        <f t="shared" si="6"/>
        <v>交通便捷度</v>
      </c>
      <c r="R14" s="705" t="s">
        <v>14</v>
      </c>
      <c r="S14" s="706">
        <f t="shared" si="0"/>
        <v>100</v>
      </c>
      <c r="T14" s="705" t="s">
        <v>14</v>
      </c>
      <c r="U14" s="706">
        <f t="shared" si="1"/>
        <v>100</v>
      </c>
      <c r="V14" s="705" t="s">
        <v>14</v>
      </c>
      <c r="W14" s="706">
        <f t="shared" si="2"/>
        <v>100</v>
      </c>
      <c r="X14" s="1355"/>
      <c r="Y14" s="382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826"/>
      <c r="Q15" s="1352"/>
      <c r="R15" s="705"/>
      <c r="S15" s="706"/>
      <c r="T15" s="705"/>
      <c r="U15" s="706"/>
      <c r="V15" s="705"/>
      <c r="W15" s="706"/>
      <c r="X15" s="1355"/>
      <c r="Y15" s="382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826"/>
      <c r="Q16" s="1352" t="str">
        <f>B16</f>
        <v>公共配套设施</v>
      </c>
      <c r="R16" s="705" t="s">
        <v>14</v>
      </c>
      <c r="S16" s="706">
        <f>F16</f>
        <v>100</v>
      </c>
      <c r="T16" s="705" t="s">
        <v>14</v>
      </c>
      <c r="U16" s="706">
        <f>H16</f>
        <v>100</v>
      </c>
      <c r="V16" s="705" t="s">
        <v>14</v>
      </c>
      <c r="W16" s="706">
        <f>J16</f>
        <v>100</v>
      </c>
      <c r="X16" s="1355"/>
      <c r="Y16" s="38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826"/>
      <c r="Q17" s="1352"/>
      <c r="R17" s="705"/>
      <c r="S17" s="706"/>
      <c r="T17" s="705"/>
      <c r="U17" s="706"/>
      <c r="V17" s="705"/>
      <c r="W17" s="706"/>
      <c r="X17" s="1355"/>
      <c r="Y17" s="382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826"/>
      <c r="Q18" s="1352" t="str">
        <f>B18</f>
        <v>基础设施水平</v>
      </c>
      <c r="R18" s="705" t="s">
        <v>14</v>
      </c>
      <c r="S18" s="706">
        <f>F18</f>
        <v>100</v>
      </c>
      <c r="T18" s="705" t="s">
        <v>14</v>
      </c>
      <c r="U18" s="706">
        <f>H18</f>
        <v>100</v>
      </c>
      <c r="V18" s="705" t="s">
        <v>14</v>
      </c>
      <c r="W18" s="706">
        <f>J18</f>
        <v>100</v>
      </c>
      <c r="X18" s="1355"/>
      <c r="Y18" s="38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826"/>
      <c r="Q19" s="1352"/>
      <c r="R19" s="705"/>
      <c r="S19" s="706"/>
      <c r="T19" s="705"/>
      <c r="U19" s="706"/>
      <c r="V19" s="705"/>
      <c r="W19" s="706"/>
      <c r="X19" s="1355"/>
      <c r="Y19" s="382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826"/>
      <c r="Q20" s="1352" t="str">
        <f>B20</f>
        <v>自然及人文环境</v>
      </c>
      <c r="R20" s="705" t="s">
        <v>14</v>
      </c>
      <c r="S20" s="706">
        <f>F20</f>
        <v>100</v>
      </c>
      <c r="T20" s="705" t="s">
        <v>14</v>
      </c>
      <c r="U20" s="706">
        <f>H20</f>
        <v>100</v>
      </c>
      <c r="V20" s="705" t="s">
        <v>14</v>
      </c>
      <c r="W20" s="706">
        <f>J20</f>
        <v>100</v>
      </c>
      <c r="X20" s="1355"/>
      <c r="Y20" s="38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826"/>
      <c r="Q21" s="1352"/>
      <c r="R21" s="705"/>
      <c r="S21" s="706"/>
      <c r="T21" s="705"/>
      <c r="U21" s="706"/>
      <c r="V21" s="705"/>
      <c r="W21" s="706"/>
      <c r="X21" s="1355"/>
      <c r="Y21" s="382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826"/>
      <c r="Q22" s="1352" t="str">
        <f>B22</f>
        <v>楼层</v>
      </c>
      <c r="R22" s="705" t="s">
        <v>14</v>
      </c>
      <c r="S22" s="706">
        <f>F22</f>
        <v>100</v>
      </c>
      <c r="T22" s="705" t="s">
        <v>14</v>
      </c>
      <c r="U22" s="706">
        <f>H22</f>
        <v>100</v>
      </c>
      <c r="V22" s="705" t="s">
        <v>14</v>
      </c>
      <c r="W22" s="706">
        <f>J22</f>
        <v>100</v>
      </c>
      <c r="X22" s="1355"/>
      <c r="Y22" s="38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826"/>
      <c r="Q23" s="1352">
        <f>B23</f>
        <v>111</v>
      </c>
      <c r="R23" s="705" t="s">
        <v>14</v>
      </c>
      <c r="S23" s="706">
        <f>F23</f>
        <v>100</v>
      </c>
      <c r="T23" s="705" t="s">
        <v>14</v>
      </c>
      <c r="U23" s="706">
        <f>H23</f>
        <v>100</v>
      </c>
      <c r="V23" s="705" t="s">
        <v>14</v>
      </c>
      <c r="W23" s="706">
        <f>J23</f>
        <v>100</v>
      </c>
      <c r="X23" s="1355"/>
      <c r="Y23" s="38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826"/>
      <c r="Q24" s="1352">
        <f t="shared" ref="Q24:Q36" si="11">B24</f>
        <v>111</v>
      </c>
      <c r="R24" s="705" t="s">
        <v>14</v>
      </c>
      <c r="S24" s="706">
        <f>F24</f>
        <v>100</v>
      </c>
      <c r="T24" s="705" t="s">
        <v>14</v>
      </c>
      <c r="U24" s="706">
        <f>H24</f>
        <v>100</v>
      </c>
      <c r="V24" s="705" t="s">
        <v>14</v>
      </c>
      <c r="W24" s="706">
        <f>J24</f>
        <v>100</v>
      </c>
      <c r="X24" s="1355"/>
      <c r="Y24" s="382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826"/>
      <c r="Q25" s="1343">
        <f t="shared" si="11"/>
        <v>111</v>
      </c>
      <c r="R25" s="701" t="s">
        <v>14</v>
      </c>
      <c r="S25" s="702">
        <f>F25</f>
        <v>100</v>
      </c>
      <c r="T25" s="701" t="s">
        <v>14</v>
      </c>
      <c r="U25" s="702">
        <f>H25</f>
        <v>100</v>
      </c>
      <c r="V25" s="701" t="s">
        <v>14</v>
      </c>
      <c r="W25" s="702">
        <f>J25</f>
        <v>100</v>
      </c>
      <c r="X25" s="703"/>
      <c r="Y25" s="3826"/>
      <c r="Z25" s="52">
        <f>Q25</f>
        <v>111</v>
      </c>
      <c r="AA25" s="1353">
        <f>D25/F25</f>
        <v>1</v>
      </c>
      <c r="AB25" s="1353">
        <f>D25/H25</f>
        <v>1</v>
      </c>
      <c r="AC25" s="1353">
        <f>D25/J25</f>
        <v>1</v>
      </c>
    </row>
    <row r="26" spans="1:29" ht="30">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90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830"/>
      <c r="Q27" s="707" t="str">
        <f t="shared" si="11"/>
        <v>项目停车位配比</v>
      </c>
      <c r="R27" s="708" t="s">
        <v>14</v>
      </c>
      <c r="S27" s="709">
        <f t="shared" si="12"/>
        <v>100</v>
      </c>
      <c r="T27" s="708" t="s">
        <v>14</v>
      </c>
      <c r="U27" s="709">
        <f t="shared" si="13"/>
        <v>100</v>
      </c>
      <c r="V27" s="708" t="s">
        <v>14</v>
      </c>
      <c r="W27" s="709">
        <f t="shared" si="14"/>
        <v>100</v>
      </c>
      <c r="X27" s="710"/>
      <c r="Y27" s="383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830"/>
      <c r="Q28" s="1352" t="str">
        <f t="shared" si="11"/>
        <v>公共部分装修</v>
      </c>
      <c r="R28" s="705" t="s">
        <v>14</v>
      </c>
      <c r="S28" s="706">
        <f t="shared" si="12"/>
        <v>100</v>
      </c>
      <c r="T28" s="705" t="s">
        <v>14</v>
      </c>
      <c r="U28" s="706">
        <f t="shared" si="13"/>
        <v>100</v>
      </c>
      <c r="V28" s="705" t="s">
        <v>14</v>
      </c>
      <c r="W28" s="706">
        <f t="shared" si="14"/>
        <v>100</v>
      </c>
      <c r="X28" s="1355"/>
      <c r="Y28" s="383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830"/>
      <c r="Q29" s="1352" t="str">
        <f t="shared" si="11"/>
        <v>成新率</v>
      </c>
      <c r="R29" s="705" t="s">
        <v>14</v>
      </c>
      <c r="S29" s="706" t="e">
        <f t="shared" si="12"/>
        <v>#N/A</v>
      </c>
      <c r="T29" s="705" t="s">
        <v>14</v>
      </c>
      <c r="U29" s="706" t="e">
        <f t="shared" si="13"/>
        <v>#N/A</v>
      </c>
      <c r="V29" s="705" t="s">
        <v>14</v>
      </c>
      <c r="W29" s="706" t="e">
        <f t="shared" si="14"/>
        <v>#N/A</v>
      </c>
      <c r="X29" s="1355"/>
      <c r="Y29" s="383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830"/>
      <c r="Q30" s="1352" t="str">
        <f t="shared" si="11"/>
        <v>物业等级</v>
      </c>
      <c r="R30" s="705" t="s">
        <v>14</v>
      </c>
      <c r="S30" s="706">
        <f t="shared" si="12"/>
        <v>100</v>
      </c>
      <c r="T30" s="705" t="s">
        <v>14</v>
      </c>
      <c r="U30" s="706">
        <f t="shared" si="13"/>
        <v>100</v>
      </c>
      <c r="V30" s="705" t="s">
        <v>14</v>
      </c>
      <c r="W30" s="706">
        <f t="shared" si="14"/>
        <v>100</v>
      </c>
      <c r="X30" s="1355"/>
      <c r="Y30" s="383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830"/>
      <c r="Q31" s="1343" t="str">
        <f t="shared" si="11"/>
        <v>停车位面积</v>
      </c>
      <c r="R31" s="701" t="s">
        <v>14</v>
      </c>
      <c r="S31" s="702" t="e">
        <f t="shared" si="12"/>
        <v>#N/A</v>
      </c>
      <c r="T31" s="701" t="s">
        <v>14</v>
      </c>
      <c r="U31" s="702" t="e">
        <f t="shared" si="13"/>
        <v>#N/A</v>
      </c>
      <c r="V31" s="701" t="s">
        <v>14</v>
      </c>
      <c r="W31" s="702" t="e">
        <f t="shared" si="14"/>
        <v>#N/A</v>
      </c>
      <c r="X31" s="703"/>
      <c r="Y31" s="383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830" t="s">
        <v>1695</v>
      </c>
      <c r="Q32" s="1352" t="str">
        <f t="shared" si="11"/>
        <v>车位类型</v>
      </c>
      <c r="R32" s="705" t="s">
        <v>14</v>
      </c>
      <c r="S32" s="706">
        <f t="shared" si="12"/>
        <v>100</v>
      </c>
      <c r="T32" s="705" t="s">
        <v>14</v>
      </c>
      <c r="U32" s="706">
        <f t="shared" si="13"/>
        <v>100</v>
      </c>
      <c r="V32" s="705" t="s">
        <v>14</v>
      </c>
      <c r="W32" s="706">
        <f t="shared" si="14"/>
        <v>100</v>
      </c>
      <c r="X32" s="1355"/>
      <c r="Y32" s="383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830"/>
      <c r="Q33" s="1352" t="str">
        <f t="shared" si="11"/>
        <v>是否直接入户</v>
      </c>
      <c r="R33" s="705" t="s">
        <v>14</v>
      </c>
      <c r="S33" s="706">
        <f t="shared" si="12"/>
        <v>100</v>
      </c>
      <c r="T33" s="705" t="s">
        <v>14</v>
      </c>
      <c r="U33" s="706">
        <f t="shared" si="13"/>
        <v>100</v>
      </c>
      <c r="V33" s="705" t="s">
        <v>14</v>
      </c>
      <c r="W33" s="706">
        <f t="shared" si="14"/>
        <v>100</v>
      </c>
      <c r="X33" s="1355"/>
      <c r="Y33" s="38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830"/>
      <c r="Q34" s="1352">
        <f t="shared" si="11"/>
        <v>111</v>
      </c>
      <c r="R34" s="705" t="s">
        <v>14</v>
      </c>
      <c r="S34" s="706">
        <f t="shared" si="12"/>
        <v>100</v>
      </c>
      <c r="T34" s="705" t="s">
        <v>14</v>
      </c>
      <c r="U34" s="706">
        <f t="shared" si="13"/>
        <v>100</v>
      </c>
      <c r="V34" s="705" t="s">
        <v>14</v>
      </c>
      <c r="W34" s="706">
        <f t="shared" si="14"/>
        <v>100</v>
      </c>
      <c r="X34" s="1355"/>
      <c r="Y34" s="38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830"/>
      <c r="Q35" s="707">
        <f t="shared" si="11"/>
        <v>111</v>
      </c>
      <c r="R35" s="708" t="s">
        <v>14</v>
      </c>
      <c r="S35" s="709">
        <f t="shared" si="12"/>
        <v>100</v>
      </c>
      <c r="T35" s="708" t="s">
        <v>14</v>
      </c>
      <c r="U35" s="709">
        <f t="shared" si="13"/>
        <v>100</v>
      </c>
      <c r="V35" s="708" t="s">
        <v>14</v>
      </c>
      <c r="W35" s="709">
        <f t="shared" si="14"/>
        <v>100</v>
      </c>
      <c r="X35" s="710"/>
      <c r="Y35" s="383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830"/>
      <c r="Q36" s="1352">
        <f t="shared" si="11"/>
        <v>111</v>
      </c>
      <c r="R36" s="705" t="s">
        <v>14</v>
      </c>
      <c r="S36" s="706">
        <f t="shared" si="12"/>
        <v>100</v>
      </c>
      <c r="T36" s="705" t="s">
        <v>14</v>
      </c>
      <c r="U36" s="706">
        <f t="shared" si="13"/>
        <v>100</v>
      </c>
      <c r="V36" s="705" t="s">
        <v>14</v>
      </c>
      <c r="W36" s="706">
        <f t="shared" si="14"/>
        <v>100</v>
      </c>
      <c r="X36" s="1355"/>
      <c r="Y36" s="3830"/>
      <c r="Z36" s="1356">
        <f t="shared" si="15"/>
        <v>111</v>
      </c>
      <c r="AA36" s="1353">
        <f t="shared" si="3"/>
        <v>1</v>
      </c>
      <c r="AB36" s="1353">
        <f t="shared" si="4"/>
        <v>1</v>
      </c>
      <c r="AC36" s="1353">
        <f t="shared" si="5"/>
        <v>1</v>
      </c>
    </row>
    <row r="37" spans="1:29" ht="14.4">
      <c r="A37" s="430" t="s">
        <v>1843</v>
      </c>
      <c r="B37" s="1972" t="s">
        <v>3355</v>
      </c>
      <c r="C37" s="1154" t="s">
        <v>0</v>
      </c>
      <c r="D37" s="1155"/>
      <c r="E37" s="1156"/>
      <c r="F37" s="1157"/>
      <c r="G37" s="1158"/>
      <c r="H37" s="1159"/>
      <c r="I37" s="1156"/>
      <c r="J37" s="1159"/>
      <c r="K37" s="568"/>
      <c r="L37" s="2723"/>
      <c r="M37" s="2724"/>
      <c r="N37" s="2715"/>
      <c r="O37" s="2724"/>
      <c r="P37" s="3823" t="str">
        <f>A37</f>
        <v>成交单价</v>
      </c>
      <c r="Q37" s="3823"/>
      <c r="R37" s="3824">
        <f>E37</f>
        <v>0</v>
      </c>
      <c r="S37" s="3824"/>
      <c r="T37" s="3824">
        <f>G37</f>
        <v>0</v>
      </c>
      <c r="U37" s="3824"/>
      <c r="V37" s="3824">
        <f>I37</f>
        <v>0</v>
      </c>
      <c r="W37" s="3824"/>
      <c r="X37" s="690"/>
      <c r="Y37" s="712"/>
      <c r="Z37" s="690"/>
      <c r="AA37" s="690"/>
      <c r="AB37" s="690"/>
      <c r="AC37" s="690"/>
    </row>
    <row r="38" spans="1:29" ht="15" thickBot="1">
      <c r="A38" s="437" t="s">
        <v>1844</v>
      </c>
      <c r="B38" s="438" t="str">
        <f>B37</f>
        <v>元/平方米</v>
      </c>
      <c r="C38" s="1160" t="e">
        <f>R39</f>
        <v>#DIV/0!</v>
      </c>
      <c r="D38" s="2316" t="s">
        <v>2137</v>
      </c>
      <c r="E38" s="1161" t="e">
        <f>R38</f>
        <v>#DIV/0!</v>
      </c>
      <c r="F38" s="2317"/>
      <c r="G38" s="1160" t="e">
        <f>T38</f>
        <v>#DIV/0!</v>
      </c>
      <c r="H38" s="2317"/>
      <c r="I38" s="1161" t="e">
        <f>V38</f>
        <v>#DIV/0!</v>
      </c>
      <c r="J38" s="2317"/>
      <c r="K38" s="2319">
        <f>F38+H38+J38</f>
        <v>0</v>
      </c>
      <c r="L38" s="2723"/>
      <c r="M38" s="2724"/>
      <c r="N38" s="2724"/>
      <c r="O38" s="2724"/>
      <c r="P38" s="3823" t="str">
        <f>A38</f>
        <v>比较价值（元/平方米）</v>
      </c>
      <c r="Q38" s="3823"/>
      <c r="R38" s="3824" t="e">
        <f>IF(F1="售价",ROUND(PRODUCT(R37,AA7:AA36),0),ROUND(PRODUCT(R37,AA7:AA36),1))</f>
        <v>#DIV/0!</v>
      </c>
      <c r="S38" s="3824"/>
      <c r="T38" s="3824" t="e">
        <f>IF(F1="售价",ROUND(PRODUCT(T37,AB7:AB36),0),ROUND(PRODUCT(T37,AB7:AB36),1))</f>
        <v>#DIV/0!</v>
      </c>
      <c r="U38" s="3824"/>
      <c r="V38" s="3824" t="e">
        <f>IF(F1="售价",ROUND(PRODUCT(V37,AC7:AC36),0),ROUND(PRODUCT(V37,AC7:AC36),1))</f>
        <v>#DIV/0!</v>
      </c>
      <c r="W38" s="3824"/>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3"/>
      <c r="M39" s="2724"/>
      <c r="N39" s="2724"/>
      <c r="O39" s="2724"/>
      <c r="P39" s="3820" t="str">
        <f>A39</f>
        <v>估价对象XX用房的比较价值（楼面单价，元/平方米）</v>
      </c>
      <c r="Q39" s="3821"/>
      <c r="R39" s="3904" t="e">
        <f>IF(F1="售价",ROUND(IF(D38="简单平均",AVERAGE(R38:W38),R38*F38+T38*H38+V38*J38),0),ROUND(IF(D38="简单平均",AVERAGE(R38:V38),R38*F38+T38*H38+V38*J38),1))</f>
        <v>#DIV/0!</v>
      </c>
      <c r="S39" s="3904"/>
      <c r="T39" s="3904"/>
      <c r="U39" s="3904"/>
      <c r="V39" s="3904"/>
      <c r="W39" s="390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1850</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48" t="s">
        <v>1770</v>
      </c>
      <c r="S4" s="3849"/>
      <c r="T4" s="3848" t="s">
        <v>1771</v>
      </c>
      <c r="U4" s="3849"/>
      <c r="V4" s="3854" t="s">
        <v>1772</v>
      </c>
      <c r="W4" s="3854"/>
      <c r="X4" s="1355"/>
      <c r="Y4" s="3848" t="s">
        <v>1774</v>
      </c>
      <c r="Z4" s="3849"/>
      <c r="AA4" s="3835" t="s">
        <v>1770</v>
      </c>
      <c r="AB4" s="3836" t="s">
        <v>1771</v>
      </c>
      <c r="AC4" s="3835" t="s">
        <v>1772</v>
      </c>
    </row>
    <row r="5" spans="1:29">
      <c r="A5" s="358"/>
      <c r="B5" s="359"/>
      <c r="C5" s="3857" t="s">
        <v>1672</v>
      </c>
      <c r="D5" s="3858"/>
      <c r="E5" s="3865" t="s">
        <v>1673</v>
      </c>
      <c r="F5" s="3866"/>
      <c r="G5" s="3857" t="s">
        <v>1674</v>
      </c>
      <c r="H5" s="3858"/>
      <c r="I5" s="3857" t="s">
        <v>1675</v>
      </c>
      <c r="J5" s="3858"/>
      <c r="K5" s="559"/>
      <c r="L5" s="2714"/>
      <c r="M5" s="2715"/>
      <c r="N5" s="2715"/>
      <c r="O5" s="2715"/>
      <c r="P5" s="3844"/>
      <c r="Q5" s="3845"/>
      <c r="R5" s="3850"/>
      <c r="S5" s="3851"/>
      <c r="T5" s="3850"/>
      <c r="U5" s="3851"/>
      <c r="V5" s="3854"/>
      <c r="W5" s="3854"/>
      <c r="X5" s="1355"/>
      <c r="Y5" s="3850"/>
      <c r="Z5" s="3851"/>
      <c r="AA5" s="3836"/>
      <c r="AB5" s="3836"/>
      <c r="AC5" s="3836"/>
    </row>
    <row r="6" spans="1:29" ht="15" thickBot="1">
      <c r="A6" s="360"/>
      <c r="B6" s="361"/>
      <c r="C6" s="3855" t="s">
        <v>1676</v>
      </c>
      <c r="D6" s="3856"/>
      <c r="E6" s="3863" t="s">
        <v>1676</v>
      </c>
      <c r="F6" s="3864"/>
      <c r="G6" s="3855" t="s">
        <v>1676</v>
      </c>
      <c r="H6" s="3856"/>
      <c r="I6" s="3855" t="s">
        <v>1676</v>
      </c>
      <c r="J6" s="3856"/>
      <c r="K6" s="559" t="s">
        <v>1677</v>
      </c>
      <c r="L6" s="2714"/>
      <c r="M6" s="2715"/>
      <c r="N6" s="2715"/>
      <c r="O6" s="2715"/>
      <c r="P6" s="3846"/>
      <c r="Q6" s="3847"/>
      <c r="R6" s="3850"/>
      <c r="S6" s="3851"/>
      <c r="T6" s="3852"/>
      <c r="U6" s="3853"/>
      <c r="V6" s="3854"/>
      <c r="W6" s="3854"/>
      <c r="X6" s="1355"/>
      <c r="Y6" s="3852"/>
      <c r="Z6" s="3853"/>
      <c r="AA6" s="3837"/>
      <c r="AB6" s="3837"/>
      <c r="AC6" s="3837"/>
    </row>
    <row r="7" spans="1:29" s="108" customFormat="1" ht="15" thickBot="1">
      <c r="A7" s="362" t="s">
        <v>1678</v>
      </c>
      <c r="B7" s="363"/>
      <c r="C7" s="364">
        <f>'数据-取费表'!B2</f>
        <v>45533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859" t="s">
        <v>1679</v>
      </c>
      <c r="Q7" s="3861"/>
      <c r="R7" s="701" t="s">
        <v>14</v>
      </c>
      <c r="S7" s="702">
        <f t="shared" ref="S7:S14" si="0">F7</f>
        <v>0</v>
      </c>
      <c r="T7" s="701" t="s">
        <v>14</v>
      </c>
      <c r="U7" s="702">
        <f t="shared" ref="U7:U14" si="1">H7</f>
        <v>0</v>
      </c>
      <c r="V7" s="701" t="s">
        <v>14</v>
      </c>
      <c r="W7" s="702">
        <f t="shared" ref="W7:W14" si="2">J7</f>
        <v>0</v>
      </c>
      <c r="X7" s="703"/>
      <c r="Y7" s="3859" t="s">
        <v>1679</v>
      </c>
      <c r="Z7" s="3860"/>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859" t="s">
        <v>1682</v>
      </c>
      <c r="Q8" s="3860"/>
      <c r="R8" s="701" t="s">
        <v>14</v>
      </c>
      <c r="S8" s="702">
        <f t="shared" si="0"/>
        <v>100</v>
      </c>
      <c r="T8" s="701" t="s">
        <v>14</v>
      </c>
      <c r="U8" s="702">
        <f t="shared" si="1"/>
        <v>100</v>
      </c>
      <c r="V8" s="701" t="s">
        <v>14</v>
      </c>
      <c r="W8" s="702">
        <f t="shared" si="2"/>
        <v>100</v>
      </c>
      <c r="X8" s="703"/>
      <c r="Y8" s="3859" t="s">
        <v>1682</v>
      </c>
      <c r="Z8" s="3860"/>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823" t="s">
        <v>1685</v>
      </c>
      <c r="Q9" s="1343" t="str">
        <f t="shared" ref="Q9:Q14" si="6">B9</f>
        <v>用途</v>
      </c>
      <c r="R9" s="701" t="s">
        <v>14</v>
      </c>
      <c r="S9" s="702">
        <f t="shared" si="0"/>
        <v>100</v>
      </c>
      <c r="T9" s="701" t="s">
        <v>14</v>
      </c>
      <c r="U9" s="702">
        <f t="shared" si="1"/>
        <v>100</v>
      </c>
      <c r="V9" s="701" t="s">
        <v>14</v>
      </c>
      <c r="W9" s="702">
        <f t="shared" si="2"/>
        <v>100</v>
      </c>
      <c r="X9" s="703"/>
      <c r="Y9" s="3717" t="s">
        <v>1686</v>
      </c>
      <c r="Z9" s="52" t="str">
        <f t="shared" ref="Z9:Z14" si="7">Q9</f>
        <v>用途</v>
      </c>
      <c r="AA9" s="704">
        <f t="shared" si="3"/>
        <v>1</v>
      </c>
      <c r="AB9" s="704">
        <f t="shared" si="4"/>
        <v>1</v>
      </c>
      <c r="AC9" s="704">
        <f t="shared" si="5"/>
        <v>1</v>
      </c>
    </row>
    <row r="10" spans="1:29" s="378" customFormat="1" ht="28.8">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823"/>
      <c r="Q10" s="1343" t="str">
        <f t="shared" si="6"/>
        <v>土地使用年限（年）</v>
      </c>
      <c r="R10" s="701" t="s">
        <v>14</v>
      </c>
      <c r="S10" s="702">
        <f t="shared" si="0"/>
        <v>100</v>
      </c>
      <c r="T10" s="701" t="s">
        <v>14</v>
      </c>
      <c r="U10" s="702">
        <f t="shared" si="1"/>
        <v>100</v>
      </c>
      <c r="V10" s="701" t="s">
        <v>14</v>
      </c>
      <c r="W10" s="702">
        <f t="shared" si="2"/>
        <v>100</v>
      </c>
      <c r="X10" s="703"/>
      <c r="Y10" s="37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823"/>
      <c r="Q11" s="1343">
        <f t="shared" si="6"/>
        <v>111</v>
      </c>
      <c r="R11" s="701" t="s">
        <v>14</v>
      </c>
      <c r="S11" s="702">
        <f t="shared" si="0"/>
        <v>100</v>
      </c>
      <c r="T11" s="701" t="s">
        <v>14</v>
      </c>
      <c r="U11" s="702">
        <f t="shared" si="1"/>
        <v>100</v>
      </c>
      <c r="V11" s="701" t="s">
        <v>14</v>
      </c>
      <c r="W11" s="702">
        <f t="shared" si="2"/>
        <v>100</v>
      </c>
      <c r="X11" s="703"/>
      <c r="Y11" s="37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823"/>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823"/>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96.6">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825" t="s">
        <v>1690</v>
      </c>
      <c r="Q14" s="1352" t="str">
        <f t="shared" si="6"/>
        <v>交通便捷度</v>
      </c>
      <c r="R14" s="705" t="s">
        <v>14</v>
      </c>
      <c r="S14" s="706">
        <f t="shared" si="0"/>
        <v>100</v>
      </c>
      <c r="T14" s="705" t="s">
        <v>14</v>
      </c>
      <c r="U14" s="706">
        <f t="shared" si="1"/>
        <v>100</v>
      </c>
      <c r="V14" s="705" t="s">
        <v>14</v>
      </c>
      <c r="W14" s="706">
        <f t="shared" si="2"/>
        <v>100</v>
      </c>
      <c r="X14" s="1355"/>
      <c r="Y14" s="382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826"/>
      <c r="Q15" s="1352"/>
      <c r="R15" s="705"/>
      <c r="S15" s="706"/>
      <c r="T15" s="705"/>
      <c r="U15" s="706"/>
      <c r="V15" s="705"/>
      <c r="W15" s="706"/>
      <c r="X15" s="1355"/>
      <c r="Y15" s="382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826"/>
      <c r="Q16" s="1352" t="str">
        <f>B16</f>
        <v>公共配套设施</v>
      </c>
      <c r="R16" s="705" t="s">
        <v>14</v>
      </c>
      <c r="S16" s="706">
        <f>F16</f>
        <v>100</v>
      </c>
      <c r="T16" s="705" t="s">
        <v>14</v>
      </c>
      <c r="U16" s="706">
        <f>H16</f>
        <v>100</v>
      </c>
      <c r="V16" s="705" t="s">
        <v>14</v>
      </c>
      <c r="W16" s="706">
        <f>J16</f>
        <v>100</v>
      </c>
      <c r="X16" s="1355"/>
      <c r="Y16" s="38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826"/>
      <c r="Q17" s="1352"/>
      <c r="R17" s="705"/>
      <c r="S17" s="706"/>
      <c r="T17" s="705"/>
      <c r="U17" s="706"/>
      <c r="V17" s="705"/>
      <c r="W17" s="706"/>
      <c r="X17" s="1355"/>
      <c r="Y17" s="382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826"/>
      <c r="Q18" s="1352" t="str">
        <f>B18</f>
        <v>基础设施水平</v>
      </c>
      <c r="R18" s="705" t="s">
        <v>14</v>
      </c>
      <c r="S18" s="706">
        <f>F18</f>
        <v>100</v>
      </c>
      <c r="T18" s="705" t="s">
        <v>14</v>
      </c>
      <c r="U18" s="706">
        <f>H18</f>
        <v>100</v>
      </c>
      <c r="V18" s="705" t="s">
        <v>14</v>
      </c>
      <c r="W18" s="706">
        <f>J18</f>
        <v>100</v>
      </c>
      <c r="X18" s="1355"/>
      <c r="Y18" s="38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826"/>
      <c r="Q19" s="1352"/>
      <c r="R19" s="705"/>
      <c r="S19" s="706"/>
      <c r="T19" s="705"/>
      <c r="U19" s="706"/>
      <c r="V19" s="705"/>
      <c r="W19" s="706"/>
      <c r="X19" s="1355"/>
      <c r="Y19" s="382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826"/>
      <c r="Q20" s="1352" t="str">
        <f>B20</f>
        <v>自然及人文环境</v>
      </c>
      <c r="R20" s="705" t="s">
        <v>14</v>
      </c>
      <c r="S20" s="706">
        <f>F20</f>
        <v>100</v>
      </c>
      <c r="T20" s="705" t="s">
        <v>14</v>
      </c>
      <c r="U20" s="706">
        <f>H20</f>
        <v>100</v>
      </c>
      <c r="V20" s="705" t="s">
        <v>14</v>
      </c>
      <c r="W20" s="706">
        <f>J20</f>
        <v>100</v>
      </c>
      <c r="X20" s="1355"/>
      <c r="Y20" s="38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826"/>
      <c r="Q21" s="1352"/>
      <c r="R21" s="705"/>
      <c r="S21" s="706"/>
      <c r="T21" s="705"/>
      <c r="U21" s="706"/>
      <c r="V21" s="705"/>
      <c r="W21" s="706"/>
      <c r="X21" s="1355"/>
      <c r="Y21" s="382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826"/>
      <c r="Q22" s="1352" t="str">
        <f>B22</f>
        <v>楼层</v>
      </c>
      <c r="R22" s="705" t="s">
        <v>14</v>
      </c>
      <c r="S22" s="706">
        <f>F22</f>
        <v>100</v>
      </c>
      <c r="T22" s="705" t="s">
        <v>14</v>
      </c>
      <c r="U22" s="706">
        <f>H22</f>
        <v>100</v>
      </c>
      <c r="V22" s="705" t="s">
        <v>14</v>
      </c>
      <c r="W22" s="706">
        <f>J22</f>
        <v>100</v>
      </c>
      <c r="X22" s="1355"/>
      <c r="Y22" s="38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826"/>
      <c r="Q23" s="1352">
        <f>B23</f>
        <v>111</v>
      </c>
      <c r="R23" s="705" t="s">
        <v>14</v>
      </c>
      <c r="S23" s="706">
        <f>F23</f>
        <v>100</v>
      </c>
      <c r="T23" s="705" t="s">
        <v>14</v>
      </c>
      <c r="U23" s="706">
        <f>H23</f>
        <v>100</v>
      </c>
      <c r="V23" s="705" t="s">
        <v>14</v>
      </c>
      <c r="W23" s="706">
        <f>J23</f>
        <v>100</v>
      </c>
      <c r="X23" s="1355"/>
      <c r="Y23" s="38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826"/>
      <c r="Q24" s="1352">
        <f t="shared" ref="Q24:Q34" si="11">B24</f>
        <v>111</v>
      </c>
      <c r="R24" s="705" t="s">
        <v>14</v>
      </c>
      <c r="S24" s="706">
        <f>F24</f>
        <v>100</v>
      </c>
      <c r="T24" s="705" t="s">
        <v>14</v>
      </c>
      <c r="U24" s="706">
        <f>H24</f>
        <v>100</v>
      </c>
      <c r="V24" s="705" t="s">
        <v>14</v>
      </c>
      <c r="W24" s="706">
        <f>J24</f>
        <v>100</v>
      </c>
      <c r="X24" s="1355"/>
      <c r="Y24" s="3826"/>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826"/>
      <c r="Q25" s="1343">
        <f t="shared" si="11"/>
        <v>111</v>
      </c>
      <c r="R25" s="701" t="s">
        <v>14</v>
      </c>
      <c r="S25" s="702">
        <f>F25</f>
        <v>100</v>
      </c>
      <c r="T25" s="701" t="s">
        <v>14</v>
      </c>
      <c r="U25" s="702">
        <f>H25</f>
        <v>100</v>
      </c>
      <c r="V25" s="701" t="s">
        <v>14</v>
      </c>
      <c r="W25" s="702">
        <f>J25</f>
        <v>100</v>
      </c>
      <c r="X25" s="703"/>
      <c r="Y25" s="3826"/>
      <c r="Z25" s="52">
        <f>Q25</f>
        <v>111</v>
      </c>
      <c r="AA25" s="1353">
        <f>D25/F25</f>
        <v>1</v>
      </c>
      <c r="AB25" s="1353">
        <f>D25/H25</f>
        <v>1</v>
      </c>
      <c r="AC25" s="1353">
        <f>D25/J25</f>
        <v>1</v>
      </c>
    </row>
    <row r="26" spans="1:29" ht="30">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90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830"/>
      <c r="Q27" s="707" t="str">
        <f t="shared" si="11"/>
        <v>成新率</v>
      </c>
      <c r="R27" s="708" t="s">
        <v>14</v>
      </c>
      <c r="S27" s="709" t="e">
        <f t="shared" si="12"/>
        <v>#N/A</v>
      </c>
      <c r="T27" s="708" t="s">
        <v>14</v>
      </c>
      <c r="U27" s="709" t="e">
        <f t="shared" si="13"/>
        <v>#N/A</v>
      </c>
      <c r="V27" s="708" t="s">
        <v>14</v>
      </c>
      <c r="W27" s="709" t="e">
        <f t="shared" si="14"/>
        <v>#N/A</v>
      </c>
      <c r="X27" s="710"/>
      <c r="Y27" s="383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830"/>
      <c r="Q28" s="1352" t="str">
        <f t="shared" si="11"/>
        <v>物业等级</v>
      </c>
      <c r="R28" s="705" t="s">
        <v>14</v>
      </c>
      <c r="S28" s="706">
        <f t="shared" si="12"/>
        <v>100</v>
      </c>
      <c r="T28" s="705" t="s">
        <v>14</v>
      </c>
      <c r="U28" s="706">
        <f t="shared" si="13"/>
        <v>100</v>
      </c>
      <c r="V28" s="705" t="s">
        <v>14</v>
      </c>
      <c r="W28" s="706">
        <f t="shared" si="14"/>
        <v>100</v>
      </c>
      <c r="X28" s="1355"/>
      <c r="Y28" s="383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830"/>
      <c r="Q29" s="1352" t="str">
        <f t="shared" si="11"/>
        <v>有无电梯</v>
      </c>
      <c r="R29" s="705" t="s">
        <v>14</v>
      </c>
      <c r="S29" s="706">
        <f t="shared" si="12"/>
        <v>100</v>
      </c>
      <c r="T29" s="705" t="s">
        <v>14</v>
      </c>
      <c r="U29" s="706">
        <f t="shared" si="13"/>
        <v>100</v>
      </c>
      <c r="V29" s="705" t="s">
        <v>14</v>
      </c>
      <c r="W29" s="706">
        <f t="shared" si="14"/>
        <v>100</v>
      </c>
      <c r="X29" s="1355"/>
      <c r="Y29" s="383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830"/>
      <c r="Q30" s="1352" t="str">
        <f t="shared" si="11"/>
        <v>建筑面积</v>
      </c>
      <c r="R30" s="705" t="s">
        <v>14</v>
      </c>
      <c r="S30" s="706" t="e">
        <f t="shared" si="12"/>
        <v>#N/A</v>
      </c>
      <c r="T30" s="705" t="s">
        <v>14</v>
      </c>
      <c r="U30" s="706" t="e">
        <f t="shared" si="13"/>
        <v>#N/A</v>
      </c>
      <c r="V30" s="705" t="s">
        <v>14</v>
      </c>
      <c r="W30" s="706" t="e">
        <f t="shared" si="14"/>
        <v>#N/A</v>
      </c>
      <c r="X30" s="1355"/>
      <c r="Y30" s="383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830"/>
      <c r="Q31" s="1343" t="str">
        <f t="shared" si="11"/>
        <v>是否封闭</v>
      </c>
      <c r="R31" s="701" t="s">
        <v>14</v>
      </c>
      <c r="S31" s="702">
        <f t="shared" si="12"/>
        <v>100</v>
      </c>
      <c r="T31" s="701" t="s">
        <v>14</v>
      </c>
      <c r="U31" s="702">
        <f t="shared" si="13"/>
        <v>100</v>
      </c>
      <c r="V31" s="701" t="s">
        <v>14</v>
      </c>
      <c r="W31" s="702">
        <f t="shared" si="14"/>
        <v>100</v>
      </c>
      <c r="X31" s="703"/>
      <c r="Y31" s="38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830" t="s">
        <v>1695</v>
      </c>
      <c r="Q32" s="1352">
        <f t="shared" si="11"/>
        <v>111</v>
      </c>
      <c r="R32" s="705" t="s">
        <v>14</v>
      </c>
      <c r="S32" s="706">
        <f t="shared" si="12"/>
        <v>100</v>
      </c>
      <c r="T32" s="705" t="s">
        <v>14</v>
      </c>
      <c r="U32" s="706">
        <f t="shared" si="13"/>
        <v>100</v>
      </c>
      <c r="V32" s="705" t="s">
        <v>14</v>
      </c>
      <c r="W32" s="706">
        <f t="shared" si="14"/>
        <v>100</v>
      </c>
      <c r="X32" s="1355"/>
      <c r="Y32" s="383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830"/>
      <c r="Q33" s="1352">
        <f t="shared" si="11"/>
        <v>111</v>
      </c>
      <c r="R33" s="705" t="s">
        <v>14</v>
      </c>
      <c r="S33" s="706">
        <f t="shared" si="12"/>
        <v>100</v>
      </c>
      <c r="T33" s="705" t="s">
        <v>14</v>
      </c>
      <c r="U33" s="706">
        <f t="shared" si="13"/>
        <v>100</v>
      </c>
      <c r="V33" s="705" t="s">
        <v>14</v>
      </c>
      <c r="W33" s="706">
        <f t="shared" si="14"/>
        <v>100</v>
      </c>
      <c r="X33" s="1355"/>
      <c r="Y33" s="3830"/>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830"/>
      <c r="Q34" s="1352">
        <f t="shared" si="11"/>
        <v>111</v>
      </c>
      <c r="R34" s="705" t="s">
        <v>14</v>
      </c>
      <c r="S34" s="706">
        <f t="shared" si="12"/>
        <v>100</v>
      </c>
      <c r="T34" s="705" t="s">
        <v>14</v>
      </c>
      <c r="U34" s="706">
        <f t="shared" si="13"/>
        <v>100</v>
      </c>
      <c r="V34" s="705" t="s">
        <v>14</v>
      </c>
      <c r="W34" s="706">
        <f t="shared" si="14"/>
        <v>100</v>
      </c>
      <c r="X34" s="1355"/>
      <c r="Y34" s="383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3"/>
      <c r="M35" s="2724"/>
      <c r="N35" s="2715"/>
      <c r="O35" s="2724"/>
      <c r="P35" s="3823" t="str">
        <f>A35</f>
        <v>成交单价（元/平方米）</v>
      </c>
      <c r="Q35" s="3823"/>
      <c r="R35" s="3824">
        <f>E35</f>
        <v>0</v>
      </c>
      <c r="S35" s="3824"/>
      <c r="T35" s="3824">
        <f>G35</f>
        <v>0</v>
      </c>
      <c r="U35" s="3824"/>
      <c r="V35" s="3824">
        <f>I35</f>
        <v>0</v>
      </c>
      <c r="W35" s="3824"/>
      <c r="X35" s="690"/>
      <c r="Y35" s="712"/>
      <c r="Z35" s="690"/>
      <c r="AA35" s="690"/>
      <c r="AB35" s="690"/>
      <c r="AC35" s="690"/>
    </row>
    <row r="36" spans="1:30" ht="15" thickBot="1">
      <c r="A36" s="437" t="s">
        <v>1792</v>
      </c>
      <c r="B36" s="438"/>
      <c r="C36" s="1160" t="e">
        <f>R37</f>
        <v>#DIV/0!</v>
      </c>
      <c r="D36" s="2316" t="s">
        <v>2137</v>
      </c>
      <c r="E36" s="1161" t="e">
        <f>R36</f>
        <v>#DIV/0!</v>
      </c>
      <c r="F36" s="2317"/>
      <c r="G36" s="1160" t="e">
        <f>T36</f>
        <v>#DIV/0!</v>
      </c>
      <c r="H36" s="2317"/>
      <c r="I36" s="1161" t="e">
        <f>V36</f>
        <v>#DIV/0!</v>
      </c>
      <c r="J36" s="2317"/>
      <c r="K36" s="2319">
        <f>F36+H36+J36</f>
        <v>0</v>
      </c>
      <c r="L36" s="2723"/>
      <c r="M36" s="2724"/>
      <c r="N36" s="2715"/>
      <c r="O36" s="2724"/>
      <c r="P36" s="3823" t="str">
        <f>A36</f>
        <v>比较价值（元/平方米）</v>
      </c>
      <c r="Q36" s="3823"/>
      <c r="R36" s="3824" t="e">
        <f>IF(F1="售价",ROUND(PRODUCT(R35,AA7:AA34),0),ROUND(PRODUCT(R35,AA7:AA34),1))</f>
        <v>#DIV/0!</v>
      </c>
      <c r="S36" s="3824"/>
      <c r="T36" s="3824" t="e">
        <f>IF(F1="售价",ROUND(PRODUCT(T35,AB7:AB34),0),ROUND(PRODUCT(T35,AB7:AB34),1))</f>
        <v>#DIV/0!</v>
      </c>
      <c r="U36" s="3824"/>
      <c r="V36" s="3824" t="e">
        <f>IF(F1="售价",ROUND(PRODUCT(V35,AC7:AC34),0),ROUND(PRODUCT(V35,AC7:AC34),1))</f>
        <v>#DIV/0!</v>
      </c>
      <c r="W36" s="3824"/>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3"/>
      <c r="M37" s="2724"/>
      <c r="N37" s="2724"/>
      <c r="O37" s="2724"/>
      <c r="P37" s="3820" t="str">
        <f>A37</f>
        <v>估价对象XX用房的比较价值（楼面单价，元/平方米）</v>
      </c>
      <c r="Q37" s="3821"/>
      <c r="R37" s="3904" t="e">
        <f>IF(F1="售价",ROUND(IF(D36="简单平均",AVERAGE(R36:W36),R36*F36+T36*H36+V36*J36),0),ROUND(IF(D36="简单平均",AVERAGE(R36:V36),R36*F36+T36*H36+V36*J36),1))</f>
        <v>#DIV/0!</v>
      </c>
      <c r="S37" s="3904"/>
      <c r="T37" s="3904"/>
      <c r="U37" s="3904"/>
      <c r="V37" s="3904"/>
      <c r="W37" s="390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1678</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48" t="s">
        <v>1770</v>
      </c>
      <c r="S4" s="3849"/>
      <c r="T4" s="3848" t="s">
        <v>1771</v>
      </c>
      <c r="U4" s="3849"/>
      <c r="V4" s="3854" t="s">
        <v>1772</v>
      </c>
      <c r="W4" s="3854"/>
      <c r="X4" s="1355"/>
      <c r="Y4" s="3848" t="s">
        <v>1774</v>
      </c>
      <c r="Z4" s="3849"/>
      <c r="AA4" s="3835" t="s">
        <v>1770</v>
      </c>
      <c r="AB4" s="3836" t="s">
        <v>1771</v>
      </c>
      <c r="AC4" s="3835" t="s">
        <v>1772</v>
      </c>
    </row>
    <row r="5" spans="1:30">
      <c r="A5" s="358"/>
      <c r="B5" s="359"/>
      <c r="C5" s="3857" t="s">
        <v>1672</v>
      </c>
      <c r="D5" s="3858"/>
      <c r="E5" s="3865" t="s">
        <v>1673</v>
      </c>
      <c r="F5" s="3866"/>
      <c r="G5" s="3857" t="s">
        <v>1674</v>
      </c>
      <c r="H5" s="3858"/>
      <c r="I5" s="3857" t="s">
        <v>1675</v>
      </c>
      <c r="J5" s="3858"/>
      <c r="K5" s="559"/>
      <c r="L5" s="2714"/>
      <c r="M5" s="2715"/>
      <c r="N5" s="2715"/>
      <c r="O5" s="2715"/>
      <c r="P5" s="3844"/>
      <c r="Q5" s="3845"/>
      <c r="R5" s="3850"/>
      <c r="S5" s="3851"/>
      <c r="T5" s="3850"/>
      <c r="U5" s="3851"/>
      <c r="V5" s="3854"/>
      <c r="W5" s="3854"/>
      <c r="X5" s="1355"/>
      <c r="Y5" s="3850"/>
      <c r="Z5" s="3851"/>
      <c r="AA5" s="3836"/>
      <c r="AB5" s="3836"/>
      <c r="AC5" s="3836"/>
    </row>
    <row r="6" spans="1:30" ht="15" thickBot="1">
      <c r="A6" s="360"/>
      <c r="B6" s="361"/>
      <c r="C6" s="3855" t="s">
        <v>1676</v>
      </c>
      <c r="D6" s="3856"/>
      <c r="E6" s="3863" t="s">
        <v>1676</v>
      </c>
      <c r="F6" s="3864"/>
      <c r="G6" s="3855" t="s">
        <v>1676</v>
      </c>
      <c r="H6" s="3856"/>
      <c r="I6" s="3855" t="s">
        <v>1676</v>
      </c>
      <c r="J6" s="3856"/>
      <c r="K6" s="559" t="s">
        <v>1677</v>
      </c>
      <c r="L6" s="2714"/>
      <c r="M6" s="2715"/>
      <c r="N6" s="2715"/>
      <c r="O6" s="2715"/>
      <c r="P6" s="3846"/>
      <c r="Q6" s="3847"/>
      <c r="R6" s="3850"/>
      <c r="S6" s="3851"/>
      <c r="T6" s="3852"/>
      <c r="U6" s="3853"/>
      <c r="V6" s="3854"/>
      <c r="W6" s="3854"/>
      <c r="X6" s="1355"/>
      <c r="Y6" s="3852"/>
      <c r="Z6" s="3853"/>
      <c r="AA6" s="3837"/>
      <c r="AB6" s="3837"/>
      <c r="AC6" s="3837"/>
    </row>
    <row r="7" spans="1:30" s="108" customFormat="1" ht="15" thickBot="1">
      <c r="A7" s="362" t="s">
        <v>1678</v>
      </c>
      <c r="B7" s="363"/>
      <c r="C7" s="364">
        <f>'数据-取费表'!B2</f>
        <v>45533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859" t="s">
        <v>1679</v>
      </c>
      <c r="Q7" s="3861"/>
      <c r="R7" s="701" t="s">
        <v>14</v>
      </c>
      <c r="S7" s="702">
        <f t="shared" ref="S7:S15" si="0">F7</f>
        <v>0</v>
      </c>
      <c r="T7" s="701" t="s">
        <v>14</v>
      </c>
      <c r="U7" s="702">
        <f t="shared" ref="U7:U15" si="1">H7</f>
        <v>0</v>
      </c>
      <c r="V7" s="701" t="s">
        <v>14</v>
      </c>
      <c r="W7" s="702">
        <f t="shared" ref="W7:W15" si="2">J7</f>
        <v>0</v>
      </c>
      <c r="X7" s="703"/>
      <c r="Y7" s="3859" t="s">
        <v>1679</v>
      </c>
      <c r="Z7" s="3860"/>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859" t="s">
        <v>1682</v>
      </c>
      <c r="Q8" s="3860"/>
      <c r="R8" s="701" t="s">
        <v>14</v>
      </c>
      <c r="S8" s="702">
        <f t="shared" si="0"/>
        <v>0</v>
      </c>
      <c r="T8" s="701" t="s">
        <v>14</v>
      </c>
      <c r="U8" s="702">
        <f t="shared" si="1"/>
        <v>0</v>
      </c>
      <c r="V8" s="701" t="s">
        <v>14</v>
      </c>
      <c r="W8" s="702">
        <f t="shared" si="2"/>
        <v>0</v>
      </c>
      <c r="X8" s="703"/>
      <c r="Y8" s="3859" t="s">
        <v>1682</v>
      </c>
      <c r="Z8" s="3860"/>
      <c r="AA8" s="704" t="e">
        <f t="shared" ref="AA8:AA45" si="3">D8/F8</f>
        <v>#DIV/0!</v>
      </c>
      <c r="AB8" s="704" t="e">
        <f t="shared" ref="AB8:AB45" si="4">D8/H8</f>
        <v>#DIV/0!</v>
      </c>
      <c r="AC8" s="704" t="e">
        <f t="shared" ref="AC8:AC45" si="5">D8/J8</f>
        <v>#DIV/0!</v>
      </c>
    </row>
    <row r="9" spans="1:30" s="108" customFormat="1" ht="14.4">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823"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113</v>
      </c>
      <c r="G10" s="414"/>
      <c r="H10" s="127">
        <f>ROUND(100/'数据-取费表'!G16,0)</f>
        <v>113</v>
      </c>
      <c r="I10" s="414"/>
      <c r="J10" s="127">
        <f>ROUND(100/'数据-取费表'!G16,0)</f>
        <v>113</v>
      </c>
      <c r="K10" s="620"/>
      <c r="L10" s="2718"/>
      <c r="M10" s="2719"/>
      <c r="N10" s="2719"/>
      <c r="O10" s="2772"/>
      <c r="P10" s="3823"/>
      <c r="Q10" s="1343" t="str">
        <f t="shared" si="6"/>
        <v>土地使用年限（年）</v>
      </c>
      <c r="R10" s="701" t="s">
        <v>14</v>
      </c>
      <c r="S10" s="702">
        <f t="shared" si="0"/>
        <v>113</v>
      </c>
      <c r="T10" s="701" t="s">
        <v>14</v>
      </c>
      <c r="U10" s="702">
        <f t="shared" si="1"/>
        <v>113</v>
      </c>
      <c r="V10" s="701" t="s">
        <v>14</v>
      </c>
      <c r="W10" s="702">
        <f t="shared" si="2"/>
        <v>113</v>
      </c>
      <c r="X10" s="703"/>
      <c r="Y10" s="3717"/>
      <c r="Z10" s="52" t="str">
        <f t="shared" si="7"/>
        <v>土地使用年限（年）</v>
      </c>
      <c r="AA10" s="704">
        <f t="shared" si="3"/>
        <v>0.88495575221238942</v>
      </c>
      <c r="AB10" s="704">
        <f t="shared" si="4"/>
        <v>0.88495575221238942</v>
      </c>
      <c r="AC10" s="704">
        <f t="shared" si="5"/>
        <v>0.88495575221238942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823"/>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823"/>
      <c r="Q12" s="1343" t="str">
        <f t="shared" si="6"/>
        <v>配建</v>
      </c>
      <c r="R12" s="701" t="s">
        <v>14</v>
      </c>
      <c r="S12" s="702">
        <f t="shared" si="0"/>
        <v>100</v>
      </c>
      <c r="T12" s="701" t="s">
        <v>14</v>
      </c>
      <c r="U12" s="702">
        <f t="shared" si="1"/>
        <v>100</v>
      </c>
      <c r="V12" s="701" t="s">
        <v>14</v>
      </c>
      <c r="W12" s="702">
        <f t="shared" si="2"/>
        <v>100</v>
      </c>
      <c r="X12" s="703"/>
      <c r="Y12" s="37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823"/>
      <c r="Q13" s="1343">
        <f t="shared" si="6"/>
        <v>111</v>
      </c>
      <c r="R13" s="701" t="s">
        <v>14</v>
      </c>
      <c r="S13" s="702">
        <f t="shared" si="0"/>
        <v>100</v>
      </c>
      <c r="T13" s="701" t="s">
        <v>14</v>
      </c>
      <c r="U13" s="702">
        <f t="shared" si="1"/>
        <v>100</v>
      </c>
      <c r="V13" s="701" t="s">
        <v>14</v>
      </c>
      <c r="W13" s="702">
        <f t="shared" si="2"/>
        <v>100</v>
      </c>
      <c r="X13" s="703"/>
      <c r="Y13" s="371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823"/>
      <c r="Q14" s="1343">
        <f t="shared" si="6"/>
        <v>111</v>
      </c>
      <c r="R14" s="701" t="s">
        <v>14</v>
      </c>
      <c r="S14" s="702">
        <f t="shared" si="0"/>
        <v>100</v>
      </c>
      <c r="T14" s="701" t="s">
        <v>14</v>
      </c>
      <c r="U14" s="702">
        <f t="shared" si="1"/>
        <v>100</v>
      </c>
      <c r="V14" s="701" t="s">
        <v>14</v>
      </c>
      <c r="W14" s="702">
        <f t="shared" si="2"/>
        <v>100</v>
      </c>
      <c r="X14" s="703"/>
      <c r="Y14" s="3717"/>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825" t="s">
        <v>1690</v>
      </c>
      <c r="Q15" s="1352" t="str">
        <f t="shared" si="6"/>
        <v>居住社区成熟度</v>
      </c>
      <c r="R15" s="705" t="s">
        <v>14</v>
      </c>
      <c r="S15" s="706">
        <f t="shared" si="0"/>
        <v>100</v>
      </c>
      <c r="T15" s="705" t="s">
        <v>14</v>
      </c>
      <c r="U15" s="706">
        <f t="shared" si="1"/>
        <v>100</v>
      </c>
      <c r="V15" s="705" t="s">
        <v>14</v>
      </c>
      <c r="W15" s="706">
        <f t="shared" si="2"/>
        <v>100</v>
      </c>
      <c r="X15" s="1355"/>
      <c r="Y15" s="382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826"/>
      <c r="Q16" s="1352"/>
      <c r="R16" s="705"/>
      <c r="S16" s="706"/>
      <c r="T16" s="705"/>
      <c r="U16" s="706"/>
      <c r="V16" s="705"/>
      <c r="W16" s="706"/>
      <c r="X16" s="1355"/>
      <c r="Y16" s="3826"/>
      <c r="Z16" s="1356"/>
      <c r="AA16" s="1353">
        <v>1</v>
      </c>
      <c r="AB16" s="1353">
        <v>1</v>
      </c>
      <c r="AC16" s="1353">
        <v>1</v>
      </c>
    </row>
    <row r="17" spans="1:29" ht="82.8">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826"/>
      <c r="Q17" s="1352" t="str">
        <f>B17</f>
        <v>商业繁华度</v>
      </c>
      <c r="R17" s="705" t="s">
        <v>14</v>
      </c>
      <c r="S17" s="706">
        <f>F17</f>
        <v>100</v>
      </c>
      <c r="T17" s="705" t="s">
        <v>14</v>
      </c>
      <c r="U17" s="706">
        <f>H17</f>
        <v>100</v>
      </c>
      <c r="V17" s="705" t="s">
        <v>14</v>
      </c>
      <c r="W17" s="706">
        <f>J17</f>
        <v>100</v>
      </c>
      <c r="X17" s="1355"/>
      <c r="Y17" s="38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826"/>
      <c r="Q18" s="1352"/>
      <c r="R18" s="705"/>
      <c r="S18" s="706"/>
      <c r="T18" s="705"/>
      <c r="U18" s="706"/>
      <c r="V18" s="705"/>
      <c r="W18" s="706"/>
      <c r="X18" s="1355"/>
      <c r="Y18" s="3826"/>
      <c r="Z18" s="1356"/>
      <c r="AA18" s="1353">
        <v>1</v>
      </c>
      <c r="AB18" s="1353">
        <v>1</v>
      </c>
      <c r="AC18" s="1353">
        <v>1</v>
      </c>
    </row>
    <row r="19" spans="1:29" ht="82.8">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826"/>
      <c r="Q19" s="1352" t="str">
        <f>B19</f>
        <v>办公集聚程度</v>
      </c>
      <c r="R19" s="705" t="s">
        <v>14</v>
      </c>
      <c r="S19" s="706">
        <f>F19</f>
        <v>100</v>
      </c>
      <c r="T19" s="705" t="s">
        <v>14</v>
      </c>
      <c r="U19" s="706">
        <f>H19</f>
        <v>100</v>
      </c>
      <c r="V19" s="705" t="s">
        <v>14</v>
      </c>
      <c r="W19" s="706">
        <f>J19</f>
        <v>100</v>
      </c>
      <c r="X19" s="1355"/>
      <c r="Y19" s="38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826"/>
      <c r="Q20" s="1352"/>
      <c r="R20" s="705"/>
      <c r="S20" s="706"/>
      <c r="T20" s="705"/>
      <c r="U20" s="706"/>
      <c r="V20" s="705"/>
      <c r="W20" s="706"/>
      <c r="X20" s="1355"/>
      <c r="Y20" s="382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826"/>
      <c r="Q21" s="1352" t="str">
        <f>B21</f>
        <v>交通便捷度</v>
      </c>
      <c r="R21" s="705" t="s">
        <v>14</v>
      </c>
      <c r="S21" s="706">
        <f>F21</f>
        <v>100</v>
      </c>
      <c r="T21" s="705" t="s">
        <v>14</v>
      </c>
      <c r="U21" s="706">
        <f>H21</f>
        <v>100</v>
      </c>
      <c r="V21" s="705" t="s">
        <v>14</v>
      </c>
      <c r="W21" s="706">
        <f>J21</f>
        <v>100</v>
      </c>
      <c r="X21" s="1355"/>
      <c r="Y21" s="38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826"/>
      <c r="Q22" s="1352"/>
      <c r="R22" s="705"/>
      <c r="S22" s="706"/>
      <c r="T22" s="705"/>
      <c r="U22" s="706"/>
      <c r="V22" s="705"/>
      <c r="W22" s="706"/>
      <c r="X22" s="1355"/>
      <c r="Y22" s="382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826"/>
      <c r="Q23" s="1352" t="str">
        <f t="shared" ref="Q23:Q37" si="8">B23</f>
        <v>区域土地利用方向</v>
      </c>
      <c r="R23" s="705" t="s">
        <v>14</v>
      </c>
      <c r="S23" s="706">
        <f>F23</f>
        <v>100</v>
      </c>
      <c r="T23" s="705" t="s">
        <v>14</v>
      </c>
      <c r="U23" s="706">
        <f>H23</f>
        <v>100</v>
      </c>
      <c r="V23" s="705" t="s">
        <v>14</v>
      </c>
      <c r="W23" s="706">
        <f>J23</f>
        <v>100</v>
      </c>
      <c r="X23" s="1355"/>
      <c r="Y23" s="38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826"/>
      <c r="Q24" s="1352"/>
      <c r="R24" s="705"/>
      <c r="S24" s="706"/>
      <c r="T24" s="705"/>
      <c r="U24" s="706"/>
      <c r="V24" s="705"/>
      <c r="W24" s="706"/>
      <c r="X24" s="1355"/>
      <c r="Y24" s="3826"/>
      <c r="Z24" s="1356"/>
      <c r="AA24" s="1353"/>
      <c r="AB24" s="1353"/>
      <c r="AC24" s="1353"/>
    </row>
    <row r="25" spans="1:29" ht="55.2">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826"/>
      <c r="Q25" s="1352" t="str">
        <f t="shared" si="8"/>
        <v>自然及人文环境状况</v>
      </c>
      <c r="R25" s="705" t="s">
        <v>14</v>
      </c>
      <c r="S25" s="706">
        <f>F25</f>
        <v>100</v>
      </c>
      <c r="T25" s="705" t="s">
        <v>14</v>
      </c>
      <c r="U25" s="706">
        <f>H25</f>
        <v>100</v>
      </c>
      <c r="V25" s="705" t="s">
        <v>14</v>
      </c>
      <c r="W25" s="706">
        <f>J25</f>
        <v>100</v>
      </c>
      <c r="X25" s="1355"/>
      <c r="Y25" s="38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826"/>
      <c r="Q26" s="1352"/>
      <c r="R26" s="705"/>
      <c r="S26" s="706"/>
      <c r="T26" s="705"/>
      <c r="U26" s="706"/>
      <c r="V26" s="705"/>
      <c r="W26" s="706"/>
      <c r="X26" s="1355"/>
      <c r="Y26" s="382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826"/>
      <c r="Q27" s="1343" t="str">
        <f t="shared" si="8"/>
        <v>公共配套设施</v>
      </c>
      <c r="R27" s="701" t="s">
        <v>14</v>
      </c>
      <c r="S27" s="702">
        <f>F27</f>
        <v>100</v>
      </c>
      <c r="T27" s="701" t="s">
        <v>14</v>
      </c>
      <c r="U27" s="702">
        <f>H27</f>
        <v>100</v>
      </c>
      <c r="V27" s="701" t="s">
        <v>14</v>
      </c>
      <c r="W27" s="702">
        <f>J27</f>
        <v>100</v>
      </c>
      <c r="X27" s="703"/>
      <c r="Y27" s="3826"/>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826"/>
      <c r="Q28" s="1343"/>
      <c r="R28" s="701"/>
      <c r="S28" s="702"/>
      <c r="T28" s="701"/>
      <c r="U28" s="702"/>
      <c r="V28" s="701"/>
      <c r="W28" s="702"/>
      <c r="X28" s="703"/>
      <c r="Y28" s="382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826"/>
      <c r="Q29" s="1343" t="str">
        <f t="shared" ref="Q29" si="9">B29</f>
        <v>基础设施水平</v>
      </c>
      <c r="R29" s="701" t="s">
        <v>14</v>
      </c>
      <c r="S29" s="702">
        <f>F29</f>
        <v>100</v>
      </c>
      <c r="T29" s="701" t="s">
        <v>14</v>
      </c>
      <c r="U29" s="702">
        <f>H29</f>
        <v>100</v>
      </c>
      <c r="V29" s="701" t="s">
        <v>14</v>
      </c>
      <c r="W29" s="702">
        <f>J29</f>
        <v>100</v>
      </c>
      <c r="X29" s="703"/>
      <c r="Y29" s="3826"/>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826"/>
      <c r="Q30" s="1343"/>
      <c r="R30" s="701"/>
      <c r="S30" s="702"/>
      <c r="T30" s="701"/>
      <c r="U30" s="702"/>
      <c r="V30" s="701"/>
      <c r="W30" s="702"/>
      <c r="X30" s="703"/>
      <c r="Y30" s="382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8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826"/>
      <c r="Q32" s="1352" t="str">
        <f t="shared" si="8"/>
        <v>毗邻道路的类型与等级</v>
      </c>
      <c r="R32" s="705" t="s">
        <v>14</v>
      </c>
      <c r="S32" s="706">
        <f t="shared" si="10"/>
        <v>100</v>
      </c>
      <c r="T32" s="705" t="s">
        <v>14</v>
      </c>
      <c r="U32" s="706">
        <f t="shared" si="11"/>
        <v>100</v>
      </c>
      <c r="V32" s="705" t="s">
        <v>14</v>
      </c>
      <c r="W32" s="706">
        <f t="shared" si="12"/>
        <v>100</v>
      </c>
      <c r="X32" s="1355"/>
      <c r="Y32" s="38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826"/>
      <c r="Q33" s="1352"/>
      <c r="R33" s="705"/>
      <c r="S33" s="706"/>
      <c r="T33" s="705"/>
      <c r="U33" s="706"/>
      <c r="V33" s="705"/>
      <c r="W33" s="706"/>
      <c r="X33" s="1355"/>
      <c r="Y33" s="382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826"/>
      <c r="Q34" s="1352" t="str">
        <f t="shared" si="8"/>
        <v>土地级别</v>
      </c>
      <c r="R34" s="705" t="s">
        <v>14</v>
      </c>
      <c r="S34" s="706">
        <f t="shared" si="10"/>
        <v>100</v>
      </c>
      <c r="T34" s="705" t="s">
        <v>14</v>
      </c>
      <c r="U34" s="706">
        <f t="shared" si="11"/>
        <v>100</v>
      </c>
      <c r="V34" s="705" t="s">
        <v>14</v>
      </c>
      <c r="W34" s="706">
        <f t="shared" si="12"/>
        <v>100</v>
      </c>
      <c r="X34" s="1355"/>
      <c r="Y34" s="38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826"/>
      <c r="Q35" s="1352">
        <f t="shared" si="8"/>
        <v>111</v>
      </c>
      <c r="R35" s="705" t="s">
        <v>14</v>
      </c>
      <c r="S35" s="706">
        <f t="shared" si="10"/>
        <v>100</v>
      </c>
      <c r="T35" s="705" t="s">
        <v>14</v>
      </c>
      <c r="U35" s="706">
        <f t="shared" si="11"/>
        <v>100</v>
      </c>
      <c r="V35" s="705" t="s">
        <v>14</v>
      </c>
      <c r="W35" s="706">
        <f t="shared" si="12"/>
        <v>100</v>
      </c>
      <c r="X35" s="1355"/>
      <c r="Y35" s="38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903" t="s">
        <v>1695</v>
      </c>
      <c r="Q36" s="1352">
        <f t="shared" si="8"/>
        <v>111</v>
      </c>
      <c r="R36" s="705" t="s">
        <v>14</v>
      </c>
      <c r="S36" s="706">
        <f t="shared" si="10"/>
        <v>100</v>
      </c>
      <c r="T36" s="705" t="s">
        <v>14</v>
      </c>
      <c r="U36" s="706">
        <f t="shared" si="11"/>
        <v>100</v>
      </c>
      <c r="V36" s="705" t="s">
        <v>14</v>
      </c>
      <c r="W36" s="706">
        <f t="shared" si="12"/>
        <v>100</v>
      </c>
      <c r="X36" s="1355"/>
      <c r="Y36" s="383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830"/>
      <c r="Q37" s="1352">
        <f t="shared" si="8"/>
        <v>111</v>
      </c>
      <c r="R37" s="708" t="s">
        <v>14</v>
      </c>
      <c r="S37" s="709">
        <f t="shared" si="10"/>
        <v>100</v>
      </c>
      <c r="T37" s="708" t="s">
        <v>14</v>
      </c>
      <c r="U37" s="709">
        <f t="shared" si="11"/>
        <v>100</v>
      </c>
      <c r="V37" s="708" t="s">
        <v>14</v>
      </c>
      <c r="W37" s="709">
        <f t="shared" si="12"/>
        <v>100</v>
      </c>
      <c r="X37" s="710"/>
      <c r="Y37" s="383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830"/>
      <c r="Q38" s="1352" t="str">
        <f>B38</f>
        <v>宗地面积</v>
      </c>
      <c r="R38" s="705" t="s">
        <v>14</v>
      </c>
      <c r="S38" s="706" t="e">
        <f t="shared" si="10"/>
        <v>#N/A</v>
      </c>
      <c r="T38" s="705" t="s">
        <v>14</v>
      </c>
      <c r="U38" s="706" t="e">
        <f t="shared" si="11"/>
        <v>#N/A</v>
      </c>
      <c r="V38" s="705" t="s">
        <v>14</v>
      </c>
      <c r="W38" s="706" t="e">
        <f t="shared" si="12"/>
        <v>#N/A</v>
      </c>
      <c r="X38" s="1355"/>
      <c r="Y38" s="383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830"/>
      <c r="Q39" s="1352" t="str">
        <f t="shared" ref="Q39:Q45" si="14">B39</f>
        <v>宗地形状</v>
      </c>
      <c r="R39" s="705" t="s">
        <v>14</v>
      </c>
      <c r="S39" s="706">
        <f t="shared" si="10"/>
        <v>100</v>
      </c>
      <c r="T39" s="705" t="s">
        <v>14</v>
      </c>
      <c r="U39" s="706">
        <f t="shared" si="11"/>
        <v>100</v>
      </c>
      <c r="V39" s="705" t="s">
        <v>14</v>
      </c>
      <c r="W39" s="706">
        <f t="shared" si="12"/>
        <v>100</v>
      </c>
      <c r="X39" s="1355"/>
      <c r="Y39" s="383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830"/>
      <c r="Q40" s="1352" t="str">
        <f t="shared" si="14"/>
        <v>临街宽度及深度</v>
      </c>
      <c r="R40" s="705" t="s">
        <v>14</v>
      </c>
      <c r="S40" s="706">
        <f t="shared" si="10"/>
        <v>100</v>
      </c>
      <c r="T40" s="705" t="s">
        <v>14</v>
      </c>
      <c r="U40" s="706">
        <f t="shared" si="11"/>
        <v>100</v>
      </c>
      <c r="V40" s="705" t="s">
        <v>14</v>
      </c>
      <c r="W40" s="706">
        <f t="shared" si="12"/>
        <v>100</v>
      </c>
      <c r="X40" s="1355"/>
      <c r="Y40" s="3830"/>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830"/>
      <c r="Q41" s="1352" t="str">
        <f t="shared" si="14"/>
        <v>宗地开发程度</v>
      </c>
      <c r="R41" s="701" t="s">
        <v>14</v>
      </c>
      <c r="S41" s="702">
        <f t="shared" si="10"/>
        <v>100</v>
      </c>
      <c r="T41" s="701" t="s">
        <v>14</v>
      </c>
      <c r="U41" s="702">
        <f t="shared" si="11"/>
        <v>100</v>
      </c>
      <c r="V41" s="701" t="s">
        <v>14</v>
      </c>
      <c r="W41" s="702">
        <f t="shared" si="12"/>
        <v>100</v>
      </c>
      <c r="X41" s="703"/>
      <c r="Y41" s="383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830" t="s">
        <v>1695</v>
      </c>
      <c r="Q42" s="1352" t="str">
        <f t="shared" si="14"/>
        <v>工程地质条件</v>
      </c>
      <c r="R42" s="705" t="s">
        <v>14</v>
      </c>
      <c r="S42" s="706">
        <f t="shared" si="10"/>
        <v>100</v>
      </c>
      <c r="T42" s="705" t="s">
        <v>14</v>
      </c>
      <c r="U42" s="706">
        <f t="shared" si="11"/>
        <v>100</v>
      </c>
      <c r="V42" s="705" t="s">
        <v>14</v>
      </c>
      <c r="W42" s="706">
        <f t="shared" si="12"/>
        <v>100</v>
      </c>
      <c r="X42" s="1355"/>
      <c r="Y42" s="383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830"/>
      <c r="Q43" s="1352">
        <f t="shared" si="14"/>
        <v>111</v>
      </c>
      <c r="R43" s="705" t="s">
        <v>14</v>
      </c>
      <c r="S43" s="706">
        <f t="shared" si="10"/>
        <v>100</v>
      </c>
      <c r="T43" s="705" t="s">
        <v>14</v>
      </c>
      <c r="U43" s="706">
        <f t="shared" si="11"/>
        <v>100</v>
      </c>
      <c r="V43" s="705" t="s">
        <v>14</v>
      </c>
      <c r="W43" s="706">
        <f t="shared" si="12"/>
        <v>100</v>
      </c>
      <c r="X43" s="1355"/>
      <c r="Y43" s="38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830"/>
      <c r="Q44" s="1352">
        <f t="shared" si="14"/>
        <v>111</v>
      </c>
      <c r="R44" s="705" t="s">
        <v>14</v>
      </c>
      <c r="S44" s="706">
        <f t="shared" si="10"/>
        <v>100</v>
      </c>
      <c r="T44" s="705" t="s">
        <v>14</v>
      </c>
      <c r="U44" s="706">
        <f t="shared" si="11"/>
        <v>100</v>
      </c>
      <c r="V44" s="705" t="s">
        <v>14</v>
      </c>
      <c r="W44" s="706">
        <f t="shared" si="12"/>
        <v>100</v>
      </c>
      <c r="X44" s="1355"/>
      <c r="Y44" s="3830"/>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830"/>
      <c r="Q45" s="1352">
        <f t="shared" si="14"/>
        <v>111</v>
      </c>
      <c r="R45" s="708" t="s">
        <v>14</v>
      </c>
      <c r="S45" s="709">
        <f t="shared" si="10"/>
        <v>100</v>
      </c>
      <c r="T45" s="708" t="s">
        <v>14</v>
      </c>
      <c r="U45" s="709">
        <f t="shared" si="11"/>
        <v>100</v>
      </c>
      <c r="V45" s="708" t="s">
        <v>14</v>
      </c>
      <c r="W45" s="709">
        <f t="shared" si="12"/>
        <v>100</v>
      </c>
      <c r="X45" s="710"/>
      <c r="Y45" s="3830"/>
      <c r="Z45" s="711">
        <f t="shared" si="13"/>
        <v>111</v>
      </c>
      <c r="AA45" s="1353">
        <f t="shared" si="3"/>
        <v>1</v>
      </c>
      <c r="AB45" s="1353">
        <f t="shared" si="4"/>
        <v>1</v>
      </c>
      <c r="AC45" s="1353">
        <f t="shared" si="5"/>
        <v>1</v>
      </c>
    </row>
    <row r="46" spans="1:29" ht="14.4">
      <c r="A46" s="430" t="s">
        <v>1843</v>
      </c>
      <c r="B46" s="1981" t="s">
        <v>1878</v>
      </c>
      <c r="C46" s="630" t="s">
        <v>0</v>
      </c>
      <c r="D46" s="432"/>
      <c r="E46" s="433"/>
      <c r="F46" s="434"/>
      <c r="G46" s="435"/>
      <c r="H46" s="436"/>
      <c r="I46" s="433"/>
      <c r="J46" s="436"/>
      <c r="K46" s="714"/>
      <c r="L46" s="2723"/>
      <c r="M46" s="2724"/>
      <c r="N46" s="2715"/>
      <c r="O46" s="2724"/>
      <c r="P46" s="3823" t="str">
        <f>A46</f>
        <v>成交单价</v>
      </c>
      <c r="Q46" s="3823"/>
      <c r="R46" s="3854">
        <f>E46</f>
        <v>0</v>
      </c>
      <c r="S46" s="3854"/>
      <c r="T46" s="3854">
        <f>G46</f>
        <v>0</v>
      </c>
      <c r="U46" s="3854"/>
      <c r="V46" s="3854">
        <f>I46</f>
        <v>0</v>
      </c>
      <c r="W46" s="3854"/>
      <c r="X46" s="690"/>
      <c r="Y46" s="712"/>
      <c r="Z46" s="690"/>
      <c r="AA46" s="690"/>
      <c r="AB46" s="690"/>
      <c r="AC46" s="690"/>
    </row>
    <row r="47" spans="1:29" ht="15" thickBot="1">
      <c r="A47" s="437" t="s">
        <v>1792</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823" t="str">
        <f>A47</f>
        <v>比较价值（元/平方米）</v>
      </c>
      <c r="Q47" s="3823"/>
      <c r="R47" s="3905" t="e">
        <f>ROUND(PRODUCT(R46,AA7:AA45),0)</f>
        <v>#DIV/0!</v>
      </c>
      <c r="S47" s="3905"/>
      <c r="T47" s="3905" t="e">
        <f>ROUND(PRODUCT(T46,AB7:AB45),0)</f>
        <v>#DIV/0!</v>
      </c>
      <c r="U47" s="3905"/>
      <c r="V47" s="3905" t="e">
        <f>ROUND(PRODUCT(V46,AC7:AC45),0)</f>
        <v>#DIV/0!</v>
      </c>
      <c r="W47" s="3905"/>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3"/>
      <c r="M48" s="2724"/>
      <c r="N48" s="2724"/>
      <c r="O48" s="2724"/>
      <c r="P48" s="3820" t="str">
        <f>A48</f>
        <v>估价对象XX用房的比较价值（楼面单价，元/平方米）</v>
      </c>
      <c r="Q48" s="3821"/>
      <c r="R48" s="3906" t="e">
        <f>ROUND(IF(D47="简单平均",AVERAGE(R47:W47),R47*F47+T47*H47+V47*J47),0)</f>
        <v>#DIV/0!</v>
      </c>
      <c r="S48" s="3906"/>
      <c r="T48" s="3906"/>
      <c r="U48" s="3906"/>
      <c r="V48" s="3906"/>
      <c r="W48" s="390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90" t="s">
        <v>1885</v>
      </c>
      <c r="G55" s="3838" t="s">
        <v>1886</v>
      </c>
      <c r="H55" s="3907"/>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93.38</v>
      </c>
      <c r="F56" s="886" t="e">
        <f t="shared" ref="F56:F64" si="15">ROUND(B56*E56/10000,0)</f>
        <v>#DIV/0!</v>
      </c>
      <c r="G56" s="3834"/>
      <c r="H56" s="382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1902</v>
      </c>
      <c r="B65" s="644" t="s">
        <v>22</v>
      </c>
      <c r="C65" s="644" t="s">
        <v>23</v>
      </c>
      <c r="D65" s="644" t="s">
        <v>392</v>
      </c>
      <c r="E65" s="644">
        <f>IF(B46="楼面地价",SUM(E56:E64),'数据-汇总表'!D3)</f>
        <v>93.38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8" t="s">
        <v>1903</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1768</v>
      </c>
      <c r="B4" s="356"/>
      <c r="C4" s="3838" t="s">
        <v>1769</v>
      </c>
      <c r="D4" s="3839"/>
      <c r="E4" s="3840" t="s">
        <v>1770</v>
      </c>
      <c r="F4" s="3841"/>
      <c r="G4" s="3838" t="s">
        <v>1771</v>
      </c>
      <c r="H4" s="3839"/>
      <c r="I4" s="3838" t="s">
        <v>1772</v>
      </c>
      <c r="J4" s="3839"/>
      <c r="K4" s="559" t="s">
        <v>1773</v>
      </c>
      <c r="L4" s="2714"/>
      <c r="M4" s="2715"/>
      <c r="N4" s="2715"/>
      <c r="O4" s="2715"/>
      <c r="P4" s="3842" t="s">
        <v>1774</v>
      </c>
      <c r="Q4" s="3843"/>
      <c r="R4" s="3848" t="s">
        <v>1770</v>
      </c>
      <c r="S4" s="3849"/>
      <c r="T4" s="3848" t="s">
        <v>1771</v>
      </c>
      <c r="U4" s="3849"/>
      <c r="V4" s="3854" t="s">
        <v>1772</v>
      </c>
      <c r="W4" s="3854"/>
      <c r="X4" s="1355"/>
      <c r="Y4" s="3848" t="s">
        <v>1774</v>
      </c>
      <c r="Z4" s="3849"/>
      <c r="AA4" s="3835" t="s">
        <v>1770</v>
      </c>
      <c r="AB4" s="3836" t="s">
        <v>1771</v>
      </c>
      <c r="AC4" s="3835" t="s">
        <v>1772</v>
      </c>
    </row>
    <row r="5" spans="1:29">
      <c r="A5" s="358"/>
      <c r="B5" s="359"/>
      <c r="C5" s="3857" t="s">
        <v>1672</v>
      </c>
      <c r="D5" s="3858"/>
      <c r="E5" s="3865" t="s">
        <v>1673</v>
      </c>
      <c r="F5" s="3866"/>
      <c r="G5" s="3857" t="s">
        <v>1674</v>
      </c>
      <c r="H5" s="3858"/>
      <c r="I5" s="3857" t="s">
        <v>1675</v>
      </c>
      <c r="J5" s="3858"/>
      <c r="K5" s="559"/>
      <c r="L5" s="2714"/>
      <c r="M5" s="2715"/>
      <c r="N5" s="2715"/>
      <c r="O5" s="2715"/>
      <c r="P5" s="3844"/>
      <c r="Q5" s="3845"/>
      <c r="R5" s="3850"/>
      <c r="S5" s="3851"/>
      <c r="T5" s="3850"/>
      <c r="U5" s="3851"/>
      <c r="V5" s="3854"/>
      <c r="W5" s="3854"/>
      <c r="X5" s="1355"/>
      <c r="Y5" s="3850"/>
      <c r="Z5" s="3851"/>
      <c r="AA5" s="3836"/>
      <c r="AB5" s="3836"/>
      <c r="AC5" s="3836"/>
    </row>
    <row r="6" spans="1:29" ht="15" thickBot="1">
      <c r="A6" s="360"/>
      <c r="B6" s="361"/>
      <c r="C6" s="3908" t="s">
        <v>1918</v>
      </c>
      <c r="D6" s="3909"/>
      <c r="E6" s="3910" t="s">
        <v>1918</v>
      </c>
      <c r="F6" s="3911"/>
      <c r="G6" s="3908" t="s">
        <v>1918</v>
      </c>
      <c r="H6" s="3909"/>
      <c r="I6" s="3908" t="s">
        <v>1918</v>
      </c>
      <c r="J6" s="3909"/>
      <c r="K6" s="559" t="s">
        <v>1677</v>
      </c>
      <c r="L6" s="2714"/>
      <c r="M6" s="2715"/>
      <c r="N6" s="2715"/>
      <c r="O6" s="2715"/>
      <c r="P6" s="3846"/>
      <c r="Q6" s="3847"/>
      <c r="R6" s="3850"/>
      <c r="S6" s="3851"/>
      <c r="T6" s="3852"/>
      <c r="U6" s="3853"/>
      <c r="V6" s="3854"/>
      <c r="W6" s="3854"/>
      <c r="X6" s="1355"/>
      <c r="Y6" s="3852"/>
      <c r="Z6" s="3853"/>
      <c r="AA6" s="3837"/>
      <c r="AB6" s="3837"/>
      <c r="AC6" s="3837"/>
    </row>
    <row r="7" spans="1:29" s="108" customFormat="1" ht="15" thickBot="1">
      <c r="A7" s="362" t="s">
        <v>1678</v>
      </c>
      <c r="B7" s="363"/>
      <c r="C7" s="364">
        <f>'数据-取费表'!B2</f>
        <v>45533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859" t="s">
        <v>1679</v>
      </c>
      <c r="Q7" s="3861"/>
      <c r="R7" s="701" t="s">
        <v>14</v>
      </c>
      <c r="S7" s="702">
        <f t="shared" ref="S7:S15" si="0">F7</f>
        <v>0</v>
      </c>
      <c r="T7" s="701" t="s">
        <v>14</v>
      </c>
      <c r="U7" s="702">
        <f t="shared" ref="U7:U15" si="1">H7</f>
        <v>0</v>
      </c>
      <c r="V7" s="701" t="s">
        <v>14</v>
      </c>
      <c r="W7" s="702">
        <f t="shared" ref="W7:W15" si="2">J7</f>
        <v>0</v>
      </c>
      <c r="X7" s="703"/>
      <c r="Y7" s="3859" t="s">
        <v>1679</v>
      </c>
      <c r="Z7" s="3860"/>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859" t="s">
        <v>1682</v>
      </c>
      <c r="Q8" s="3860"/>
      <c r="R8" s="701" t="s">
        <v>14</v>
      </c>
      <c r="S8" s="702">
        <f t="shared" si="0"/>
        <v>0</v>
      </c>
      <c r="T8" s="701" t="s">
        <v>14</v>
      </c>
      <c r="U8" s="702">
        <f t="shared" si="1"/>
        <v>0</v>
      </c>
      <c r="V8" s="701" t="s">
        <v>14</v>
      </c>
      <c r="W8" s="702">
        <f t="shared" si="2"/>
        <v>0</v>
      </c>
      <c r="X8" s="703"/>
      <c r="Y8" s="3859" t="s">
        <v>1682</v>
      </c>
      <c r="Z8" s="3860"/>
      <c r="AA8" s="704" t="e">
        <f t="shared" ref="AA8:AA40" si="3">D8/F8</f>
        <v>#DIV/0!</v>
      </c>
      <c r="AB8" s="704" t="e">
        <f t="shared" ref="AB8:AB40" si="4">D8/H8</f>
        <v>#DIV/0!</v>
      </c>
      <c r="AC8" s="704" t="e">
        <f t="shared" ref="AC8:AC40" si="5">D8/J8</f>
        <v>#DIV/0!</v>
      </c>
    </row>
    <row r="9" spans="1:29" s="108" customFormat="1" ht="14.4">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823" t="s">
        <v>1685</v>
      </c>
      <c r="Q9" s="1343" t="str">
        <f t="shared" ref="Q9:Q15" si="6">B9</f>
        <v>用途</v>
      </c>
      <c r="R9" s="701" t="s">
        <v>14</v>
      </c>
      <c r="S9" s="702">
        <f t="shared" si="0"/>
        <v>100</v>
      </c>
      <c r="T9" s="701" t="s">
        <v>14</v>
      </c>
      <c r="U9" s="702">
        <f t="shared" si="1"/>
        <v>100</v>
      </c>
      <c r="V9" s="701" t="s">
        <v>14</v>
      </c>
      <c r="W9" s="702">
        <f t="shared" si="2"/>
        <v>100</v>
      </c>
      <c r="X9" s="703"/>
      <c r="Y9" s="3717"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113</v>
      </c>
      <c r="G10" s="383"/>
      <c r="H10" s="127">
        <f>ROUND(100/'数据-取费表'!G16,0)</f>
        <v>113</v>
      </c>
      <c r="I10" s="383"/>
      <c r="J10" s="127">
        <f>ROUND(100/'数据-取费表'!G16,0)</f>
        <v>113</v>
      </c>
      <c r="K10" s="620"/>
      <c r="L10" s="2718"/>
      <c r="M10" s="2719"/>
      <c r="N10" s="2719"/>
      <c r="O10" s="2772"/>
      <c r="P10" s="3823"/>
      <c r="Q10" s="1343" t="str">
        <f t="shared" si="6"/>
        <v>土地使用年限（年）</v>
      </c>
      <c r="R10" s="701" t="s">
        <v>14</v>
      </c>
      <c r="S10" s="702">
        <f t="shared" si="0"/>
        <v>113</v>
      </c>
      <c r="T10" s="701" t="s">
        <v>14</v>
      </c>
      <c r="U10" s="702">
        <f t="shared" si="1"/>
        <v>113</v>
      </c>
      <c r="V10" s="701" t="s">
        <v>14</v>
      </c>
      <c r="W10" s="702">
        <f t="shared" si="2"/>
        <v>113</v>
      </c>
      <c r="X10" s="703"/>
      <c r="Y10" s="3717"/>
      <c r="Z10" s="52" t="str">
        <f t="shared" si="7"/>
        <v>土地使用年限（年）</v>
      </c>
      <c r="AA10" s="704">
        <f t="shared" si="3"/>
        <v>0.88495575221238942</v>
      </c>
      <c r="AB10" s="704">
        <f t="shared" si="4"/>
        <v>0.88495575221238942</v>
      </c>
      <c r="AC10" s="704">
        <f t="shared" si="5"/>
        <v>0.88495575221238942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823"/>
      <c r="Q11" s="1343" t="str">
        <f t="shared" si="6"/>
        <v>容积率</v>
      </c>
      <c r="R11" s="701" t="s">
        <v>14</v>
      </c>
      <c r="S11" s="702" t="e">
        <f t="shared" si="0"/>
        <v>#N/A</v>
      </c>
      <c r="T11" s="701" t="s">
        <v>14</v>
      </c>
      <c r="U11" s="702" t="e">
        <f t="shared" si="1"/>
        <v>#N/A</v>
      </c>
      <c r="V11" s="701" t="s">
        <v>14</v>
      </c>
      <c r="W11" s="702" t="e">
        <f t="shared" si="2"/>
        <v>#N/A</v>
      </c>
      <c r="X11" s="703"/>
      <c r="Y11" s="37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823"/>
      <c r="Q12" s="1343">
        <f t="shared" si="6"/>
        <v>111</v>
      </c>
      <c r="R12" s="701" t="s">
        <v>14</v>
      </c>
      <c r="S12" s="702">
        <f t="shared" si="0"/>
        <v>100</v>
      </c>
      <c r="T12" s="701" t="s">
        <v>14</v>
      </c>
      <c r="U12" s="702">
        <f t="shared" si="1"/>
        <v>100</v>
      </c>
      <c r="V12" s="701" t="s">
        <v>14</v>
      </c>
      <c r="W12" s="702">
        <f t="shared" si="2"/>
        <v>100</v>
      </c>
      <c r="X12" s="703"/>
      <c r="Y12" s="37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823"/>
      <c r="Q13" s="1343">
        <f t="shared" si="6"/>
        <v>111</v>
      </c>
      <c r="R13" s="701" t="s">
        <v>14</v>
      </c>
      <c r="S13" s="702">
        <f t="shared" si="0"/>
        <v>100</v>
      </c>
      <c r="T13" s="701" t="s">
        <v>14</v>
      </c>
      <c r="U13" s="702">
        <f t="shared" si="1"/>
        <v>100</v>
      </c>
      <c r="V13" s="701" t="s">
        <v>14</v>
      </c>
      <c r="W13" s="702">
        <f t="shared" si="2"/>
        <v>100</v>
      </c>
      <c r="X13" s="703"/>
      <c r="Y13" s="371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823"/>
      <c r="Q14" s="1343">
        <f t="shared" si="6"/>
        <v>111</v>
      </c>
      <c r="R14" s="701" t="s">
        <v>14</v>
      </c>
      <c r="S14" s="702">
        <f t="shared" si="0"/>
        <v>100</v>
      </c>
      <c r="T14" s="701" t="s">
        <v>14</v>
      </c>
      <c r="U14" s="702">
        <f t="shared" si="1"/>
        <v>100</v>
      </c>
      <c r="V14" s="701" t="s">
        <v>14</v>
      </c>
      <c r="W14" s="702">
        <f t="shared" si="2"/>
        <v>100</v>
      </c>
      <c r="X14" s="703"/>
      <c r="Y14" s="3717"/>
      <c r="Z14" s="52">
        <f t="shared" si="7"/>
        <v>111</v>
      </c>
      <c r="AA14" s="704">
        <f t="shared" si="3"/>
        <v>1</v>
      </c>
      <c r="AB14" s="704">
        <f t="shared" si="4"/>
        <v>1</v>
      </c>
      <c r="AC14" s="704">
        <f t="shared" si="5"/>
        <v>1</v>
      </c>
    </row>
    <row r="15" spans="1:29" ht="69">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825" t="s">
        <v>1690</v>
      </c>
      <c r="Q15" s="1352" t="str">
        <f t="shared" si="6"/>
        <v>产业集聚程度</v>
      </c>
      <c r="R15" s="705" t="s">
        <v>14</v>
      </c>
      <c r="S15" s="706">
        <f t="shared" si="0"/>
        <v>100</v>
      </c>
      <c r="T15" s="705" t="s">
        <v>14</v>
      </c>
      <c r="U15" s="706">
        <f t="shared" si="1"/>
        <v>100</v>
      </c>
      <c r="V15" s="705" t="s">
        <v>14</v>
      </c>
      <c r="W15" s="706">
        <f t="shared" si="2"/>
        <v>100</v>
      </c>
      <c r="X15" s="1355"/>
      <c r="Y15" s="382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826"/>
      <c r="Q16" s="1352"/>
      <c r="R16" s="705"/>
      <c r="S16" s="706"/>
      <c r="T16" s="705"/>
      <c r="U16" s="706"/>
      <c r="V16" s="705"/>
      <c r="W16" s="706"/>
      <c r="X16" s="1355"/>
      <c r="Y16" s="382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826"/>
      <c r="Q17" s="1352" t="str">
        <f>B17</f>
        <v>交通便捷度</v>
      </c>
      <c r="R17" s="705" t="s">
        <v>14</v>
      </c>
      <c r="S17" s="706">
        <f>F17</f>
        <v>100</v>
      </c>
      <c r="T17" s="705" t="s">
        <v>14</v>
      </c>
      <c r="U17" s="706">
        <f>H17</f>
        <v>100</v>
      </c>
      <c r="V17" s="705" t="s">
        <v>14</v>
      </c>
      <c r="W17" s="706">
        <f>J17</f>
        <v>100</v>
      </c>
      <c r="X17" s="1355"/>
      <c r="Y17" s="38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826"/>
      <c r="Q18" s="1352"/>
      <c r="R18" s="705"/>
      <c r="S18" s="706"/>
      <c r="T18" s="705"/>
      <c r="U18" s="706"/>
      <c r="V18" s="705"/>
      <c r="W18" s="706"/>
      <c r="X18" s="1355"/>
      <c r="Y18" s="382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826"/>
      <c r="Q19" s="1352" t="str">
        <f t="shared" ref="Q19:Q33" si="8">B19</f>
        <v>区域土地利用方向</v>
      </c>
      <c r="R19" s="705" t="s">
        <v>14</v>
      </c>
      <c r="S19" s="706">
        <f>F19</f>
        <v>100</v>
      </c>
      <c r="T19" s="705" t="s">
        <v>14</v>
      </c>
      <c r="U19" s="706">
        <f>H19</f>
        <v>100</v>
      </c>
      <c r="V19" s="705" t="s">
        <v>14</v>
      </c>
      <c r="W19" s="706">
        <f>J19</f>
        <v>100</v>
      </c>
      <c r="X19" s="1355"/>
      <c r="Y19" s="38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826"/>
      <c r="Q20" s="1352"/>
      <c r="R20" s="705"/>
      <c r="S20" s="706"/>
      <c r="T20" s="705"/>
      <c r="U20" s="706"/>
      <c r="V20" s="705"/>
      <c r="W20" s="706"/>
      <c r="X20" s="1355"/>
      <c r="Y20" s="382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826"/>
      <c r="Q21" s="1352" t="str">
        <f t="shared" si="8"/>
        <v>环境状况</v>
      </c>
      <c r="R21" s="705" t="s">
        <v>14</v>
      </c>
      <c r="S21" s="706">
        <f>F21</f>
        <v>100</v>
      </c>
      <c r="T21" s="705" t="s">
        <v>14</v>
      </c>
      <c r="U21" s="706">
        <f>H21</f>
        <v>100</v>
      </c>
      <c r="V21" s="705" t="s">
        <v>14</v>
      </c>
      <c r="W21" s="706">
        <f>J21</f>
        <v>100</v>
      </c>
      <c r="X21" s="1355"/>
      <c r="Y21" s="38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826"/>
      <c r="Q22" s="1352"/>
      <c r="R22" s="705"/>
      <c r="S22" s="706"/>
      <c r="T22" s="705"/>
      <c r="U22" s="706"/>
      <c r="V22" s="705"/>
      <c r="W22" s="706"/>
      <c r="X22" s="1355"/>
      <c r="Y22" s="382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826"/>
      <c r="Q23" s="1343" t="str">
        <f t="shared" si="8"/>
        <v>公共配套设施</v>
      </c>
      <c r="R23" s="701" t="s">
        <v>14</v>
      </c>
      <c r="S23" s="702">
        <f>F23</f>
        <v>100</v>
      </c>
      <c r="T23" s="701" t="s">
        <v>14</v>
      </c>
      <c r="U23" s="702">
        <f>H23</f>
        <v>100</v>
      </c>
      <c r="V23" s="701" t="s">
        <v>14</v>
      </c>
      <c r="W23" s="702">
        <f>J23</f>
        <v>100</v>
      </c>
      <c r="X23" s="703"/>
      <c r="Y23" s="3826"/>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826"/>
      <c r="Q24" s="1343"/>
      <c r="R24" s="701"/>
      <c r="S24" s="702"/>
      <c r="T24" s="701"/>
      <c r="U24" s="702"/>
      <c r="V24" s="701"/>
      <c r="W24" s="702"/>
      <c r="X24" s="703"/>
      <c r="Y24" s="382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826"/>
      <c r="Q25" s="1343" t="str">
        <f t="shared" ref="Q25" si="9">B25</f>
        <v>基础设施水平</v>
      </c>
      <c r="R25" s="701" t="s">
        <v>14</v>
      </c>
      <c r="S25" s="702">
        <f>F25</f>
        <v>100</v>
      </c>
      <c r="T25" s="701" t="s">
        <v>14</v>
      </c>
      <c r="U25" s="702">
        <f>H25</f>
        <v>100</v>
      </c>
      <c r="V25" s="701" t="s">
        <v>14</v>
      </c>
      <c r="W25" s="702">
        <f>J25</f>
        <v>100</v>
      </c>
      <c r="X25" s="703"/>
      <c r="Y25" s="3826"/>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826"/>
      <c r="Q26" s="1343"/>
      <c r="R26" s="701"/>
      <c r="S26" s="702"/>
      <c r="T26" s="701"/>
      <c r="U26" s="702"/>
      <c r="V26" s="701"/>
      <c r="W26" s="702"/>
      <c r="X26" s="703"/>
      <c r="Y26" s="382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8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6"/>
      <c r="Z27" s="1356" t="str">
        <f t="shared" ref="Z27:Z40" si="13">Q27</f>
        <v>临街状况</v>
      </c>
      <c r="AA27" s="1353">
        <f t="shared" si="3"/>
        <v>1</v>
      </c>
      <c r="AB27" s="1353">
        <f t="shared" si="4"/>
        <v>1</v>
      </c>
      <c r="AC27" s="1353">
        <f t="shared" si="5"/>
        <v>1</v>
      </c>
    </row>
    <row r="28" spans="1:29" ht="28.8">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826"/>
      <c r="Q28" s="1352" t="str">
        <f t="shared" si="8"/>
        <v>毗邻道路的类型与等级</v>
      </c>
      <c r="R28" s="705" t="s">
        <v>14</v>
      </c>
      <c r="S28" s="706">
        <f t="shared" si="10"/>
        <v>100</v>
      </c>
      <c r="T28" s="705" t="s">
        <v>14</v>
      </c>
      <c r="U28" s="706">
        <f t="shared" si="11"/>
        <v>100</v>
      </c>
      <c r="V28" s="705" t="s">
        <v>14</v>
      </c>
      <c r="W28" s="706">
        <f t="shared" si="12"/>
        <v>100</v>
      </c>
      <c r="X28" s="1355"/>
      <c r="Y28" s="38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826"/>
      <c r="Q29" s="1352"/>
      <c r="R29" s="705"/>
      <c r="S29" s="706"/>
      <c r="T29" s="705"/>
      <c r="U29" s="706"/>
      <c r="V29" s="705"/>
      <c r="W29" s="706"/>
      <c r="X29" s="1355"/>
      <c r="Y29" s="382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826"/>
      <c r="Q30" s="1352" t="str">
        <f t="shared" si="8"/>
        <v>土地级别</v>
      </c>
      <c r="R30" s="705" t="s">
        <v>14</v>
      </c>
      <c r="S30" s="706">
        <f t="shared" si="10"/>
        <v>100</v>
      </c>
      <c r="T30" s="705" t="s">
        <v>14</v>
      </c>
      <c r="U30" s="706">
        <f t="shared" si="11"/>
        <v>100</v>
      </c>
      <c r="V30" s="705" t="s">
        <v>14</v>
      </c>
      <c r="W30" s="706">
        <f t="shared" si="12"/>
        <v>100</v>
      </c>
      <c r="X30" s="1355"/>
      <c r="Y30" s="3826"/>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826"/>
      <c r="Q31" s="1352">
        <f t="shared" si="8"/>
        <v>111</v>
      </c>
      <c r="R31" s="705" t="s">
        <v>14</v>
      </c>
      <c r="S31" s="706">
        <f t="shared" si="10"/>
        <v>100</v>
      </c>
      <c r="T31" s="705" t="s">
        <v>14</v>
      </c>
      <c r="U31" s="706">
        <f t="shared" si="11"/>
        <v>100</v>
      </c>
      <c r="V31" s="705" t="s">
        <v>14</v>
      </c>
      <c r="W31" s="706">
        <f t="shared" si="12"/>
        <v>100</v>
      </c>
      <c r="X31" s="1355"/>
      <c r="Y31" s="3826"/>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903" t="s">
        <v>1695</v>
      </c>
      <c r="Q32" s="1352">
        <f t="shared" si="8"/>
        <v>111</v>
      </c>
      <c r="R32" s="705" t="s">
        <v>14</v>
      </c>
      <c r="S32" s="706">
        <f t="shared" si="10"/>
        <v>100</v>
      </c>
      <c r="T32" s="705" t="s">
        <v>14</v>
      </c>
      <c r="U32" s="706">
        <f t="shared" si="11"/>
        <v>100</v>
      </c>
      <c r="V32" s="705" t="s">
        <v>14</v>
      </c>
      <c r="W32" s="706">
        <f t="shared" si="12"/>
        <v>100</v>
      </c>
      <c r="X32" s="1355"/>
      <c r="Y32" s="3830" t="s">
        <v>1695</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830"/>
      <c r="Q33" s="1352">
        <f t="shared" si="8"/>
        <v>111</v>
      </c>
      <c r="R33" s="708" t="s">
        <v>14</v>
      </c>
      <c r="S33" s="709">
        <f t="shared" si="10"/>
        <v>100</v>
      </c>
      <c r="T33" s="708" t="s">
        <v>14</v>
      </c>
      <c r="U33" s="709">
        <f t="shared" si="11"/>
        <v>100</v>
      </c>
      <c r="V33" s="708" t="s">
        <v>14</v>
      </c>
      <c r="W33" s="709">
        <f t="shared" si="12"/>
        <v>100</v>
      </c>
      <c r="X33" s="710"/>
      <c r="Y33" s="383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830"/>
      <c r="Q34" s="1352" t="str">
        <f>B34</f>
        <v>宗地面积</v>
      </c>
      <c r="R34" s="705" t="s">
        <v>14</v>
      </c>
      <c r="S34" s="706" t="e">
        <f t="shared" si="10"/>
        <v>#N/A</v>
      </c>
      <c r="T34" s="705" t="s">
        <v>14</v>
      </c>
      <c r="U34" s="706" t="e">
        <f t="shared" si="11"/>
        <v>#N/A</v>
      </c>
      <c r="V34" s="705" t="s">
        <v>14</v>
      </c>
      <c r="W34" s="706" t="e">
        <f t="shared" si="12"/>
        <v>#N/A</v>
      </c>
      <c r="X34" s="1355"/>
      <c r="Y34" s="383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830"/>
      <c r="Q35" s="1352" t="str">
        <f t="shared" ref="Q35:Q40" si="14">B35</f>
        <v>宗地形状</v>
      </c>
      <c r="R35" s="705" t="s">
        <v>14</v>
      </c>
      <c r="S35" s="706">
        <f t="shared" si="10"/>
        <v>100</v>
      </c>
      <c r="T35" s="705" t="s">
        <v>14</v>
      </c>
      <c r="U35" s="706">
        <f t="shared" si="11"/>
        <v>100</v>
      </c>
      <c r="V35" s="705" t="s">
        <v>14</v>
      </c>
      <c r="W35" s="706">
        <f t="shared" si="12"/>
        <v>100</v>
      </c>
      <c r="X35" s="1355"/>
      <c r="Y35" s="3830"/>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830"/>
      <c r="Q36" s="1352" t="str">
        <f t="shared" si="14"/>
        <v>宗地开发程度</v>
      </c>
      <c r="R36" s="701" t="s">
        <v>14</v>
      </c>
      <c r="S36" s="702">
        <f t="shared" si="10"/>
        <v>100</v>
      </c>
      <c r="T36" s="701" t="s">
        <v>14</v>
      </c>
      <c r="U36" s="702">
        <f t="shared" si="11"/>
        <v>100</v>
      </c>
      <c r="V36" s="701" t="s">
        <v>14</v>
      </c>
      <c r="W36" s="702">
        <f t="shared" si="12"/>
        <v>100</v>
      </c>
      <c r="X36" s="703"/>
      <c r="Y36" s="383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830" t="s">
        <v>1695</v>
      </c>
      <c r="Q37" s="1352" t="str">
        <f t="shared" si="14"/>
        <v>工程地质条件</v>
      </c>
      <c r="R37" s="705" t="s">
        <v>14</v>
      </c>
      <c r="S37" s="706">
        <f t="shared" si="10"/>
        <v>100</v>
      </c>
      <c r="T37" s="705" t="s">
        <v>14</v>
      </c>
      <c r="U37" s="706">
        <f t="shared" si="11"/>
        <v>100</v>
      </c>
      <c r="V37" s="705" t="s">
        <v>14</v>
      </c>
      <c r="W37" s="706">
        <f t="shared" si="12"/>
        <v>100</v>
      </c>
      <c r="X37" s="1355"/>
      <c r="Y37" s="383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830"/>
      <c r="Q38" s="1352">
        <f t="shared" si="14"/>
        <v>111</v>
      </c>
      <c r="R38" s="705" t="s">
        <v>14</v>
      </c>
      <c r="S38" s="706">
        <f t="shared" si="10"/>
        <v>100</v>
      </c>
      <c r="T38" s="705" t="s">
        <v>14</v>
      </c>
      <c r="U38" s="706">
        <f t="shared" si="11"/>
        <v>100</v>
      </c>
      <c r="V38" s="705" t="s">
        <v>14</v>
      </c>
      <c r="W38" s="706">
        <f t="shared" si="12"/>
        <v>100</v>
      </c>
      <c r="X38" s="1355"/>
      <c r="Y38" s="38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830"/>
      <c r="Q39" s="1352">
        <f t="shared" si="14"/>
        <v>111</v>
      </c>
      <c r="R39" s="705" t="s">
        <v>14</v>
      </c>
      <c r="S39" s="706">
        <f t="shared" si="10"/>
        <v>100</v>
      </c>
      <c r="T39" s="705" t="s">
        <v>14</v>
      </c>
      <c r="U39" s="706">
        <f t="shared" si="11"/>
        <v>100</v>
      </c>
      <c r="V39" s="705" t="s">
        <v>14</v>
      </c>
      <c r="W39" s="706">
        <f t="shared" si="12"/>
        <v>100</v>
      </c>
      <c r="X39" s="1355"/>
      <c r="Y39" s="3830"/>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830"/>
      <c r="Q40" s="1352">
        <f t="shared" si="14"/>
        <v>111</v>
      </c>
      <c r="R40" s="708" t="s">
        <v>14</v>
      </c>
      <c r="S40" s="709">
        <f t="shared" si="10"/>
        <v>100</v>
      </c>
      <c r="T40" s="708" t="s">
        <v>14</v>
      </c>
      <c r="U40" s="709">
        <f t="shared" si="11"/>
        <v>100</v>
      </c>
      <c r="V40" s="708" t="s">
        <v>14</v>
      </c>
      <c r="W40" s="709">
        <f t="shared" si="12"/>
        <v>100</v>
      </c>
      <c r="X40" s="710"/>
      <c r="Y40" s="3830"/>
      <c r="Z40" s="711">
        <f t="shared" si="13"/>
        <v>111</v>
      </c>
      <c r="AA40" s="1353">
        <f t="shared" si="3"/>
        <v>1</v>
      </c>
      <c r="AB40" s="1353">
        <f t="shared" si="4"/>
        <v>1</v>
      </c>
      <c r="AC40" s="1353">
        <f t="shared" si="5"/>
        <v>1</v>
      </c>
    </row>
    <row r="41" spans="1:31" ht="14.4">
      <c r="A41" s="430" t="s">
        <v>1843</v>
      </c>
      <c r="B41" s="1981" t="s">
        <v>1921</v>
      </c>
      <c r="C41" s="630" t="s">
        <v>0</v>
      </c>
      <c r="D41" s="432"/>
      <c r="E41" s="433"/>
      <c r="F41" s="434"/>
      <c r="G41" s="435"/>
      <c r="H41" s="436"/>
      <c r="I41" s="433"/>
      <c r="J41" s="436"/>
      <c r="K41" s="714"/>
      <c r="L41" s="2723"/>
      <c r="M41" s="2715"/>
      <c r="N41" s="2715"/>
      <c r="O41" s="2724"/>
      <c r="P41" s="3823" t="str">
        <f>A41</f>
        <v>成交单价</v>
      </c>
      <c r="Q41" s="3823"/>
      <c r="R41" s="3854">
        <f>E41</f>
        <v>0</v>
      </c>
      <c r="S41" s="3854"/>
      <c r="T41" s="3854">
        <f>G41</f>
        <v>0</v>
      </c>
      <c r="U41" s="3854"/>
      <c r="V41" s="3854">
        <f>I41</f>
        <v>0</v>
      </c>
      <c r="W41" s="3854"/>
      <c r="X41" s="690"/>
      <c r="Y41" s="712"/>
      <c r="Z41" s="690"/>
      <c r="AA41" s="690"/>
      <c r="AB41" s="690"/>
      <c r="AC41" s="690"/>
    </row>
    <row r="42" spans="1:31" ht="15" thickBot="1">
      <c r="A42" s="437" t="s">
        <v>1792</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823" t="str">
        <f>A42</f>
        <v>比较价值（元/平方米）</v>
      </c>
      <c r="Q42" s="3823"/>
      <c r="R42" s="3905" t="e">
        <f>ROUND(PRODUCT(R41,AA7:AA40),0)</f>
        <v>#DIV/0!</v>
      </c>
      <c r="S42" s="3905"/>
      <c r="T42" s="3905" t="e">
        <f>ROUND(PRODUCT(T41,AB7:AB40),0)</f>
        <v>#DIV/0!</v>
      </c>
      <c r="U42" s="3905"/>
      <c r="V42" s="3905" t="e">
        <f>ROUND(PRODUCT(V41,AC7:AC40),0)</f>
        <v>#DIV/0!</v>
      </c>
      <c r="W42" s="3905"/>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3"/>
      <c r="M43" s="2715"/>
      <c r="N43" s="2715"/>
      <c r="O43" s="2724"/>
      <c r="P43" s="3820" t="str">
        <f>A43</f>
        <v>估价对象XX用房的比较价值（楼面单价，元/平方米）</v>
      </c>
      <c r="Q43" s="3821"/>
      <c r="R43" s="3906" t="e">
        <f>ROUND(IF(D42="简单平均",AVERAGE(R42:W42),R42*F42+T42*H42+V42*J42),0)</f>
        <v>#DIV/0!</v>
      </c>
      <c r="S43" s="3906"/>
      <c r="T43" s="3906"/>
      <c r="U43" s="3906"/>
      <c r="V43" s="3906"/>
      <c r="W43" s="390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1880</v>
      </c>
      <c r="B50" s="633" t="s">
        <v>1881</v>
      </c>
      <c r="C50" s="1982" t="s">
        <v>1882</v>
      </c>
      <c r="D50" s="1983" t="s">
        <v>1883</v>
      </c>
      <c r="E50" s="634" t="s">
        <v>1884</v>
      </c>
      <c r="F50" s="635" t="s">
        <v>1885</v>
      </c>
      <c r="G50" s="3838" t="s">
        <v>1886</v>
      </c>
      <c r="H50" s="3907"/>
      <c r="I50" s="1356" t="s">
        <v>1922</v>
      </c>
      <c r="J50" s="1356">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93.38</v>
      </c>
      <c r="F51" s="639" t="e">
        <f t="shared" ref="F51:F60" si="15">ROUND(B51*E51/10000,0)</f>
        <v>#DIV/0!</v>
      </c>
      <c r="G51" s="3834"/>
      <c r="H51" s="382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1903</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915" t="s">
        <v>2083</v>
      </c>
      <c r="D1" s="3916"/>
      <c r="E1" s="3916"/>
      <c r="F1" s="3916"/>
      <c r="G1" s="3916"/>
      <c r="H1" s="3916"/>
      <c r="I1" s="3916"/>
      <c r="J1" s="3916"/>
      <c r="K1" s="3916"/>
      <c r="L1" s="3916"/>
      <c r="M1" s="3916"/>
      <c r="N1" s="3916"/>
      <c r="O1" s="3916"/>
      <c r="P1" s="3916"/>
      <c r="Q1" s="3916"/>
      <c r="R1" s="3916"/>
      <c r="S1" s="391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912" t="s">
        <v>27</v>
      </c>
      <c r="D22" s="3913"/>
      <c r="E22" s="3913"/>
      <c r="F22" s="3913"/>
      <c r="G22" s="3913"/>
      <c r="H22" s="3913"/>
      <c r="I22" s="3913"/>
      <c r="J22" s="3913"/>
      <c r="K22" s="3913"/>
      <c r="L22" s="3913"/>
      <c r="M22" s="3913"/>
      <c r="N22" s="3913"/>
      <c r="O22" s="3913"/>
      <c r="P22" s="3913"/>
      <c r="Q22" s="391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6"/>
      <c r="C1" s="2146"/>
      <c r="D1" s="2146"/>
      <c r="E1" s="2146"/>
      <c r="F1" s="2792"/>
      <c r="G1" s="2792"/>
      <c r="H1" s="2792"/>
      <c r="I1" s="2792"/>
      <c r="J1" s="2792"/>
      <c r="K1" s="2792"/>
      <c r="L1" s="2792"/>
      <c r="M1" s="2792"/>
      <c r="N1" s="2792"/>
      <c r="O1" s="2792"/>
      <c r="P1" s="2792"/>
    </row>
    <row r="2" spans="1:16" ht="15.6">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6">
      <c r="A3" s="2144" t="s">
        <v>2075</v>
      </c>
      <c r="B3" s="2601" t="e">
        <f ca="1">ROUND(B2*10000/E2,0)</f>
        <v>#DIV/0!</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1925</v>
      </c>
      <c r="B1" s="197"/>
      <c r="C1" s="201" t="s">
        <v>1926</v>
      </c>
      <c r="D1" s="342">
        <f>SUM(D33:D34,D37:D42)</f>
        <v>0</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8" t="s">
        <v>1940</v>
      </c>
      <c r="D3" s="1999" t="s">
        <v>1941</v>
      </c>
      <c r="E3" s="3419"/>
      <c r="F3" s="2003"/>
      <c r="G3" s="752">
        <f>IF(F3="宗地容积率",'数据-汇总表'!I4,IF(F3="估价对象容积率",'数据-汇总表'!I6,'数据-汇总表'!I7))</f>
        <v>0</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925"/>
      <c r="B4" s="3926"/>
      <c r="C4" s="3926"/>
      <c r="D4" s="3927"/>
      <c r="E4" s="3927"/>
      <c r="F4" s="3927"/>
      <c r="G4" s="3927"/>
      <c r="H4" s="3927"/>
      <c r="I4" s="3927"/>
      <c r="J4" s="3928"/>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1946</v>
      </c>
      <c r="C5" s="753" t="e">
        <f>ROUND(IF(E2="商业",C6*C7*C17+C20,(IF(E2="住宅",C6*C13*C17+C20,IF(E2="办公",C6*C12*C17+C20,C6+C20)))),0)</f>
        <v>#DIV/0!</v>
      </c>
      <c r="D5" s="1339" t="e">
        <f>ROUND(C6*C17+C20,0)</f>
        <v>#DIV/0!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0"/>
      <c r="AD5" s="2011"/>
      <c r="AE5" s="2011"/>
      <c r="AF5" s="2011"/>
      <c r="AG5" s="2011"/>
      <c r="AH5" s="2011"/>
      <c r="AI5" s="2011"/>
      <c r="AJ5" s="2012"/>
    </row>
    <row r="6" spans="1:36" ht="15.6" thickBot="1">
      <c r="A6" s="2014" t="s">
        <v>1948</v>
      </c>
      <c r="B6" s="2015" t="s">
        <v>1949</v>
      </c>
      <c r="C6" s="754">
        <f>SUMIF(L1:L12,G2,M1:M12)</f>
        <v>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0"/>
      <c r="AD6" s="2011"/>
      <c r="AE6" s="2011"/>
      <c r="AF6" s="2011"/>
      <c r="AG6" s="2011"/>
      <c r="AH6" s="2011"/>
      <c r="AI6" s="2011"/>
      <c r="AJ6" s="2012"/>
    </row>
    <row r="7" spans="1:36" ht="24.6" thickBot="1">
      <c r="A7" s="3303" t="s">
        <v>3239</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922" t="s">
        <v>1959</v>
      </c>
      <c r="X8" s="392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924"/>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92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3244</v>
      </c>
      <c r="B13" s="2033" t="s">
        <v>1981</v>
      </c>
      <c r="C13" s="755">
        <f>ROUND(C16*D16*E16*F16*G16*H16*I16*J16,4)</f>
        <v>0</v>
      </c>
      <c r="D13" s="2034" t="s">
        <v>1982</v>
      </c>
      <c r="E13" s="2035"/>
      <c r="F13" s="2035"/>
      <c r="G13" s="2036"/>
      <c r="H13" s="2036"/>
      <c r="I13" s="2036"/>
      <c r="J13" s="2037"/>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39" t="s">
        <v>1984</v>
      </c>
      <c r="C14" s="2040" t="s">
        <v>1985</v>
      </c>
      <c r="D14" s="1350" t="s">
        <v>1986</v>
      </c>
      <c r="E14" s="27" t="s">
        <v>1987</v>
      </c>
      <c r="F14" s="3311" t="s">
        <v>3245</v>
      </c>
      <c r="G14" s="3311" t="s">
        <v>3245</v>
      </c>
      <c r="H14" s="3311" t="s">
        <v>3245</v>
      </c>
      <c r="I14" s="3311" t="s">
        <v>3245</v>
      </c>
      <c r="J14" s="3311" t="s">
        <v>3245</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3246</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6"/>
      <c r="M16" s="1996"/>
      <c r="N16" s="1996"/>
      <c r="O16" s="1996"/>
      <c r="P16" s="1996"/>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t="e">
        <f>ROUND(G18/I18,2)</f>
        <v>#DIV/0!</v>
      </c>
      <c r="F17" s="3321" t="s">
        <v>3252</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2"/>
      <c r="B18" s="3009"/>
      <c r="C18" s="3327"/>
      <c r="D18" s="3322" t="s">
        <v>3250</v>
      </c>
      <c r="E18" s="3328"/>
      <c r="F18" s="3323" t="s">
        <v>3253</v>
      </c>
      <c r="G18" s="3327">
        <f>ROUND(1-(1/(POWER(1+G24,E18))),4)</f>
        <v>0</v>
      </c>
      <c r="H18" s="3323" t="s">
        <v>3255</v>
      </c>
      <c r="I18" s="3327">
        <f>ROUND(1-(1/(POWER(1+G24,J24))),4)</f>
        <v>0</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4.4" thickBot="1">
      <c r="A19" s="3334"/>
      <c r="B19" s="3335"/>
      <c r="C19" s="3336"/>
      <c r="D19" s="3336" t="s">
        <v>3251</v>
      </c>
      <c r="E19" s="3337"/>
      <c r="F19" s="3338" t="s">
        <v>3254</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3.8">
      <c r="A20" s="3929" t="s">
        <v>3256</v>
      </c>
      <c r="B20" s="167" t="s">
        <v>1993</v>
      </c>
      <c r="C20" s="3324" t="e">
        <f>ROUND(IF(F21="与级别开发程度一致",0,(G21-E21)/C21),0)</f>
        <v>#DIV/0!</v>
      </c>
      <c r="D20" s="3340" t="s">
        <v>1997</v>
      </c>
      <c r="E20" s="3341"/>
      <c r="F20" s="3935" t="s">
        <v>1994</v>
      </c>
      <c r="G20" s="3936"/>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4.4" thickBot="1">
      <c r="A21" s="3930"/>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 thickBot="1">
      <c r="A22" s="2157" t="s">
        <v>363</v>
      </c>
      <c r="B22" s="2158" t="s">
        <v>1999</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49" t="s">
        <v>364</v>
      </c>
      <c r="B23" s="2050"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2001</v>
      </c>
      <c r="E23" s="761">
        <v>44197</v>
      </c>
      <c r="F23" s="2053" t="s">
        <v>2002</v>
      </c>
      <c r="G23" s="762">
        <f>'数据-取费表'!B2</f>
        <v>45533</v>
      </c>
      <c r="H23" s="3342" t="s">
        <v>3258</v>
      </c>
      <c r="I23" s="3343" t="str">
        <f>IF(H23="季度增幅（自定义）",SUMIF(N25:N28,E2,O25:O28),"")</f>
        <v/>
      </c>
      <c r="J23" s="3445" t="s">
        <v>3257</v>
      </c>
      <c r="K23" s="1125"/>
      <c r="L23" s="2054" t="s">
        <v>2003</v>
      </c>
      <c r="M23" s="1328">
        <f>ROUND(SUMIF(地价!B2:G2,E2,地价!B16:G16),0)</f>
        <v>0</v>
      </c>
      <c r="N23" s="2055" t="s">
        <v>2004</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2005</v>
      </c>
      <c r="C24" s="764" t="e">
        <f>ROUND(POWER(1+G24,J24-I24)*(POWER(1+G24,I24)-1)/(POWER(1+G24,J24)-1),4)</f>
        <v>#DIV/0!</v>
      </c>
      <c r="D24" s="2059" t="s">
        <v>2006</v>
      </c>
      <c r="E24" s="1335">
        <f>存贷款利率!E24/100</f>
        <v>4.3499999999999997E-2</v>
      </c>
      <c r="F24" s="2059" t="s">
        <v>1998</v>
      </c>
      <c r="G24" s="768">
        <f>SUMIF(M30:Q30,E2,M33:Q33)</f>
        <v>0</v>
      </c>
      <c r="H24" s="2059" t="s">
        <v>2007</v>
      </c>
      <c r="I24" s="769" t="e">
        <f>SUMIF('数据-取费表'!C6:C15,E2,'数据-取费表'!F6:F15)/COUNTIF('数据-取费表'!C6:C15,E2)</f>
        <v>#DIV/0!</v>
      </c>
      <c r="J24" s="770">
        <f>IF(E2="住宅",70,IF(E2="商业",40,50))</f>
        <v>50</v>
      </c>
      <c r="K24" s="1125"/>
      <c r="L24" s="2060" t="s">
        <v>2008</v>
      </c>
      <c r="M24" s="1329">
        <f>ROUND(SUMPRODUCT((地价!A4:A16=YEAR(G23)&amp;"-"&amp;ROUNDUP(MONTH(G23)/3,0))*(地价!B2:G2=E2)*(地价!B4:G16)),0)</f>
        <v>0</v>
      </c>
      <c r="N24" s="2061" t="s">
        <v>2009</v>
      </c>
      <c r="O24" s="2062" t="s">
        <v>2010</v>
      </c>
      <c r="P24" s="2063" t="s">
        <v>2011</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4" t="s">
        <v>366</v>
      </c>
      <c r="B25" s="2065" t="s">
        <v>3336</v>
      </c>
      <c r="C25" s="771">
        <f>IF(B25="容积率修正",IF(G3&lt;10,D26,J26),C27)</f>
        <v>0</v>
      </c>
      <c r="D25" s="2066"/>
      <c r="E25" s="2066"/>
      <c r="F25" s="2066"/>
      <c r="G25" s="2066"/>
      <c r="H25" s="2066"/>
      <c r="I25" s="2066"/>
      <c r="J25" s="2067"/>
      <c r="K25" s="1125"/>
      <c r="L25" s="2787"/>
      <c r="M25" s="2787"/>
      <c r="N25" s="2068"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2013</v>
      </c>
      <c r="B26" s="2069" t="s">
        <v>2014</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8"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2016</v>
      </c>
      <c r="B27" s="2070" t="s">
        <v>2017</v>
      </c>
      <c r="C27" s="841">
        <f>ROUND(IF(I3&lt;6,SUMPRODUCT((B106:B110=I3)*(C105:N105=G2)*(C106:N110)),SUMIF(C105:N105,G2,C112:N112)),4)</f>
        <v>0</v>
      </c>
      <c r="D27" s="2045"/>
      <c r="E27" s="2045"/>
      <c r="F27" s="2071"/>
      <c r="G27" s="2072"/>
      <c r="H27" s="2073"/>
      <c r="I27" s="2074"/>
      <c r="J27" s="2075"/>
      <c r="K27" s="1119"/>
      <c r="L27" s="1996"/>
      <c r="M27" s="1996"/>
      <c r="N27" s="2068"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2019</v>
      </c>
      <c r="C28" s="760">
        <f>SUMIF(A47:A101,E2,B47:B101)</f>
        <v>0</v>
      </c>
      <c r="D28" s="2051"/>
      <c r="E28" s="2076"/>
      <c r="F28" s="2076"/>
      <c r="G28" s="2076"/>
      <c r="H28" s="2076"/>
      <c r="I28" s="2076"/>
      <c r="J28" s="2077"/>
      <c r="K28" s="1125"/>
      <c r="L28" s="2787"/>
      <c r="M28" s="2787"/>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2021</v>
      </c>
      <c r="C29" s="765"/>
      <c r="D29" s="2023"/>
      <c r="E29" s="2023"/>
      <c r="F29" s="2080"/>
      <c r="G29" s="2023"/>
      <c r="H29" s="2023"/>
      <c r="I29" s="2023"/>
      <c r="J29" s="2024"/>
      <c r="K29" s="1119"/>
      <c r="L29" s="1996"/>
      <c r="M29" s="1996"/>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2023</v>
      </c>
      <c r="C30" s="2320" t="e">
        <f>IF(B25="容积率修正",E33+SUM(E37:E42),SUM(V2:V16)+SUM(E37:E42))</f>
        <v>#DIV/0!</v>
      </c>
      <c r="D30" s="2082"/>
      <c r="E30" s="2045"/>
      <c r="F30" s="2083"/>
      <c r="G30" s="2045"/>
      <c r="H30" s="2045"/>
      <c r="I30" s="2045"/>
      <c r="J30" s="2084"/>
      <c r="K30" s="1119"/>
      <c r="L30" s="3350" t="s">
        <v>1935</v>
      </c>
      <c r="M30" s="3351" t="s">
        <v>1989</v>
      </c>
      <c r="N30" s="3351" t="s">
        <v>1990</v>
      </c>
      <c r="O30" s="3351" t="s">
        <v>1991</v>
      </c>
      <c r="P30" s="3351" t="s">
        <v>1992</v>
      </c>
      <c r="Q30" s="3354"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2024</v>
      </c>
      <c r="C31" s="766" t="e">
        <f>E34+SUM(I37:I42)</f>
        <v>#DIV/0!</v>
      </c>
      <c r="D31" s="2086"/>
      <c r="E31" s="2087"/>
      <c r="F31" s="2088"/>
      <c r="G31" s="2087"/>
      <c r="H31" s="2087"/>
      <c r="I31" s="2087"/>
      <c r="J31" s="2089"/>
      <c r="K31" s="1119"/>
      <c r="L31" s="3352" t="s">
        <v>1995</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2029</v>
      </c>
      <c r="C33" s="175" t="e">
        <f>ROUND(C5*C22*C23*C24*C25*C28,0)</f>
        <v>#DIV/0!</v>
      </c>
      <c r="D33" s="2097"/>
      <c r="E33" s="773" t="e">
        <f>ROUND(C33*D33/10000,0)</f>
        <v>#DIV/0!</v>
      </c>
      <c r="F33" s="3345" t="s">
        <v>3262</v>
      </c>
      <c r="G33" s="2098"/>
      <c r="H33" s="2098"/>
      <c r="I33" s="2098"/>
      <c r="J33" s="2099"/>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2030</v>
      </c>
      <c r="C34" s="187" t="e">
        <f>ROUND(IF(E2="工业",C33*M42,IF(B25="楼层修正",SUM(V2:V16)*M41*10000/D34,C33*M41)),0)</f>
        <v>#DIV/0!</v>
      </c>
      <c r="D34" s="2102"/>
      <c r="E34" s="773" t="e">
        <f>ROUND(IF(B25="楼层修正",SUM(V2:V16)*M40,C34*D34/10000),0)</f>
        <v>#DIV/0!</v>
      </c>
      <c r="F34" s="2103" t="s">
        <v>2031</v>
      </c>
      <c r="G34" s="2104"/>
      <c r="H34" s="2104"/>
      <c r="I34" s="2104"/>
      <c r="J34" s="2105"/>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6" t="s">
        <v>3263</v>
      </c>
      <c r="D35" s="2036"/>
      <c r="E35" s="2108"/>
      <c r="F35" s="2108"/>
      <c r="G35" s="2034" t="s">
        <v>2033</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2026</v>
      </c>
      <c r="D36" s="447" t="s">
        <v>2027</v>
      </c>
      <c r="E36" s="447" t="s">
        <v>2028</v>
      </c>
      <c r="F36" s="342" t="s">
        <v>2034</v>
      </c>
      <c r="G36" s="2111" t="s">
        <v>2026</v>
      </c>
      <c r="H36" s="2111" t="s">
        <v>2027</v>
      </c>
      <c r="I36" s="2111" t="s">
        <v>2028</v>
      </c>
      <c r="J36" s="243"/>
      <c r="K36" s="3356" t="s">
        <v>3267</v>
      </c>
      <c r="L36" s="3446">
        <f ca="1">'数据-取费表'!B40</f>
        <v>4.3500000000000004E-2</v>
      </c>
      <c r="M36" s="3357">
        <f ca="1">ROUND($L$36*(1+M31),3)</f>
        <v>5.3999999999999999E-2</v>
      </c>
      <c r="N36" s="3357">
        <f ca="1">ROUND($L$36*(1+N31),3)</f>
        <v>5.1999999999999998E-2</v>
      </c>
      <c r="O36" s="3357">
        <f ca="1">ROUND($L$36*(1+O31),3)</f>
        <v>0.05</v>
      </c>
      <c r="P36" s="3357">
        <f ca="1">ROUND($L$36*(1+P31),3)</f>
        <v>4.8000000000000001E-2</v>
      </c>
      <c r="Q36" s="3357">
        <f ca="1">ROUND($L$36*(1+Q31),3)</f>
        <v>0.05</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933"/>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3268</v>
      </c>
      <c r="L37" s="3356">
        <f ca="1">L36+K38</f>
        <v>4.8500000000000001E-2</v>
      </c>
      <c r="M37" s="3357">
        <f ca="1">ROUND($L$37*(1+M31),3)</f>
        <v>6.0999999999999999E-2</v>
      </c>
      <c r="N37" s="3357">
        <f t="shared" ref="N37:Q37" ca="1" si="3">ROUND($L$37*(1+N31),3)</f>
        <v>5.8000000000000003E-2</v>
      </c>
      <c r="O37" s="3357">
        <f t="shared" ca="1" si="3"/>
        <v>5.6000000000000001E-2</v>
      </c>
      <c r="P37" s="3357">
        <f t="shared" ca="1" si="3"/>
        <v>5.2999999999999999E-2</v>
      </c>
      <c r="Q37" s="3357">
        <f t="shared" ca="1" si="3"/>
        <v>5.6000000000000001E-2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934"/>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934"/>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20"/>
      <c r="AA40" s="1120"/>
      <c r="AB40" s="1120"/>
      <c r="AC40" s="1120"/>
      <c r="AD40" s="1120"/>
      <c r="AE40" s="1120"/>
      <c r="AF40" s="1120"/>
      <c r="AG40" s="1120"/>
      <c r="AH40" s="1120"/>
      <c r="AI40" s="1120"/>
      <c r="AJ40" s="1120"/>
    </row>
    <row r="41" spans="1:37" s="1119"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3269</v>
      </c>
      <c r="M41" s="2117">
        <v>0.25</v>
      </c>
      <c r="Z41" s="1120"/>
      <c r="AA41" s="1120"/>
      <c r="AB41" s="1120"/>
      <c r="AC41" s="1120"/>
      <c r="AD41" s="1120"/>
      <c r="AE41" s="1120"/>
      <c r="AF41" s="1120"/>
      <c r="AG41" s="1120"/>
      <c r="AH41" s="1120"/>
      <c r="AI41" s="1120"/>
      <c r="AJ41" s="1120"/>
    </row>
    <row r="42" spans="1:37" s="1119" customFormat="1" ht="13.8" thickBot="1">
      <c r="A42" s="2100"/>
      <c r="B42" s="2118" t="s">
        <v>2040</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2121</v>
      </c>
      <c r="C44" s="342" t="e">
        <f>ROUND(POWER(1+E44,H44-G44)*(POWER(1+E44,G44)-1)/(POWER(1+E44,H44)-1),4)</f>
        <v>#DIV/0!</v>
      </c>
      <c r="D44" s="171" t="s">
        <v>1998</v>
      </c>
      <c r="E44" s="2152">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2042</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29" t="s">
        <v>2051</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2052</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3271</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2053</v>
      </c>
      <c r="B53" s="2134" t="s">
        <v>2054</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2056</v>
      </c>
      <c r="B55" s="2135" t="s">
        <v>2057</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2058</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2059</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2060</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29" t="s">
        <v>2063</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2052</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2053</v>
      </c>
      <c r="B64" s="2134" t="s">
        <v>2054</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2056</v>
      </c>
      <c r="B66" s="2135" t="s">
        <v>2057</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2058</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2059</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2060</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29" t="s">
        <v>2065</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2052</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8" t="s">
        <v>3271</v>
      </c>
      <c r="B74" s="2133">
        <f>估价对象房地状况!C19</f>
        <v>0</v>
      </c>
      <c r="C74" s="2043"/>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2066</v>
      </c>
      <c r="B75" s="2133">
        <f>估价对象房地状况!C24</f>
        <v>0</v>
      </c>
      <c r="C75" s="2043"/>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2058</v>
      </c>
      <c r="B76" s="1326" t="str">
        <f>估价对象房地状况!C21</f>
        <v>估价对象所在区域公共配套设施齐备情况</v>
      </c>
      <c r="C76" s="2043"/>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2059</v>
      </c>
      <c r="B77" s="1326" t="str">
        <f>估价对象房地状况!C22</f>
        <v>估价对象所在区域基础设施水平</v>
      </c>
      <c r="C77" s="2043"/>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2056</v>
      </c>
      <c r="B78" s="2135" t="s">
        <v>2057</v>
      </c>
      <c r="C78" s="2043"/>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2060</v>
      </c>
      <c r="B79" s="2132" t="str">
        <f>估价对象房地状况!C20</f>
        <v>区域自然环境：；人文环境；综合评价环境状况一般</v>
      </c>
      <c r="C79" s="2043"/>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36.6" thickBot="1">
      <c r="A80" s="2137" t="s">
        <v>2067</v>
      </c>
      <c r="B80" s="2141"/>
      <c r="C80" s="2043"/>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4.4">
      <c r="A81" s="2125" t="s">
        <v>2068</v>
      </c>
      <c r="B81" s="2126">
        <f>1+E83</f>
        <v>1</v>
      </c>
      <c r="C81" s="741"/>
      <c r="D81" s="741"/>
      <c r="E81" s="742"/>
      <c r="F81" s="2128"/>
      <c r="G81" s="3"/>
      <c r="H81" s="3"/>
      <c r="I81" s="3"/>
      <c r="J81" s="4"/>
      <c r="K81" s="4"/>
      <c r="L81" s="4"/>
      <c r="M81" s="4"/>
      <c r="N81" s="4"/>
      <c r="Z81" s="1997"/>
      <c r="AA81" s="2052"/>
      <c r="AG81" s="1121"/>
      <c r="AK81" s="2052"/>
    </row>
    <row r="82" spans="1:37" ht="25.2">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7"/>
      <c r="AA82" s="2052"/>
      <c r="AG82" s="1121"/>
      <c r="AK82" s="2052"/>
    </row>
    <row r="83" spans="1:37" ht="39.6">
      <c r="A83" s="2129" t="s">
        <v>2069</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2052</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48">
      <c r="A85" s="3368" t="s">
        <v>3272</v>
      </c>
      <c r="B85" s="2133">
        <f>估价对象房地状况!G17</f>
        <v>0</v>
      </c>
      <c r="C85" s="2043"/>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3.8">
      <c r="A86" s="2129" t="s">
        <v>2066</v>
      </c>
      <c r="B86" s="2133">
        <f>估价对象房地状况!G22</f>
        <v>0</v>
      </c>
      <c r="C86" s="2043"/>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6.4">
      <c r="A87" s="2129" t="s">
        <v>2058</v>
      </c>
      <c r="B87" s="1326" t="str">
        <f>估价对象房地状况!G19</f>
        <v>估价对象所在区域公共配套设施齐备情况</v>
      </c>
      <c r="C87" s="2043"/>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29" t="s">
        <v>2059</v>
      </c>
      <c r="B88" s="1326" t="str">
        <f>估价对象房地状况!G20</f>
        <v>估价对象所在区域基础设施水平</v>
      </c>
      <c r="C88" s="2043"/>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29" t="s">
        <v>2056</v>
      </c>
      <c r="B89" s="2135" t="s">
        <v>2070</v>
      </c>
      <c r="C89" s="2043"/>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7" t="s">
        <v>2071</v>
      </c>
      <c r="B90" s="2142" t="str">
        <f>估价对象房地状况!G18</f>
        <v>该园区内是否有污染型企业，绿化情况，卫生条件，整体环境状况判断</v>
      </c>
      <c r="C90" s="2043"/>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3"/>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3"/>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3"/>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3"/>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3"/>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3"/>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3"/>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3"/>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931" t="s">
        <v>3296</v>
      </c>
      <c r="B103" s="3931"/>
      <c r="C103" s="3931"/>
      <c r="D103" s="3931"/>
      <c r="E103" s="3931"/>
      <c r="F103" s="3931"/>
      <c r="G103" s="3931"/>
      <c r="H103" s="3931"/>
      <c r="I103" s="3931"/>
      <c r="J103" s="3931"/>
      <c r="K103" s="3389"/>
      <c r="L103" s="3389"/>
      <c r="M103" s="3389"/>
      <c r="N103" s="3389"/>
    </row>
    <row r="104" spans="1:14">
      <c r="A104" s="3932" t="s">
        <v>3297</v>
      </c>
      <c r="B104" s="3932" t="s">
        <v>3298</v>
      </c>
      <c r="C104" s="3390" t="s">
        <v>3299</v>
      </c>
      <c r="D104" s="3391"/>
      <c r="E104" s="3391"/>
      <c r="F104" s="3391"/>
      <c r="G104" s="3391"/>
      <c r="H104" s="3391"/>
      <c r="I104" s="3391"/>
      <c r="J104" s="3392"/>
      <c r="K104" s="3393"/>
      <c r="L104" s="3393"/>
      <c r="M104" s="3393"/>
      <c r="N104" s="3393"/>
    </row>
    <row r="105" spans="1:14">
      <c r="A105" s="3932"/>
      <c r="B105" s="3932"/>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918"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91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91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91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91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919"/>
      <c r="B111" s="3394" t="s">
        <v>3270</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92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921" t="s">
        <v>3313</v>
      </c>
      <c r="B113" s="3921"/>
      <c r="C113" s="3921"/>
      <c r="D113" s="3921"/>
      <c r="E113" s="3921"/>
      <c r="F113" s="3921"/>
      <c r="G113" s="3921"/>
      <c r="H113" s="3921"/>
      <c r="I113" s="3921"/>
      <c r="J113" s="392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v>
      </c>
      <c r="E116" s="1999" t="s">
        <v>3316</v>
      </c>
      <c r="F116" s="3401">
        <f>E2</f>
        <v>0</v>
      </c>
      <c r="G116" s="1999" t="s">
        <v>3317</v>
      </c>
      <c r="H116" s="3401">
        <f>G2</f>
        <v>0</v>
      </c>
      <c r="I116" s="1999"/>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946" t="s">
        <v>2609</v>
      </c>
      <c r="B20" s="3941" t="s">
        <v>2630</v>
      </c>
      <c r="C20" s="3102" t="s">
        <v>2441</v>
      </c>
      <c r="D20" s="3103"/>
      <c r="E20" s="3104">
        <v>1</v>
      </c>
      <c r="F20" s="3105" t="s">
        <v>2442</v>
      </c>
      <c r="G20" s="3105"/>
    </row>
    <row r="21" spans="1:13" ht="19.5" customHeight="1">
      <c r="A21" s="3947"/>
      <c r="B21" s="3940"/>
      <c r="C21" s="3106" t="s">
        <v>2443</v>
      </c>
      <c r="D21" s="3107"/>
      <c r="E21" s="3108">
        <v>1</v>
      </c>
      <c r="F21" s="3105" t="s">
        <v>2444</v>
      </c>
      <c r="G21" s="3105"/>
    </row>
    <row r="22" spans="1:13" ht="19.5" customHeight="1">
      <c r="A22" s="3947"/>
      <c r="B22" s="3940"/>
      <c r="C22" s="3106" t="s">
        <v>2445</v>
      </c>
      <c r="D22" s="3107"/>
      <c r="E22" s="3108">
        <v>0.9</v>
      </c>
      <c r="F22" s="3105" t="s">
        <v>2446</v>
      </c>
      <c r="G22" s="3105"/>
    </row>
    <row r="23" spans="1:13" ht="19.5" customHeight="1">
      <c r="A23" s="3947"/>
      <c r="B23" s="3940"/>
      <c r="C23" s="3106" t="s">
        <v>2447</v>
      </c>
      <c r="D23" s="3107"/>
      <c r="E23" s="3108">
        <v>0.9</v>
      </c>
      <c r="F23" s="3105" t="s">
        <v>2448</v>
      </c>
      <c r="G23" s="3105"/>
    </row>
    <row r="24" spans="1:13" ht="19.5" customHeight="1">
      <c r="A24" s="3947"/>
      <c r="B24" s="3940"/>
      <c r="C24" s="3106" t="s">
        <v>2449</v>
      </c>
      <c r="D24" s="3107"/>
      <c r="E24" s="3108">
        <v>0.8</v>
      </c>
      <c r="F24" s="3105" t="s">
        <v>2450</v>
      </c>
      <c r="G24" s="3105"/>
    </row>
    <row r="25" spans="1:13" ht="19.5" customHeight="1" thickBot="1">
      <c r="A25" s="3948"/>
      <c r="B25" s="3942"/>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943" t="s">
        <v>2633</v>
      </c>
      <c r="B27" s="3941" t="s">
        <v>2614</v>
      </c>
      <c r="C27" s="3102" t="s">
        <v>2454</v>
      </c>
      <c r="D27" s="3103"/>
      <c r="E27" s="3104">
        <v>1</v>
      </c>
      <c r="F27" s="3105" t="s">
        <v>2455</v>
      </c>
      <c r="G27" s="3105"/>
    </row>
    <row r="28" spans="1:13" ht="19.5" customHeight="1">
      <c r="A28" s="3944"/>
      <c r="B28" s="3940"/>
      <c r="C28" s="3106" t="s">
        <v>2456</v>
      </c>
      <c r="D28" s="3107"/>
      <c r="E28" s="3108">
        <v>1</v>
      </c>
      <c r="F28" s="3105" t="s">
        <v>2457</v>
      </c>
      <c r="G28" s="3105"/>
    </row>
    <row r="29" spans="1:13" ht="19.5" customHeight="1">
      <c r="A29" s="3944"/>
      <c r="B29" s="3940"/>
      <c r="C29" s="3106" t="s">
        <v>2458</v>
      </c>
      <c r="D29" s="3107"/>
      <c r="E29" s="3108">
        <v>0.8</v>
      </c>
      <c r="F29" s="3105" t="s">
        <v>2459</v>
      </c>
      <c r="G29" s="3105"/>
    </row>
    <row r="30" spans="1:13" ht="19.5" customHeight="1">
      <c r="A30" s="3944"/>
      <c r="B30" s="3940"/>
      <c r="C30" s="3106" t="s">
        <v>2460</v>
      </c>
      <c r="D30" s="3107"/>
      <c r="E30" s="3108">
        <v>0.8</v>
      </c>
      <c r="F30" s="3105" t="s">
        <v>2461</v>
      </c>
      <c r="G30" s="3105"/>
    </row>
    <row r="31" spans="1:13" ht="19.5" customHeight="1">
      <c r="A31" s="3944"/>
      <c r="B31" s="3940"/>
      <c r="C31" s="3106" t="s">
        <v>2462</v>
      </c>
      <c r="D31" s="3107"/>
      <c r="E31" s="3108">
        <v>0.8</v>
      </c>
      <c r="F31" s="3105" t="s">
        <v>2463</v>
      </c>
      <c r="G31" s="3105"/>
    </row>
    <row r="32" spans="1:13" ht="19.5" customHeight="1">
      <c r="A32" s="3944"/>
      <c r="B32" s="3940"/>
      <c r="C32" s="3106" t="s">
        <v>2464</v>
      </c>
      <c r="D32" s="3107"/>
      <c r="E32" s="3108">
        <v>0.7</v>
      </c>
      <c r="F32" s="3105" t="s">
        <v>2465</v>
      </c>
      <c r="G32" s="3105"/>
    </row>
    <row r="33" spans="1:7" ht="19.5" customHeight="1">
      <c r="A33" s="3944"/>
      <c r="B33" s="3940"/>
      <c r="C33" s="3106" t="s">
        <v>2466</v>
      </c>
      <c r="D33" s="3107"/>
      <c r="E33" s="3108">
        <v>0.8</v>
      </c>
      <c r="F33" s="3105" t="s">
        <v>2467</v>
      </c>
      <c r="G33" s="3105"/>
    </row>
    <row r="34" spans="1:7" ht="19.5" customHeight="1">
      <c r="A34" s="3944"/>
      <c r="B34" s="3940"/>
      <c r="C34" s="3106" t="s">
        <v>2468</v>
      </c>
      <c r="D34" s="3107"/>
      <c r="E34" s="3108">
        <v>0.6</v>
      </c>
      <c r="F34" s="3105" t="s">
        <v>2469</v>
      </c>
      <c r="G34" s="3105"/>
    </row>
    <row r="35" spans="1:7" ht="19.5" customHeight="1">
      <c r="A35" s="3944"/>
      <c r="B35" s="3940"/>
      <c r="C35" s="3106" t="s">
        <v>2470</v>
      </c>
      <c r="D35" s="3107"/>
      <c r="E35" s="3108">
        <v>0.2</v>
      </c>
      <c r="F35" s="3105" t="s">
        <v>2471</v>
      </c>
      <c r="G35" s="3105"/>
    </row>
    <row r="36" spans="1:7" ht="19.5" customHeight="1">
      <c r="A36" s="3944"/>
      <c r="B36" s="3940"/>
      <c r="C36" s="3106" t="s">
        <v>2472</v>
      </c>
      <c r="D36" s="3107"/>
      <c r="E36" s="3108">
        <v>0.2</v>
      </c>
      <c r="F36" s="3105" t="s">
        <v>2473</v>
      </c>
      <c r="G36" s="3105"/>
    </row>
    <row r="37" spans="1:7" ht="19.5" customHeight="1">
      <c r="A37" s="3944"/>
      <c r="B37" s="3938" t="s">
        <v>2634</v>
      </c>
      <c r="C37" s="3106" t="s">
        <v>2474</v>
      </c>
      <c r="D37" s="3107"/>
      <c r="E37" s="3108">
        <v>0.6</v>
      </c>
      <c r="F37" s="3105" t="s">
        <v>2475</v>
      </c>
      <c r="G37" s="3105"/>
    </row>
    <row r="38" spans="1:7" ht="19.5" customHeight="1">
      <c r="A38" s="3944"/>
      <c r="B38" s="3940"/>
      <c r="C38" s="3106" t="s">
        <v>2476</v>
      </c>
      <c r="D38" s="3107"/>
      <c r="E38" s="3108">
        <v>0.6</v>
      </c>
      <c r="F38" s="3105" t="s">
        <v>2477</v>
      </c>
      <c r="G38" s="3105"/>
    </row>
    <row r="39" spans="1:7" ht="19.5" customHeight="1" thickBot="1">
      <c r="A39" s="3945"/>
      <c r="B39" s="3942"/>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946" t="s">
        <v>2612</v>
      </c>
      <c r="B41" s="3941" t="s">
        <v>2636</v>
      </c>
      <c r="C41" s="3102" t="s">
        <v>2481</v>
      </c>
      <c r="D41" s="3103"/>
      <c r="E41" s="3104">
        <v>1</v>
      </c>
      <c r="F41" s="3105" t="s">
        <v>2482</v>
      </c>
      <c r="G41" s="3105"/>
    </row>
    <row r="42" spans="1:7" ht="19.5" customHeight="1">
      <c r="A42" s="3947"/>
      <c r="B42" s="3940"/>
      <c r="C42" s="3106" t="s">
        <v>2483</v>
      </c>
      <c r="D42" s="3107"/>
      <c r="E42" s="3108">
        <v>1</v>
      </c>
      <c r="F42" s="3105" t="s">
        <v>2484</v>
      </c>
      <c r="G42" s="3105"/>
    </row>
    <row r="43" spans="1:7" ht="19.5" customHeight="1">
      <c r="A43" s="3947"/>
      <c r="B43" s="3939"/>
      <c r="C43" s="3106" t="s">
        <v>2485</v>
      </c>
      <c r="D43" s="3107"/>
      <c r="E43" s="3108">
        <v>1.5</v>
      </c>
      <c r="F43" s="3105" t="s">
        <v>2486</v>
      </c>
      <c r="G43" s="3105"/>
    </row>
    <row r="44" spans="1:7" ht="19.5" customHeight="1">
      <c r="A44" s="3947"/>
      <c r="B44" s="3117" t="s">
        <v>2637</v>
      </c>
      <c r="C44" s="3106" t="s">
        <v>2638</v>
      </c>
      <c r="D44" s="3107"/>
      <c r="E44" s="3108">
        <v>2</v>
      </c>
      <c r="F44" s="3105" t="s">
        <v>2487</v>
      </c>
      <c r="G44" s="3105"/>
    </row>
    <row r="45" spans="1:7" ht="19.5" customHeight="1">
      <c r="A45" s="3947"/>
      <c r="B45" s="3938" t="s">
        <v>2639</v>
      </c>
      <c r="C45" s="3106" t="s">
        <v>2488</v>
      </c>
      <c r="D45" s="3107"/>
      <c r="E45" s="3108">
        <v>1</v>
      </c>
      <c r="F45" s="3105" t="s">
        <v>2489</v>
      </c>
      <c r="G45" s="3105"/>
    </row>
    <row r="46" spans="1:7" ht="19.5" customHeight="1">
      <c r="A46" s="3947"/>
      <c r="B46" s="3940"/>
      <c r="C46" s="3106" t="s">
        <v>2490</v>
      </c>
      <c r="D46" s="3107"/>
      <c r="E46" s="3108">
        <v>1</v>
      </c>
      <c r="F46" s="3105" t="s">
        <v>2491</v>
      </c>
      <c r="G46" s="3105"/>
    </row>
    <row r="47" spans="1:7" ht="19.5" customHeight="1">
      <c r="A47" s="3947"/>
      <c r="B47" s="3940"/>
      <c r="C47" s="3106" t="s">
        <v>2492</v>
      </c>
      <c r="D47" s="3107"/>
      <c r="E47" s="3108">
        <v>1</v>
      </c>
      <c r="F47" s="3105" t="s">
        <v>2493</v>
      </c>
      <c r="G47" s="3105"/>
    </row>
    <row r="48" spans="1:7" ht="19.5" customHeight="1">
      <c r="A48" s="3947"/>
      <c r="B48" s="3940"/>
      <c r="C48" s="3106" t="s">
        <v>2494</v>
      </c>
      <c r="D48" s="3107"/>
      <c r="E48" s="3108">
        <v>1</v>
      </c>
      <c r="F48" s="3105" t="s">
        <v>2495</v>
      </c>
      <c r="G48" s="3105"/>
    </row>
    <row r="49" spans="1:7" ht="19.5" customHeight="1">
      <c r="A49" s="3947"/>
      <c r="B49" s="3940"/>
      <c r="C49" s="3106" t="s">
        <v>2496</v>
      </c>
      <c r="D49" s="3107"/>
      <c r="E49" s="3108">
        <v>1</v>
      </c>
      <c r="F49" s="3105" t="s">
        <v>2497</v>
      </c>
      <c r="G49" s="3105"/>
    </row>
    <row r="50" spans="1:7" ht="19.5" customHeight="1">
      <c r="A50" s="3947"/>
      <c r="B50" s="3940"/>
      <c r="C50" s="3106" t="s">
        <v>2498</v>
      </c>
      <c r="D50" s="3107"/>
      <c r="E50" s="3108">
        <v>1</v>
      </c>
      <c r="F50" s="3105" t="s">
        <v>2499</v>
      </c>
      <c r="G50" s="3105"/>
    </row>
    <row r="51" spans="1:7" ht="19.5" customHeight="1" thickBot="1">
      <c r="A51" s="3948"/>
      <c r="B51" s="3942"/>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938" t="s">
        <v>2653</v>
      </c>
      <c r="C73" s="3091" t="s">
        <v>2654</v>
      </c>
      <c r="D73" s="3091" t="s">
        <v>2655</v>
      </c>
      <c r="E73" s="3117">
        <v>0.2</v>
      </c>
      <c r="F73" s="3117">
        <v>25</v>
      </c>
    </row>
    <row r="74" spans="1:7" ht="24">
      <c r="A74" s="3117">
        <v>2</v>
      </c>
      <c r="B74" s="3940"/>
      <c r="C74" s="3091" t="s">
        <v>2656</v>
      </c>
      <c r="D74" s="3091" t="s">
        <v>2657</v>
      </c>
      <c r="E74" s="3117">
        <v>0.2</v>
      </c>
      <c r="F74" s="3117">
        <v>25</v>
      </c>
    </row>
    <row r="75" spans="1:7" ht="24">
      <c r="A75" s="3117">
        <v>3</v>
      </c>
      <c r="B75" s="3940"/>
      <c r="C75" s="3091" t="s">
        <v>2658</v>
      </c>
      <c r="D75" s="3091" t="s">
        <v>2659</v>
      </c>
      <c r="E75" s="3117">
        <v>0.2</v>
      </c>
      <c r="F75" s="3117">
        <v>25</v>
      </c>
    </row>
    <row r="76" spans="1:7" ht="14.4">
      <c r="A76" s="3117">
        <v>4</v>
      </c>
      <c r="B76" s="3940"/>
      <c r="C76" s="3091" t="s">
        <v>2660</v>
      </c>
      <c r="D76" s="3091" t="s">
        <v>2661</v>
      </c>
      <c r="E76" s="3117">
        <v>0.15</v>
      </c>
      <c r="F76" s="3117">
        <v>20</v>
      </c>
    </row>
    <row r="77" spans="1:7" ht="24">
      <c r="A77" s="3117">
        <v>5</v>
      </c>
      <c r="B77" s="3940"/>
      <c r="C77" s="3091" t="s">
        <v>2662</v>
      </c>
      <c r="D77" s="3091" t="s">
        <v>2663</v>
      </c>
      <c r="E77" s="3117">
        <v>0.15</v>
      </c>
      <c r="F77" s="3117">
        <v>20</v>
      </c>
    </row>
    <row r="78" spans="1:7" ht="24">
      <c r="A78" s="3117">
        <v>6</v>
      </c>
      <c r="B78" s="3940"/>
      <c r="C78" s="3091" t="s">
        <v>2664</v>
      </c>
      <c r="D78" s="3091" t="s">
        <v>2665</v>
      </c>
      <c r="E78" s="3117">
        <v>0.15</v>
      </c>
      <c r="F78" s="3117">
        <v>20</v>
      </c>
    </row>
    <row r="79" spans="1:7" ht="24">
      <c r="A79" s="3117">
        <v>7</v>
      </c>
      <c r="B79" s="3940"/>
      <c r="C79" s="3091" t="s">
        <v>2666</v>
      </c>
      <c r="D79" s="3091" t="s">
        <v>2667</v>
      </c>
      <c r="E79" s="3117">
        <v>0.15</v>
      </c>
      <c r="F79" s="3117">
        <v>20</v>
      </c>
    </row>
    <row r="80" spans="1:7" ht="24">
      <c r="A80" s="3117">
        <v>8</v>
      </c>
      <c r="B80" s="3940"/>
      <c r="C80" s="3091" t="s">
        <v>2668</v>
      </c>
      <c r="D80" s="3091" t="s">
        <v>2669</v>
      </c>
      <c r="E80" s="3117">
        <v>0.1</v>
      </c>
      <c r="F80" s="3117">
        <v>15</v>
      </c>
    </row>
    <row r="81" spans="1:6" ht="24">
      <c r="A81" s="3117">
        <v>9</v>
      </c>
      <c r="B81" s="3940"/>
      <c r="C81" s="3091" t="s">
        <v>2670</v>
      </c>
      <c r="D81" s="3091" t="s">
        <v>2671</v>
      </c>
      <c r="E81" s="3117">
        <v>0.1</v>
      </c>
      <c r="F81" s="3117">
        <v>15</v>
      </c>
    </row>
    <row r="82" spans="1:6" ht="24">
      <c r="A82" s="3117">
        <v>10</v>
      </c>
      <c r="B82" s="3940"/>
      <c r="C82" s="3091" t="s">
        <v>2672</v>
      </c>
      <c r="D82" s="3091" t="s">
        <v>2673</v>
      </c>
      <c r="E82" s="3117">
        <v>0.1</v>
      </c>
      <c r="F82" s="3117">
        <v>15</v>
      </c>
    </row>
    <row r="83" spans="1:6" ht="24">
      <c r="A83" s="3117">
        <v>11</v>
      </c>
      <c r="B83" s="3940"/>
      <c r="C83" s="3091" t="s">
        <v>2674</v>
      </c>
      <c r="D83" s="3091" t="s">
        <v>2675</v>
      </c>
      <c r="E83" s="3117">
        <v>0.1</v>
      </c>
      <c r="F83" s="3117">
        <v>15</v>
      </c>
    </row>
    <row r="84" spans="1:6" ht="24">
      <c r="A84" s="3117">
        <v>12</v>
      </c>
      <c r="B84" s="3940"/>
      <c r="C84" s="3091" t="s">
        <v>2676</v>
      </c>
      <c r="D84" s="3091" t="s">
        <v>2677</v>
      </c>
      <c r="E84" s="3117">
        <v>0.1</v>
      </c>
      <c r="F84" s="3117">
        <v>15</v>
      </c>
    </row>
    <row r="85" spans="1:6" ht="24">
      <c r="A85" s="3117">
        <v>13</v>
      </c>
      <c r="B85" s="3940"/>
      <c r="C85" s="3091" t="s">
        <v>2678</v>
      </c>
      <c r="D85" s="3091" t="s">
        <v>2679</v>
      </c>
      <c r="E85" s="3117">
        <v>0.1</v>
      </c>
      <c r="F85" s="3117">
        <v>15</v>
      </c>
    </row>
    <row r="86" spans="1:6" ht="24">
      <c r="A86" s="3117">
        <v>14</v>
      </c>
      <c r="B86" s="3940"/>
      <c r="C86" s="3091" t="s">
        <v>2680</v>
      </c>
      <c r="D86" s="3091" t="s">
        <v>2681</v>
      </c>
      <c r="E86" s="3117">
        <v>0.1</v>
      </c>
      <c r="F86" s="3117">
        <v>15</v>
      </c>
    </row>
    <row r="87" spans="1:6" ht="24">
      <c r="A87" s="3117">
        <v>15</v>
      </c>
      <c r="B87" s="3940"/>
      <c r="C87" s="3091" t="s">
        <v>2682</v>
      </c>
      <c r="D87" s="3091" t="s">
        <v>2683</v>
      </c>
      <c r="E87" s="3117">
        <v>0.1</v>
      </c>
      <c r="F87" s="3117">
        <v>15</v>
      </c>
    </row>
    <row r="88" spans="1:6" ht="24">
      <c r="A88" s="3117">
        <v>16</v>
      </c>
      <c r="B88" s="3940"/>
      <c r="C88" s="3091" t="s">
        <v>2684</v>
      </c>
      <c r="D88" s="3091" t="s">
        <v>2685</v>
      </c>
      <c r="E88" s="3117">
        <v>0.1</v>
      </c>
      <c r="F88" s="3117">
        <v>15</v>
      </c>
    </row>
    <row r="89" spans="1:6" ht="24">
      <c r="A89" s="3117">
        <v>17</v>
      </c>
      <c r="B89" s="3939"/>
      <c r="C89" s="3091" t="s">
        <v>2686</v>
      </c>
      <c r="D89" s="3091" t="s">
        <v>2687</v>
      </c>
      <c r="E89" s="3117">
        <v>0.1</v>
      </c>
      <c r="F89" s="3117">
        <v>15</v>
      </c>
    </row>
    <row r="90" spans="1:6" ht="14.4">
      <c r="A90" s="3117">
        <v>18</v>
      </c>
      <c r="B90" s="3938" t="s">
        <v>2688</v>
      </c>
      <c r="C90" s="3091" t="s">
        <v>2689</v>
      </c>
      <c r="D90" s="3091" t="s">
        <v>2690</v>
      </c>
      <c r="E90" s="3117">
        <v>0.2</v>
      </c>
      <c r="F90" s="3117">
        <v>25</v>
      </c>
    </row>
    <row r="91" spans="1:6" ht="24">
      <c r="A91" s="3117">
        <v>19</v>
      </c>
      <c r="B91" s="3940"/>
      <c r="C91" s="3091" t="s">
        <v>2691</v>
      </c>
      <c r="D91" s="3091" t="s">
        <v>2692</v>
      </c>
      <c r="E91" s="3117">
        <v>0.2</v>
      </c>
      <c r="F91" s="3117">
        <v>25</v>
      </c>
    </row>
    <row r="92" spans="1:6" ht="14.4">
      <c r="A92" s="3117">
        <v>20</v>
      </c>
      <c r="B92" s="3940"/>
      <c r="C92" s="3091" t="s">
        <v>2693</v>
      </c>
      <c r="D92" s="3091" t="s">
        <v>2694</v>
      </c>
      <c r="E92" s="3117">
        <v>0.15</v>
      </c>
      <c r="F92" s="3117">
        <v>20</v>
      </c>
    </row>
    <row r="93" spans="1:6" ht="24">
      <c r="A93" s="3117">
        <v>21</v>
      </c>
      <c r="B93" s="3940"/>
      <c r="C93" s="3091" t="s">
        <v>2695</v>
      </c>
      <c r="D93" s="3091" t="s">
        <v>2696</v>
      </c>
      <c r="E93" s="3117">
        <v>0.15</v>
      </c>
      <c r="F93" s="3117">
        <v>20</v>
      </c>
    </row>
    <row r="94" spans="1:6" ht="24">
      <c r="A94" s="3117">
        <v>22</v>
      </c>
      <c r="B94" s="3940"/>
      <c r="C94" s="3091" t="s">
        <v>2697</v>
      </c>
      <c r="D94" s="3091" t="s">
        <v>2698</v>
      </c>
      <c r="E94" s="3117">
        <v>0.15</v>
      </c>
      <c r="F94" s="3117">
        <v>20</v>
      </c>
    </row>
    <row r="95" spans="1:6" ht="36">
      <c r="A95" s="3117">
        <v>23</v>
      </c>
      <c r="B95" s="3940"/>
      <c r="C95" s="3091" t="s">
        <v>2699</v>
      </c>
      <c r="D95" s="3091" t="s">
        <v>2700</v>
      </c>
      <c r="E95" s="3117">
        <v>0.15</v>
      </c>
      <c r="F95" s="3117">
        <v>20</v>
      </c>
    </row>
    <row r="96" spans="1:6" ht="24">
      <c r="A96" s="3117">
        <v>24</v>
      </c>
      <c r="B96" s="3940"/>
      <c r="C96" s="3091" t="s">
        <v>2701</v>
      </c>
      <c r="D96" s="3091" t="s">
        <v>2702</v>
      </c>
      <c r="E96" s="3117">
        <v>0.1</v>
      </c>
      <c r="F96" s="3117">
        <v>15</v>
      </c>
    </row>
    <row r="97" spans="1:6" ht="24">
      <c r="A97" s="3117">
        <v>25</v>
      </c>
      <c r="B97" s="3940"/>
      <c r="C97" s="3091" t="s">
        <v>2703</v>
      </c>
      <c r="D97" s="3091" t="s">
        <v>2704</v>
      </c>
      <c r="E97" s="3117">
        <v>0.1</v>
      </c>
      <c r="F97" s="3117">
        <v>15</v>
      </c>
    </row>
    <row r="98" spans="1:6" ht="24">
      <c r="A98" s="3117">
        <v>26</v>
      </c>
      <c r="B98" s="3940"/>
      <c r="C98" s="3091" t="s">
        <v>2705</v>
      </c>
      <c r="D98" s="3091" t="s">
        <v>2706</v>
      </c>
      <c r="E98" s="3117">
        <v>0.1</v>
      </c>
      <c r="F98" s="3117">
        <v>15</v>
      </c>
    </row>
    <row r="99" spans="1:6" ht="24">
      <c r="A99" s="3117">
        <v>27</v>
      </c>
      <c r="B99" s="3940"/>
      <c r="C99" s="3091" t="s">
        <v>2707</v>
      </c>
      <c r="D99" s="3091" t="s">
        <v>2708</v>
      </c>
      <c r="E99" s="3117">
        <v>0.1</v>
      </c>
      <c r="F99" s="3117">
        <v>15</v>
      </c>
    </row>
    <row r="100" spans="1:6" ht="24">
      <c r="A100" s="3117">
        <v>28</v>
      </c>
      <c r="B100" s="3940"/>
      <c r="C100" s="3091" t="s">
        <v>2709</v>
      </c>
      <c r="D100" s="3091" t="s">
        <v>2710</v>
      </c>
      <c r="E100" s="3117">
        <v>0.1</v>
      </c>
      <c r="F100" s="3117">
        <v>15</v>
      </c>
    </row>
    <row r="101" spans="1:6" ht="24">
      <c r="A101" s="3117">
        <v>29</v>
      </c>
      <c r="B101" s="3940"/>
      <c r="C101" s="3091" t="s">
        <v>2711</v>
      </c>
      <c r="D101" s="3091" t="s">
        <v>2712</v>
      </c>
      <c r="E101" s="3117">
        <v>0.1</v>
      </c>
      <c r="F101" s="3117">
        <v>15</v>
      </c>
    </row>
    <row r="102" spans="1:6" ht="24">
      <c r="A102" s="3117">
        <v>30</v>
      </c>
      <c r="B102" s="3940"/>
      <c r="C102" s="3091" t="s">
        <v>2713</v>
      </c>
      <c r="D102" s="3091" t="s">
        <v>2714</v>
      </c>
      <c r="E102" s="3117">
        <v>0.1</v>
      </c>
      <c r="F102" s="3117">
        <v>15</v>
      </c>
    </row>
    <row r="103" spans="1:6" ht="24">
      <c r="A103" s="3117">
        <v>31</v>
      </c>
      <c r="B103" s="3940"/>
      <c r="C103" s="3091" t="s">
        <v>2715</v>
      </c>
      <c r="D103" s="3091" t="s">
        <v>2716</v>
      </c>
      <c r="E103" s="3117">
        <v>0.1</v>
      </c>
      <c r="F103" s="3117">
        <v>15</v>
      </c>
    </row>
    <row r="104" spans="1:6" ht="24">
      <c r="A104" s="3117">
        <v>32</v>
      </c>
      <c r="B104" s="3940"/>
      <c r="C104" s="3091" t="s">
        <v>2717</v>
      </c>
      <c r="D104" s="3091" t="s">
        <v>2718</v>
      </c>
      <c r="E104" s="3117">
        <v>0.1</v>
      </c>
      <c r="F104" s="3117">
        <v>15</v>
      </c>
    </row>
    <row r="105" spans="1:6" ht="24">
      <c r="A105" s="3117">
        <v>33</v>
      </c>
      <c r="B105" s="3940"/>
      <c r="C105" s="3091" t="s">
        <v>2719</v>
      </c>
      <c r="D105" s="3091" t="s">
        <v>2720</v>
      </c>
      <c r="E105" s="3117">
        <v>0.1</v>
      </c>
      <c r="F105" s="3117">
        <v>15</v>
      </c>
    </row>
    <row r="106" spans="1:6" ht="24">
      <c r="A106" s="3117">
        <v>34</v>
      </c>
      <c r="B106" s="3939"/>
      <c r="C106" s="3091" t="s">
        <v>2721</v>
      </c>
      <c r="D106" s="3091" t="s">
        <v>2722</v>
      </c>
      <c r="E106" s="3117">
        <v>0.1</v>
      </c>
      <c r="F106" s="3117">
        <v>15</v>
      </c>
    </row>
    <row r="107" spans="1:6" ht="36">
      <c r="A107" s="3117">
        <v>35</v>
      </c>
      <c r="B107" s="3938" t="s">
        <v>2723</v>
      </c>
      <c r="C107" s="3117" t="s">
        <v>2724</v>
      </c>
      <c r="D107" s="3091" t="s">
        <v>2725</v>
      </c>
      <c r="E107" s="3117">
        <v>0.15</v>
      </c>
      <c r="F107" s="3117">
        <v>20</v>
      </c>
    </row>
    <row r="108" spans="1:6" ht="24">
      <c r="A108" s="3117">
        <v>36</v>
      </c>
      <c r="B108" s="3940"/>
      <c r="C108" s="3117" t="s">
        <v>2726</v>
      </c>
      <c r="D108" s="3091" t="s">
        <v>2727</v>
      </c>
      <c r="E108" s="3117">
        <v>0.15</v>
      </c>
      <c r="F108" s="3117">
        <v>20</v>
      </c>
    </row>
    <row r="109" spans="1:6" ht="24">
      <c r="A109" s="3117">
        <v>37</v>
      </c>
      <c r="B109" s="3940"/>
      <c r="C109" s="3117" t="s">
        <v>2728</v>
      </c>
      <c r="D109" s="3091" t="s">
        <v>2729</v>
      </c>
      <c r="E109" s="3117">
        <v>0.15</v>
      </c>
      <c r="F109" s="3117">
        <v>20</v>
      </c>
    </row>
    <row r="110" spans="1:6" ht="24">
      <c r="A110" s="3117">
        <v>38</v>
      </c>
      <c r="B110" s="3940"/>
      <c r="C110" s="3117" t="s">
        <v>2730</v>
      </c>
      <c r="D110" s="3091" t="s">
        <v>2731</v>
      </c>
      <c r="E110" s="3117">
        <v>0.1</v>
      </c>
      <c r="F110" s="3117">
        <v>15</v>
      </c>
    </row>
    <row r="111" spans="1:6" ht="24">
      <c r="A111" s="3117">
        <v>39</v>
      </c>
      <c r="B111" s="3940"/>
      <c r="C111" s="3117" t="s">
        <v>2732</v>
      </c>
      <c r="D111" s="3091" t="s">
        <v>2733</v>
      </c>
      <c r="E111" s="3117">
        <v>0.1</v>
      </c>
      <c r="F111" s="3117">
        <v>15</v>
      </c>
    </row>
    <row r="112" spans="1:6" ht="24">
      <c r="A112" s="3117">
        <v>40</v>
      </c>
      <c r="B112" s="3939"/>
      <c r="C112" s="3117" t="s">
        <v>2734</v>
      </c>
      <c r="D112" s="3091" t="s">
        <v>2735</v>
      </c>
      <c r="E112" s="3117">
        <v>0.1</v>
      </c>
      <c r="F112" s="3117">
        <v>15</v>
      </c>
    </row>
    <row r="113" spans="1:6" ht="24">
      <c r="A113" s="3117">
        <v>41</v>
      </c>
      <c r="B113" s="3937" t="s">
        <v>2736</v>
      </c>
      <c r="C113" s="3117" t="s">
        <v>2737</v>
      </c>
      <c r="D113" s="3091" t="s">
        <v>2738</v>
      </c>
      <c r="E113" s="3117">
        <v>0.1</v>
      </c>
      <c r="F113" s="3117">
        <v>15</v>
      </c>
    </row>
    <row r="114" spans="1:6" ht="24">
      <c r="A114" s="3117">
        <v>42</v>
      </c>
      <c r="B114" s="3937"/>
      <c r="C114" s="3117" t="s">
        <v>2739</v>
      </c>
      <c r="D114" s="3091" t="s">
        <v>2740</v>
      </c>
      <c r="E114" s="3117">
        <v>0.1</v>
      </c>
      <c r="F114" s="3117">
        <v>15</v>
      </c>
    </row>
    <row r="115" spans="1:6" ht="24">
      <c r="A115" s="3117">
        <v>43</v>
      </c>
      <c r="B115" s="3937"/>
      <c r="C115" s="3117" t="s">
        <v>2741</v>
      </c>
      <c r="D115" s="3091" t="s">
        <v>2742</v>
      </c>
      <c r="E115" s="3117">
        <v>0.1</v>
      </c>
      <c r="F115" s="3117">
        <v>15</v>
      </c>
    </row>
    <row r="116" spans="1:6" ht="24">
      <c r="A116" s="3117">
        <v>44</v>
      </c>
      <c r="B116" s="3938" t="s">
        <v>2743</v>
      </c>
      <c r="C116" s="3117" t="s">
        <v>2744</v>
      </c>
      <c r="D116" s="3091" t="s">
        <v>2745</v>
      </c>
      <c r="E116" s="3117">
        <v>0.1</v>
      </c>
      <c r="F116" s="3117">
        <v>15</v>
      </c>
    </row>
    <row r="117" spans="1:6" ht="24">
      <c r="A117" s="3117">
        <v>45</v>
      </c>
      <c r="B117" s="3939"/>
      <c r="C117" s="3091" t="s">
        <v>2746</v>
      </c>
      <c r="D117" s="3091" t="s">
        <v>2747</v>
      </c>
      <c r="E117" s="3117">
        <v>0.1</v>
      </c>
      <c r="F117" s="3117">
        <v>15</v>
      </c>
    </row>
    <row r="118" spans="1:6" ht="24">
      <c r="A118" s="3117">
        <v>46</v>
      </c>
      <c r="B118" s="3938" t="s">
        <v>2748</v>
      </c>
      <c r="C118" s="3117" t="s">
        <v>2749</v>
      </c>
      <c r="D118" s="3091" t="s">
        <v>2750</v>
      </c>
      <c r="E118" s="3117">
        <v>0.1</v>
      </c>
      <c r="F118" s="3117">
        <v>15</v>
      </c>
    </row>
    <row r="119" spans="1:6" ht="24">
      <c r="A119" s="3117">
        <v>47</v>
      </c>
      <c r="B119" s="3939"/>
      <c r="C119" s="3117" t="s">
        <v>2751</v>
      </c>
      <c r="D119" s="3091" t="s">
        <v>2752</v>
      </c>
      <c r="E119" s="3117">
        <v>0.1</v>
      </c>
      <c r="F119" s="3117">
        <v>15</v>
      </c>
    </row>
    <row r="120" spans="1:6" ht="24">
      <c r="A120" s="3117">
        <v>48</v>
      </c>
      <c r="B120" s="3938" t="s">
        <v>2753</v>
      </c>
      <c r="C120" s="3117" t="s">
        <v>2754</v>
      </c>
      <c r="D120" s="3091" t="s">
        <v>2755</v>
      </c>
      <c r="E120" s="3117">
        <v>0.1</v>
      </c>
      <c r="F120" s="3117">
        <v>15</v>
      </c>
    </row>
    <row r="121" spans="1:6" ht="24">
      <c r="A121" s="3117">
        <v>49</v>
      </c>
      <c r="B121" s="3939"/>
      <c r="C121" s="3117" t="s">
        <v>2756</v>
      </c>
      <c r="D121" s="3091" t="s">
        <v>2757</v>
      </c>
      <c r="E121" s="3117">
        <v>0.1</v>
      </c>
      <c r="F121" s="3117">
        <v>15</v>
      </c>
    </row>
    <row r="122" spans="1:6" ht="24">
      <c r="A122" s="3117">
        <v>50</v>
      </c>
      <c r="B122" s="3937" t="s">
        <v>2758</v>
      </c>
      <c r="C122" s="3117" t="s">
        <v>2759</v>
      </c>
      <c r="D122" s="3091" t="s">
        <v>2760</v>
      </c>
      <c r="E122" s="3117">
        <v>0.1</v>
      </c>
      <c r="F122" s="3117">
        <v>15</v>
      </c>
    </row>
    <row r="123" spans="1:6" ht="24">
      <c r="A123" s="3117">
        <v>51</v>
      </c>
      <c r="B123" s="3937"/>
      <c r="C123" s="3117" t="s">
        <v>2761</v>
      </c>
      <c r="D123" s="3091" t="s">
        <v>2762</v>
      </c>
      <c r="E123" s="3117">
        <v>0.1</v>
      </c>
      <c r="F123" s="3117">
        <v>15</v>
      </c>
    </row>
    <row r="124" spans="1:6" ht="24">
      <c r="A124" s="3117">
        <v>52</v>
      </c>
      <c r="B124" s="3937" t="s">
        <v>2763</v>
      </c>
      <c r="C124" s="3117" t="s">
        <v>2764</v>
      </c>
      <c r="D124" s="3091" t="s">
        <v>2765</v>
      </c>
      <c r="E124" s="3117">
        <v>0.1</v>
      </c>
      <c r="F124" s="3117">
        <v>15</v>
      </c>
    </row>
    <row r="125" spans="1:6" ht="24">
      <c r="A125" s="3117">
        <v>53</v>
      </c>
      <c r="B125" s="3937"/>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937" t="s">
        <v>2771</v>
      </c>
      <c r="C127" s="3117" t="s">
        <v>2772</v>
      </c>
      <c r="D127" s="3091" t="s">
        <v>2773</v>
      </c>
      <c r="E127" s="3117">
        <v>0.1</v>
      </c>
      <c r="F127" s="3117">
        <v>15</v>
      </c>
    </row>
    <row r="128" spans="1:6" ht="24">
      <c r="A128" s="3117">
        <v>56</v>
      </c>
      <c r="B128" s="3937"/>
      <c r="C128" s="3117" t="s">
        <v>2774</v>
      </c>
      <c r="D128" s="3091" t="s">
        <v>2775</v>
      </c>
      <c r="E128" s="3117">
        <v>0.1</v>
      </c>
      <c r="F128" s="3117">
        <v>15</v>
      </c>
    </row>
    <row r="129" spans="1:6" ht="24">
      <c r="A129" s="3117">
        <v>57</v>
      </c>
      <c r="B129" s="3937"/>
      <c r="C129" s="3117" t="s">
        <v>2776</v>
      </c>
      <c r="D129" s="3091" t="s">
        <v>2777</v>
      </c>
      <c r="E129" s="3117">
        <v>0.1</v>
      </c>
      <c r="F129" s="3117">
        <v>15</v>
      </c>
    </row>
    <row r="130" spans="1:6" ht="24">
      <c r="A130" s="3117">
        <v>58</v>
      </c>
      <c r="B130" s="3937" t="s">
        <v>2778</v>
      </c>
      <c r="C130" s="3117" t="s">
        <v>2779</v>
      </c>
      <c r="D130" s="3091" t="s">
        <v>2780</v>
      </c>
      <c r="E130" s="3117">
        <v>0.1</v>
      </c>
      <c r="F130" s="3117">
        <v>15</v>
      </c>
    </row>
    <row r="131" spans="1:6" ht="24">
      <c r="A131" s="3117">
        <v>59</v>
      </c>
      <c r="B131" s="3937"/>
      <c r="C131" s="3117" t="s">
        <v>2781</v>
      </c>
      <c r="D131" s="3091" t="s">
        <v>2782</v>
      </c>
      <c r="E131" s="3117">
        <v>0.1</v>
      </c>
      <c r="F131" s="3117">
        <v>15</v>
      </c>
    </row>
    <row r="132" spans="1:6" ht="24">
      <c r="A132" s="3117">
        <v>60</v>
      </c>
      <c r="B132" s="3938" t="s">
        <v>2783</v>
      </c>
      <c r="C132" s="3117" t="s">
        <v>2784</v>
      </c>
      <c r="D132" s="3091" t="s">
        <v>2785</v>
      </c>
      <c r="E132" s="3117">
        <v>0.1</v>
      </c>
      <c r="F132" s="3117">
        <v>15</v>
      </c>
    </row>
    <row r="133" spans="1:6" ht="24">
      <c r="A133" s="3117">
        <v>61</v>
      </c>
      <c r="B133" s="3939"/>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937" t="s">
        <v>2791</v>
      </c>
      <c r="C135" s="3117" t="s">
        <v>2792</v>
      </c>
      <c r="D135" s="3091" t="s">
        <v>2793</v>
      </c>
      <c r="E135" s="3117">
        <v>0.1</v>
      </c>
      <c r="F135" s="3117">
        <v>15</v>
      </c>
    </row>
    <row r="136" spans="1:6" ht="24">
      <c r="A136" s="3117">
        <v>64</v>
      </c>
      <c r="B136" s="3937"/>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47" t="str">
        <f>IF(项目基本情况!B9="房地产市场价值","估价结果一览表","结果表-2")</f>
        <v>估价结果一览表</v>
      </c>
      <c r="B1" s="3647"/>
      <c r="C1" s="3647"/>
      <c r="D1" s="3647"/>
      <c r="E1" s="3647"/>
      <c r="F1" s="3647"/>
      <c r="G1" s="3647"/>
      <c r="H1" s="3647"/>
      <c r="I1" s="3647"/>
    </row>
    <row r="2" spans="1:9" ht="30" customHeight="1" thickTop="1">
      <c r="A2" s="3648" t="s">
        <v>928</v>
      </c>
      <c r="B2" s="3648" t="s">
        <v>929</v>
      </c>
      <c r="C2" s="3648" t="s">
        <v>930</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spans="1:9" ht="15.6">
      <c r="A3" s="3643"/>
      <c r="B3" s="3643"/>
      <c r="C3" s="3643"/>
      <c r="D3" s="854" t="s">
        <v>925</v>
      </c>
      <c r="E3" s="854" t="s">
        <v>931</v>
      </c>
      <c r="F3" s="854" t="s">
        <v>925</v>
      </c>
      <c r="G3" s="854" t="s">
        <v>926</v>
      </c>
      <c r="H3" s="854" t="s">
        <v>925</v>
      </c>
      <c r="I3" s="854" t="s">
        <v>926</v>
      </c>
    </row>
    <row r="4" spans="1:9" ht="15">
      <c r="A4" s="1505" t="str">
        <f>项目基本情况!S2</f>
        <v>北京市房地产</v>
      </c>
      <c r="B4" s="854">
        <f>项目基本情况!C17</f>
        <v>93.38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3" t="s">
        <v>927</v>
      </c>
      <c r="B5" s="3643"/>
      <c r="C5" s="3643"/>
      <c r="D5" s="3643" t="e">
        <f ca="1">结果表!D119</f>
        <v>#REF!</v>
      </c>
      <c r="E5" s="3643"/>
      <c r="F5" s="3643" t="e">
        <f ca="1">结果表!F119</f>
        <v>#REF!</v>
      </c>
      <c r="G5" s="3643"/>
      <c r="H5" s="3643" t="e">
        <f ca="1">结果表!H119</f>
        <v>#REF!</v>
      </c>
      <c r="I5" s="3643"/>
    </row>
    <row r="6" spans="1:9" ht="15.6">
      <c r="A6" s="3642" t="str">
        <f>结果表!A120</f>
        <v/>
      </c>
      <c r="B6" s="3642"/>
      <c r="C6" s="3642"/>
      <c r="D6" s="3642">
        <f>结果表!D120</f>
        <v>0</v>
      </c>
      <c r="E6" s="3642"/>
      <c r="F6" s="3642"/>
      <c r="G6" s="3642"/>
      <c r="H6" s="3642"/>
      <c r="I6" s="3642"/>
    </row>
    <row r="7" spans="1:9" ht="15">
      <c r="A7" s="3643" t="s">
        <v>927</v>
      </c>
      <c r="B7" s="3643"/>
      <c r="C7" s="3643"/>
      <c r="D7" s="3644" t="str">
        <f>结果表!D121</f>
        <v>零元整</v>
      </c>
      <c r="E7" s="3645"/>
      <c r="F7" s="3645"/>
      <c r="G7" s="3645"/>
      <c r="H7" s="3645"/>
      <c r="I7" s="3646"/>
    </row>
    <row r="8" spans="1:9" ht="15.6">
      <c r="A8" s="3642" t="str">
        <f>结果表!A122</f>
        <v/>
      </c>
      <c r="B8" s="3642"/>
      <c r="C8" s="3642"/>
      <c r="D8" s="3642" t="e">
        <f ca="1">结果表!D122</f>
        <v>#REF!</v>
      </c>
      <c r="E8" s="3642"/>
      <c r="F8" s="3642"/>
      <c r="G8" s="3642"/>
      <c r="H8" s="3642"/>
      <c r="I8" s="3642"/>
    </row>
    <row r="9" spans="1:9" ht="15">
      <c r="A9" s="3643" t="s">
        <v>927</v>
      </c>
      <c r="B9" s="3643"/>
      <c r="C9" s="3643"/>
      <c r="D9" s="3643" t="e">
        <f ca="1">结果表!D123</f>
        <v>#REF!</v>
      </c>
      <c r="E9" s="3643"/>
      <c r="F9" s="3643"/>
      <c r="G9" s="3643"/>
      <c r="H9" s="3643"/>
      <c r="I9" s="3643"/>
    </row>
    <row r="10" spans="1:9" ht="15.6">
      <c r="A10" s="3642" t="str">
        <f>结果表!A124</f>
        <v/>
      </c>
      <c r="B10" s="3642"/>
      <c r="C10" s="3642"/>
      <c r="D10" s="3642" t="str">
        <f>结果表!D124</f>
        <v>——</v>
      </c>
      <c r="E10" s="3642"/>
      <c r="F10" s="3642"/>
      <c r="G10" s="3642"/>
      <c r="H10" s="3642"/>
      <c r="I10" s="3642"/>
    </row>
    <row r="11" spans="1:9" ht="15">
      <c r="A11" s="3643" t="s">
        <v>927</v>
      </c>
      <c r="B11" s="3643"/>
      <c r="C11" s="3643"/>
      <c r="D11" s="3643" t="e">
        <f>结果表!D125</f>
        <v>#VALUE!</v>
      </c>
      <c r="E11" s="3643"/>
      <c r="F11" s="3643"/>
      <c r="G11" s="3643"/>
      <c r="H11" s="3643"/>
      <c r="I11" s="3643"/>
    </row>
    <row r="12" spans="1:9" ht="15.6">
      <c r="A12" s="3642" t="str">
        <f>结果表!A126</f>
        <v/>
      </c>
      <c r="B12" s="3642"/>
      <c r="C12" s="3642"/>
      <c r="D12" s="3642" t="str">
        <f>结果表!D126</f>
        <v>——</v>
      </c>
      <c r="E12" s="3642"/>
      <c r="F12" s="3642"/>
      <c r="G12" s="3642"/>
      <c r="H12" s="3642"/>
      <c r="I12" s="3642"/>
    </row>
    <row r="13" spans="1:9" ht="15.6" thickBot="1">
      <c r="A13" s="3640" t="s">
        <v>927</v>
      </c>
      <c r="B13" s="3640"/>
      <c r="C13" s="3640"/>
      <c r="D13" s="3640" t="e">
        <f>结果表!D127</f>
        <v>#VALUE!</v>
      </c>
      <c r="E13" s="3640"/>
      <c r="F13" s="3640"/>
      <c r="G13" s="3640"/>
      <c r="H13" s="3640"/>
      <c r="I13" s="3640"/>
    </row>
    <row r="14" spans="1:9" ht="14.4" thickTop="1">
      <c r="A14" s="3641" t="s">
        <v>932</v>
      </c>
      <c r="B14" s="3641"/>
      <c r="C14" s="3641"/>
      <c r="D14" s="3641"/>
      <c r="E14" s="3641"/>
      <c r="F14" s="3641"/>
      <c r="G14" s="3641"/>
      <c r="H14" s="3641"/>
      <c r="I14" s="3641"/>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26568</v>
      </c>
      <c r="C2" s="2" t="s">
        <v>106</v>
      </c>
      <c r="D2" s="199"/>
      <c r="E2" s="199"/>
      <c r="F2" s="199"/>
      <c r="G2" s="199"/>
    </row>
    <row r="3" spans="1:7" s="200" customFormat="1" ht="18" customHeight="1" thickBot="1">
      <c r="A3" s="203" t="s">
        <v>58</v>
      </c>
      <c r="B3" s="204">
        <f ca="1">ROUND(B2*10000/'数据-汇总表'!E3,0)</f>
        <v>2845149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93.38</v>
      </c>
      <c r="E9" s="225">
        <f>'数据-取费表'!B27</f>
        <v>80</v>
      </c>
      <c r="F9" s="221"/>
      <c r="G9" s="226"/>
    </row>
    <row r="10" spans="1:7" s="214" customFormat="1" ht="13.5" customHeight="1">
      <c r="A10" s="779" t="s">
        <v>356</v>
      </c>
      <c r="B10" s="224" t="s">
        <v>67</v>
      </c>
      <c r="C10" s="225">
        <f>ROUND(D10*E10/10000,0)</f>
        <v>0</v>
      </c>
      <c r="D10" s="845">
        <f>'数据-汇总表'!E6</f>
        <v>0</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93.38</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901</v>
      </c>
      <c r="D22" s="235">
        <f ca="1">C26</f>
        <v>2.0000000000000001E-4</v>
      </c>
      <c r="E22" s="236" t="s">
        <v>99</v>
      </c>
      <c r="F22" s="237">
        <f ca="1">'数据-取费表'!B40</f>
        <v>4.3500000000000004E-2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6.4">
      <c r="A27" s="777" t="s">
        <v>342</v>
      </c>
      <c r="B27" s="244" t="s">
        <v>85</v>
      </c>
      <c r="C27" s="245">
        <f>C28</f>
        <v>3123</v>
      </c>
      <c r="D27" s="235">
        <f>C29</f>
        <v>1.5E-3</v>
      </c>
      <c r="E27" s="236" t="s">
        <v>99</v>
      </c>
      <c r="F27" s="246">
        <f>'数据-取费表'!Q16</f>
        <v>0.15</v>
      </c>
      <c r="G27" s="247" t="s">
        <v>431</v>
      </c>
    </row>
    <row r="28" spans="1:7" s="214" customFormat="1" ht="13.5" customHeight="1">
      <c r="A28" s="780" t="s">
        <v>349</v>
      </c>
      <c r="B28" s="248" t="s">
        <v>424</v>
      </c>
      <c r="C28" s="249">
        <f>ROUND((C5+C19+C20)*F27*'数据-取费表'!B21/'数据-取费表'!B20,0)</f>
        <v>3123</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26543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2</v>
      </c>
      <c r="D37" s="217">
        <f>'数据-汇总表'!E3</f>
        <v>93.38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812" t="s">
        <v>94</v>
      </c>
    </row>
    <row r="43" spans="1:7" ht="13.5" customHeight="1">
      <c r="A43" s="780" t="s">
        <v>347</v>
      </c>
      <c r="B43" s="215" t="s">
        <v>426</v>
      </c>
      <c r="C43" s="238">
        <f ca="1">ROUND(IF('数据-取费表'!B22&lt;=1,C39*F22*'数据-取费表'!B21/2,C39*(POWER((1+F22),'数据-取费表'!B21/2)-1)),0)</f>
        <v>0</v>
      </c>
      <c r="D43" s="238"/>
      <c r="E43" s="238"/>
      <c r="F43" s="239"/>
      <c r="G43" s="3813"/>
    </row>
    <row r="44" spans="1:7" ht="13.5" customHeight="1">
      <c r="A44" s="780" t="s">
        <v>348</v>
      </c>
      <c r="B44" s="215" t="s">
        <v>428</v>
      </c>
      <c r="C44" s="238">
        <f ca="1">ROUND(IF('数据-取费表'!B22&lt;=1,C40*F22*'数据-取费表'!B21/2,C40*(POWER((1+F22),'数据-取费表'!B21/2)-1)),4)</f>
        <v>2.0000000000000001E-4</v>
      </c>
      <c r="D44" s="238"/>
      <c r="E44" s="238"/>
      <c r="F44" s="239"/>
      <c r="G44" s="3814"/>
    </row>
    <row r="45" spans="1:7" s="214" customFormat="1" ht="13.5" customHeight="1">
      <c r="A45" s="777" t="s">
        <v>341</v>
      </c>
      <c r="B45" s="244" t="s">
        <v>85</v>
      </c>
      <c r="C45" s="245">
        <f>C46</f>
        <v>5</v>
      </c>
      <c r="D45" s="235">
        <f>C47</f>
        <v>1.5E-3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25</v>
      </c>
      <c r="D51" s="232"/>
      <c r="E51" s="232"/>
      <c r="F51" s="264"/>
      <c r="G51" s="234" t="s">
        <v>37</v>
      </c>
    </row>
    <row r="52" spans="1:7" s="208" customFormat="1" ht="16.8" thickBot="1">
      <c r="A52" s="265" t="s">
        <v>38</v>
      </c>
      <c r="B52" s="266"/>
      <c r="C52" s="267">
        <f ca="1">C31+C51</f>
        <v>26568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951" t="s">
        <v>2841</v>
      </c>
      <c r="B1" s="3951"/>
      <c r="C1" s="3951"/>
      <c r="D1" s="3951"/>
      <c r="E1" s="3951"/>
      <c r="F1" s="3951"/>
      <c r="G1" s="3952"/>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949"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950"/>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953" t="s">
        <v>3183</v>
      </c>
      <c r="B1" s="3953"/>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954" t="s">
        <v>3234</v>
      </c>
      <c r="B1" s="3954"/>
      <c r="C1" s="3954"/>
      <c r="D1" s="3954"/>
      <c r="E1" s="3954"/>
      <c r="F1" s="3955"/>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20">
        <f>基准地价修正!G23</f>
        <v>45533</v>
      </c>
      <c r="B1" s="3209" t="s">
        <v>3372</v>
      </c>
      <c r="C1" s="3210"/>
      <c r="D1" s="3210"/>
      <c r="E1" s="3210"/>
      <c r="F1" s="3210"/>
      <c r="G1" s="3210"/>
      <c r="H1" s="3210"/>
      <c r="I1" s="3210"/>
      <c r="J1" s="3164"/>
      <c r="K1" s="3210" t="s">
        <v>454</v>
      </c>
      <c r="L1" s="3210"/>
      <c r="M1" s="3210"/>
      <c r="N1" s="3210"/>
      <c r="O1" s="3210"/>
      <c r="P1" s="3210"/>
      <c r="Q1" s="3164"/>
      <c r="R1" s="3956" t="s">
        <v>456</v>
      </c>
      <c r="S1" s="3957"/>
      <c r="T1" s="3957"/>
      <c r="U1" s="3957"/>
      <c r="V1" s="3957"/>
      <c r="W1" s="3957"/>
      <c r="X1" s="3164"/>
      <c r="Y1" s="3956" t="s">
        <v>457</v>
      </c>
      <c r="Z1" s="3957"/>
      <c r="AA1" s="3957"/>
      <c r="AB1" s="3957"/>
      <c r="AC1" s="3957"/>
      <c r="AD1" s="3957"/>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3375</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3376</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3.2">
      <c r="A7" s="3185" t="s">
        <v>3378</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3.2">
      <c r="A8" s="3175" t="s">
        <v>3379</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3.2">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3370</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3369</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3365</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3356</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2822</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2823</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2824</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2825</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2826</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3367</v>
      </c>
    </row>
    <row r="21" spans="1:30" s="3008" customFormat="1">
      <c r="I21" s="3207" t="s">
        <v>2827</v>
      </c>
    </row>
    <row r="22" spans="1:30" s="3008" customFormat="1"/>
    <row r="23" spans="1:30" s="3208" customFormat="1" ht="13.2">
      <c r="B23" s="3209" t="s">
        <v>3373</v>
      </c>
      <c r="C23" s="3210"/>
      <c r="D23" s="3210"/>
      <c r="E23" s="3210"/>
      <c r="F23" s="3210"/>
      <c r="G23" s="3210"/>
      <c r="H23" s="3210"/>
      <c r="I23" s="3210"/>
      <c r="J23" s="3164"/>
      <c r="K23" s="3210" t="s">
        <v>2828</v>
      </c>
      <c r="L23" s="3210"/>
      <c r="M23" s="3210"/>
      <c r="N23" s="3210"/>
      <c r="O23" s="3210"/>
      <c r="P23" s="3210"/>
      <c r="Q23" s="3164"/>
      <c r="R23" s="3956" t="s">
        <v>2829</v>
      </c>
      <c r="S23" s="3957"/>
      <c r="T23" s="3957"/>
      <c r="U23" s="3957"/>
      <c r="V23" s="3957"/>
      <c r="W23" s="3957"/>
      <c r="X23" s="3164"/>
      <c r="Y23" s="3956" t="s">
        <v>2830</v>
      </c>
      <c r="Z23" s="3957"/>
      <c r="AA23" s="3957"/>
      <c r="AB23" s="3957"/>
      <c r="AC23" s="3957"/>
      <c r="AD23" s="3957"/>
    </row>
    <row r="24" spans="1:30" s="3142" customFormat="1" ht="15" thickBot="1">
      <c r="B24" s="3143"/>
      <c r="C24" s="3144"/>
      <c r="D24" s="3145" t="s">
        <v>2831</v>
      </c>
      <c r="E24" s="3146" t="s">
        <v>2832</v>
      </c>
      <c r="F24" s="3146" t="s">
        <v>2833</v>
      </c>
      <c r="G24" s="3146" t="s">
        <v>2834</v>
      </c>
      <c r="H24" s="3146"/>
      <c r="I24" s="3146" t="s">
        <v>2835</v>
      </c>
      <c r="J24" s="3147"/>
      <c r="K24" s="3145" t="s">
        <v>2831</v>
      </c>
      <c r="L24" s="3146" t="s">
        <v>2832</v>
      </c>
      <c r="M24" s="3146" t="s">
        <v>2833</v>
      </c>
      <c r="N24" s="3146" t="s">
        <v>2834</v>
      </c>
      <c r="O24" s="3146"/>
      <c r="P24" s="3146" t="s">
        <v>2835</v>
      </c>
      <c r="Q24" s="3147"/>
      <c r="R24" s="3145" t="s">
        <v>2831</v>
      </c>
      <c r="S24" s="3146" t="s">
        <v>2832</v>
      </c>
      <c r="T24" s="3146" t="s">
        <v>2833</v>
      </c>
      <c r="U24" s="3146" t="s">
        <v>2834</v>
      </c>
      <c r="V24" s="3146"/>
      <c r="W24" s="3146" t="s">
        <v>2835</v>
      </c>
      <c r="X24" s="3147"/>
      <c r="Y24" s="3145" t="s">
        <v>2831</v>
      </c>
      <c r="Z24" s="3146" t="s">
        <v>2832</v>
      </c>
      <c r="AA24" s="3146" t="s">
        <v>2833</v>
      </c>
      <c r="AB24" s="3146" t="s">
        <v>2834</v>
      </c>
      <c r="AC24" s="3146"/>
      <c r="AD24" s="3146" t="s">
        <v>2835</v>
      </c>
    </row>
    <row r="25" spans="1:30" s="3160" customFormat="1" ht="13.2">
      <c r="A25" s="3148" t="s">
        <v>2836</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3375</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3376</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3.2">
      <c r="A29" s="3185" t="s">
        <v>3380</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3.2">
      <c r="A30" s="3175" t="s">
        <v>3379</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3.2">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3370</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3369</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3366</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3356</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2837</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2838</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2839</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2840</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2826</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63" t="s">
        <v>452</v>
      </c>
      <c r="C1" s="3963"/>
      <c r="D1" s="3963"/>
      <c r="E1" s="3963"/>
      <c r="F1" s="3963"/>
      <c r="G1" s="3962" t="s">
        <v>453</v>
      </c>
      <c r="H1" s="3962"/>
      <c r="I1" s="3962"/>
      <c r="J1" s="3962"/>
      <c r="K1" s="3962"/>
      <c r="L1" s="3962"/>
      <c r="N1" s="3962" t="s">
        <v>454</v>
      </c>
      <c r="O1" s="3962"/>
      <c r="P1" s="3962"/>
      <c r="Q1" s="3962"/>
      <c r="S1" s="3962" t="s">
        <v>455</v>
      </c>
      <c r="T1" s="3962"/>
      <c r="U1" s="3962"/>
      <c r="V1" s="3962"/>
      <c r="X1" s="3961" t="s">
        <v>456</v>
      </c>
      <c r="Y1" s="3962"/>
      <c r="Z1" s="3962"/>
      <c r="AA1" s="3962"/>
      <c r="AB1" s="3962"/>
      <c r="AD1" s="3961" t="s">
        <v>457</v>
      </c>
      <c r="AE1" s="3962"/>
      <c r="AF1" s="3962"/>
      <c r="AG1" s="3962"/>
      <c r="AH1" s="3962"/>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5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5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5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6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96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5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5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6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6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5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5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6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5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5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5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6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5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5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5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6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6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6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6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6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5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5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5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6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5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5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5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6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5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5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5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6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5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5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5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6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5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5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5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6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5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5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5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6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5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5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5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6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5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5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5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6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5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5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5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6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5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5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59">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60">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5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5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59">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60">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45533</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55" t="s">
        <v>949</v>
      </c>
      <c r="B1" s="3655"/>
      <c r="C1" s="3655"/>
      <c r="D1" s="3655"/>
    </row>
    <row r="2" spans="1:4" ht="17.399999999999999">
      <c r="A2" s="3656" t="s">
        <v>933</v>
      </c>
      <c r="B2" s="3656"/>
      <c r="C2" s="3656"/>
      <c r="D2" s="3656"/>
    </row>
    <row r="3" spans="1:4" ht="17.399999999999999">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7.399999999999999">
      <c r="A6" s="3656" t="s">
        <v>939</v>
      </c>
      <c r="B6" s="3656"/>
      <c r="C6" s="3656"/>
      <c r="D6" s="365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57" t="s">
        <v>942</v>
      </c>
      <c r="B11" s="3649"/>
      <c r="C11" s="3649"/>
      <c r="D11" s="3649"/>
    </row>
    <row r="12" spans="1:4" ht="15.6">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spans="1:4" ht="30" customHeight="1">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spans="1:4" ht="15.75" customHeight="1">
      <c r="A14" s="3649" t="str">
        <f>IF(项目基本情况!B8="抵押","4.本次评估估价师所知悉的法定优先受偿款情况说明如下：","——")</f>
        <v>4.本次评估估价师所知悉的法定优先受偿款情况说明如下：</v>
      </c>
      <c r="B14" s="3654"/>
      <c r="C14" s="3654"/>
      <c r="D14" s="3654"/>
    </row>
    <row r="15" spans="1:4" ht="42" customHeight="1">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spans="1:4" ht="30" customHeight="1">
      <c r="A16" s="3651" t="s">
        <v>943</v>
      </c>
      <c r="B16" s="3651"/>
      <c r="C16" s="3651"/>
      <c r="D16" s="3651"/>
    </row>
    <row r="17" spans="1:4" ht="144" customHeight="1">
      <c r="A17" s="3651" t="s">
        <v>944</v>
      </c>
      <c r="B17" s="3651"/>
      <c r="C17" s="3651"/>
      <c r="D17" s="3651"/>
    </row>
    <row r="18" spans="1:4" ht="15.75" customHeight="1">
      <c r="A18" s="3649" t="str">
        <f>IF(项目基本情况!B8="抵押",结果表!K120,"——")</f>
        <v>故，本次评估不存在</v>
      </c>
      <c r="B18" s="3649"/>
      <c r="C18" s="3649"/>
      <c r="D18" s="3649"/>
    </row>
    <row r="19" spans="1:4" ht="46.5" customHeight="1">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spans="1:4" ht="57.75" customHeight="1">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9"/>
      <c r="C20" s="3649"/>
      <c r="D20" s="3649"/>
    </row>
    <row r="21" spans="1:4" ht="57.75" customHeight="1">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2"/>
      <c r="C21" s="3652"/>
      <c r="D21" s="3652"/>
    </row>
    <row r="22" spans="1:4" ht="18.75" customHeight="1">
      <c r="A22" s="3653" t="s">
        <v>945</v>
      </c>
      <c r="B22" s="3653"/>
      <c r="C22" s="3653"/>
      <c r="D22" s="365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50">
        <v>42551</v>
      </c>
      <c r="D31" s="36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63" t="s">
        <v>956</v>
      </c>
      <c r="B15" s="3658" t="s">
        <v>109</v>
      </c>
      <c r="C15" s="3659"/>
    </row>
    <row r="16" spans="1:7" ht="14.4">
      <c r="A16" s="3664"/>
      <c r="B16" s="3658" t="s">
        <v>42</v>
      </c>
      <c r="C16" s="3659"/>
    </row>
    <row r="17" spans="1:3" ht="14.4">
      <c r="A17" s="3664"/>
      <c r="B17" s="3661" t="s">
        <v>957</v>
      </c>
      <c r="C17" s="1532" t="s">
        <v>956</v>
      </c>
    </row>
    <row r="18" spans="1:3" ht="14.4">
      <c r="A18" s="3664"/>
      <c r="B18" s="3661"/>
      <c r="C18" s="1532" t="s">
        <v>958</v>
      </c>
    </row>
    <row r="19" spans="1:3" ht="14.4">
      <c r="A19" s="3664"/>
      <c r="B19" s="3661"/>
      <c r="C19" s="1532" t="s">
        <v>959</v>
      </c>
    </row>
    <row r="20" spans="1:3" ht="14.4">
      <c r="A20" s="3665"/>
      <c r="B20" s="3660" t="s">
        <v>960</v>
      </c>
      <c r="C20" s="3659"/>
    </row>
    <row r="21" spans="1:3" ht="14.4">
      <c r="A21" s="1533" t="s">
        <v>961</v>
      </c>
      <c r="B21" s="1534"/>
      <c r="C21" s="1535"/>
    </row>
    <row r="22" spans="1:3" ht="14.4">
      <c r="A22" s="3662" t="s">
        <v>962</v>
      </c>
      <c r="B22" s="3660" t="s">
        <v>963</v>
      </c>
      <c r="C22" s="3659"/>
    </row>
    <row r="23" spans="1:3" ht="14.4">
      <c r="A23" s="3662"/>
      <c r="B23" s="3660" t="s">
        <v>964</v>
      </c>
      <c r="C23" s="3659"/>
    </row>
    <row r="24" spans="1:3" ht="14.4">
      <c r="A24" s="3662"/>
      <c r="B24" s="3660" t="s">
        <v>965</v>
      </c>
      <c r="C24" s="3659"/>
    </row>
    <row r="25" spans="1:3" ht="14.4">
      <c r="A25" s="3662"/>
      <c r="B25" s="3661" t="s">
        <v>966</v>
      </c>
      <c r="C25" s="1532" t="s">
        <v>967</v>
      </c>
    </row>
    <row r="26" spans="1:3" ht="14.4">
      <c r="A26" s="3662"/>
      <c r="B26" s="3661"/>
      <c r="C26" s="1532" t="s">
        <v>968</v>
      </c>
    </row>
    <row r="27" spans="1:3" ht="14.4">
      <c r="A27" s="3662"/>
      <c r="B27" s="3661"/>
      <c r="C27" s="1532" t="s">
        <v>969</v>
      </c>
    </row>
    <row r="28" spans="1:3" ht="14.4">
      <c r="A28" s="3662"/>
      <c r="B28" s="3661"/>
      <c r="C28" s="1532" t="s">
        <v>970</v>
      </c>
    </row>
    <row r="29" spans="1:3" ht="14.4">
      <c r="A29" s="3662"/>
      <c r="B29" s="3661"/>
      <c r="C29" s="1532" t="s">
        <v>971</v>
      </c>
    </row>
    <row r="30" spans="1:3" ht="14.4">
      <c r="A30" s="3662"/>
      <c r="B30" s="3661"/>
      <c r="C30" s="1532" t="s">
        <v>972</v>
      </c>
    </row>
    <row r="31" spans="1:3" ht="14.4">
      <c r="A31" s="3662"/>
      <c r="B31" s="3661"/>
      <c r="C31" s="1532" t="s">
        <v>973</v>
      </c>
    </row>
    <row r="32" spans="1:3" ht="14.4">
      <c r="A32" s="3662"/>
      <c r="B32" s="3661"/>
      <c r="C32" s="1532" t="s">
        <v>974</v>
      </c>
    </row>
    <row r="33" spans="1:3" ht="14.4">
      <c r="A33" s="3662"/>
      <c r="B33" s="3661"/>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45575</v>
      </c>
      <c r="C2" s="2339" t="s">
        <v>2139</v>
      </c>
      <c r="D2" s="2339"/>
      <c r="E2" s="2339"/>
      <c r="F2" s="2335"/>
      <c r="G2" s="2335"/>
      <c r="H2" s="2335"/>
    </row>
    <row r="3" spans="1:8" ht="24" customHeight="1">
      <c r="A3" s="2340" t="s">
        <v>2140</v>
      </c>
      <c r="B3" s="2341" t="s">
        <v>2141</v>
      </c>
      <c r="C3" s="2341" t="s">
        <v>2142</v>
      </c>
      <c r="D3" s="2342" t="s">
        <v>2143</v>
      </c>
      <c r="E3" s="2343" t="s">
        <v>2144</v>
      </c>
      <c r="F3" s="1304" t="s">
        <v>2145</v>
      </c>
      <c r="G3" s="2341" t="s">
        <v>2142</v>
      </c>
      <c r="H3" s="2342" t="s">
        <v>2146</v>
      </c>
    </row>
    <row r="4" spans="1:8" ht="24" customHeight="1">
      <c r="A4" s="1304" t="s">
        <v>2147</v>
      </c>
      <c r="B4" s="1304">
        <f ca="1">IF(C4&lt;B2,"已过期",1119970066)</f>
        <v>1119970066</v>
      </c>
      <c r="C4" s="2344">
        <v>45937</v>
      </c>
      <c r="D4" s="2345" t="str">
        <f ca="1">A4&amp;"（注册号："&amp;B4&amp;"）"</f>
        <v>梁津（注册号：1119970066）</v>
      </c>
      <c r="E4" s="2346" t="s">
        <v>2147</v>
      </c>
      <c r="F4" s="1304">
        <f ca="1">IF(G4&lt;B2,"已过期",96010014)</f>
        <v>96010014</v>
      </c>
      <c r="G4" s="2347">
        <v>47118</v>
      </c>
      <c r="H4" s="2348" t="str">
        <f ca="1">E4&amp;"（注册号："&amp;F4&amp;"）"</f>
        <v>梁津（注册号：96010014）</v>
      </c>
    </row>
    <row r="5" spans="1:8" ht="24" customHeight="1">
      <c r="A5" s="1304" t="s">
        <v>2148</v>
      </c>
      <c r="B5" s="1304">
        <f ca="1">IF(C5&lt;B2,"已过期",1119970111)</f>
        <v>1119970111</v>
      </c>
      <c r="C5" s="2344">
        <v>45937</v>
      </c>
      <c r="D5" s="2345" t="str">
        <f t="shared" ref="D5:D15" ca="1" si="0">A5&amp;"（注册号："&amp;B5&amp;"）"</f>
        <v>叶凌（注册号：1119970111）</v>
      </c>
      <c r="E5" s="2346" t="s">
        <v>2148</v>
      </c>
      <c r="F5" s="1304">
        <f ca="1">IF(G5&lt;B2,"已过期",94010078)</f>
        <v>94010078</v>
      </c>
      <c r="G5" s="2347">
        <v>46387</v>
      </c>
      <c r="H5" s="2348" t="str">
        <f t="shared" ref="H5:H16" ca="1" si="1">E5&amp;"（注册号："&amp;F5&amp;"）"</f>
        <v>叶凌（注册号：94010078）</v>
      </c>
    </row>
    <row r="6" spans="1:8" ht="24" customHeight="1">
      <c r="A6" s="1304" t="s">
        <v>2149</v>
      </c>
      <c r="B6" s="1304" t="str">
        <f ca="1">IF(C6&lt;B2,"已过期",1120050019)</f>
        <v>已过期</v>
      </c>
      <c r="C6" s="2344">
        <v>45410</v>
      </c>
      <c r="D6" s="2345" t="str">
        <f t="shared" ca="1" si="0"/>
        <v>王鹏（注册号：已过期）</v>
      </c>
      <c r="E6" s="2346" t="s">
        <v>2149</v>
      </c>
      <c r="F6" s="1304">
        <f ca="1">IF(G6&lt;B2,"已过期",2002110030)</f>
        <v>2002110030</v>
      </c>
      <c r="G6" s="2347">
        <v>46387</v>
      </c>
      <c r="H6" s="2348" t="str">
        <f t="shared" ca="1" si="1"/>
        <v>王鹏（注册号：2002110030）</v>
      </c>
    </row>
    <row r="7" spans="1:8" ht="24" customHeight="1">
      <c r="A7" s="1304" t="s">
        <v>2150</v>
      </c>
      <c r="B7" s="1304">
        <f ca="1">IF(C7&lt;B2,"已过期",1120000080)</f>
        <v>1120000080</v>
      </c>
      <c r="C7" s="2344">
        <v>45937</v>
      </c>
      <c r="D7" s="2345" t="str">
        <f t="shared" ca="1" si="0"/>
        <v>欧红伟（注册号：1120000080）</v>
      </c>
      <c r="E7" s="2346" t="s">
        <v>2150</v>
      </c>
      <c r="F7" s="1304">
        <f ca="1">IF(G7&lt;B2,"已过期",2000110082)</f>
        <v>2000110082</v>
      </c>
      <c r="G7" s="2347">
        <v>46387</v>
      </c>
      <c r="H7" s="2348" t="str">
        <f t="shared" ca="1" si="1"/>
        <v>欧红伟（注册号：2000110082）</v>
      </c>
    </row>
    <row r="8" spans="1:8" ht="24" customHeight="1">
      <c r="A8" s="1304" t="s">
        <v>2151</v>
      </c>
      <c r="B8" s="1304">
        <f ca="1">IF(C8&lt;B2,"已过期",1419970001)</f>
        <v>1419970001</v>
      </c>
      <c r="C8" s="2344">
        <v>45937</v>
      </c>
      <c r="D8" s="2345" t="str">
        <f t="shared" ca="1" si="0"/>
        <v>吴薇（注册号：1419970001）</v>
      </c>
      <c r="E8" s="2346" t="s">
        <v>2151</v>
      </c>
      <c r="F8" s="1304">
        <f ca="1">IF(G8&lt;B2,"已过期",2002110125)</f>
        <v>2002110125</v>
      </c>
      <c r="G8" s="2347">
        <v>47118</v>
      </c>
      <c r="H8" s="2348" t="str">
        <f t="shared" ca="1" si="1"/>
        <v>吴薇（注册号：2002110125）</v>
      </c>
    </row>
    <row r="9" spans="1:8" ht="24" customHeight="1">
      <c r="A9" s="1304" t="s">
        <v>2152</v>
      </c>
      <c r="B9" s="1304">
        <f ca="1">IF(C9&lt;B2,"已过期",1120060040)</f>
        <v>1120060040</v>
      </c>
      <c r="C9" s="2349">
        <v>45592</v>
      </c>
      <c r="D9" s="2345" t="str">
        <f t="shared" ca="1" si="0"/>
        <v>陈颖（注册号：1120060040）</v>
      </c>
      <c r="E9" s="2346" t="s">
        <v>2152</v>
      </c>
      <c r="F9" s="1304">
        <f ca="1">IF(G9&lt;B2,"已过期",2004110096)</f>
        <v>2004110096</v>
      </c>
      <c r="G9" s="2347">
        <v>47118</v>
      </c>
      <c r="H9" s="2348" t="str">
        <f t="shared" ca="1" si="1"/>
        <v>陈颖（注册号：2004110096）</v>
      </c>
    </row>
    <row r="10" spans="1:8" ht="24" customHeight="1">
      <c r="A10" s="1304" t="s">
        <v>2153</v>
      </c>
      <c r="B10" s="1304">
        <f ca="1">IF(C10&lt;B2,"已过期",1120100036)</f>
        <v>1120100036</v>
      </c>
      <c r="C10" s="2349">
        <v>45752</v>
      </c>
      <c r="D10" s="2345" t="str">
        <f t="shared" ca="1" si="0"/>
        <v>崔锴（注册号：1120100036）</v>
      </c>
      <c r="E10" s="2346" t="s">
        <v>2153</v>
      </c>
      <c r="F10" s="1304">
        <f ca="1">IF(G10&lt;B2,"已过期",2010110070)</f>
        <v>2010110070</v>
      </c>
      <c r="G10" s="2347">
        <v>47907</v>
      </c>
      <c r="H10" s="2348" t="str">
        <f t="shared" ca="1" si="1"/>
        <v>崔锴（注册号：2010110070）</v>
      </c>
    </row>
    <row r="11" spans="1:8" ht="24" customHeight="1">
      <c r="A11" s="1304" t="s">
        <v>2154</v>
      </c>
      <c r="B11" s="1304">
        <f ca="1">IF(C11&lt;B2,"已过期",1120070131)</f>
        <v>1120070131</v>
      </c>
      <c r="C11" s="2344">
        <v>45937</v>
      </c>
      <c r="D11" s="2345" t="str">
        <f t="shared" ca="1" si="0"/>
        <v>郑燚（注册号：1120070131）</v>
      </c>
      <c r="E11" s="2346" t="s">
        <v>2154</v>
      </c>
      <c r="F11" s="1304">
        <f ca="1">IF(G11&lt;B2,"已过期",2014110011)</f>
        <v>2014110011</v>
      </c>
      <c r="G11" s="2347">
        <v>49302</v>
      </c>
      <c r="H11" s="2348" t="str">
        <f t="shared" ca="1" si="1"/>
        <v>郑燚（注册号：2014110011）</v>
      </c>
    </row>
    <row r="12" spans="1:8" ht="24" customHeight="1">
      <c r="A12" s="1304" t="s">
        <v>2155</v>
      </c>
      <c r="B12" s="1304">
        <f ca="1">IF(C12&lt;B2,"已过期",1120040230)</f>
        <v>1120040230</v>
      </c>
      <c r="C12" s="2349">
        <v>45937</v>
      </c>
      <c r="D12" s="2345" t="str">
        <f t="shared" ca="1" si="0"/>
        <v>苏海（注册号：1120040230）</v>
      </c>
      <c r="E12" s="2346" t="s">
        <v>2155</v>
      </c>
      <c r="F12" s="1304">
        <f ca="1">IF(G12&lt;B2,"已过期",98030020)</f>
        <v>98030020</v>
      </c>
      <c r="G12" s="2347">
        <v>47118</v>
      </c>
      <c r="H12" s="2348" t="str">
        <f t="shared" ca="1" si="1"/>
        <v>苏海（注册号：98030020）</v>
      </c>
    </row>
    <row r="13" spans="1:8" ht="24" customHeight="1">
      <c r="A13" s="1304" t="s">
        <v>2156</v>
      </c>
      <c r="B13" s="1304" t="str">
        <f ca="1">IF(C13&lt;B2,"已过期",1120020033)</f>
        <v>已过期</v>
      </c>
      <c r="C13" s="2344">
        <v>45375</v>
      </c>
      <c r="D13" s="2345" t="str">
        <f t="shared" ca="1" si="0"/>
        <v>刘敬东（注册号：已过期）</v>
      </c>
      <c r="E13" s="2346" t="s">
        <v>2156</v>
      </c>
      <c r="F13" s="1304">
        <f ca="1">IF(G13&lt;B2,"已过期",2000110137)</f>
        <v>2000110137</v>
      </c>
      <c r="G13" s="2347">
        <v>46387</v>
      </c>
      <c r="H13" s="2348" t="str">
        <f t="shared" ca="1" si="1"/>
        <v>刘敬东（注册号：2000110137）</v>
      </c>
    </row>
    <row r="14" spans="1:8" ht="24" customHeight="1">
      <c r="A14" s="1304" t="s">
        <v>2157</v>
      </c>
      <c r="B14" s="1304" t="str">
        <f ca="1">IF(C14&lt;B2,"已过期",1119980106)</f>
        <v>已过期</v>
      </c>
      <c r="C14" s="2349">
        <v>44969</v>
      </c>
      <c r="D14" s="2345" t="str">
        <f t="shared" ca="1" si="0"/>
        <v>刘俊财（注册号：已过期）</v>
      </c>
      <c r="E14" s="2346" t="s">
        <v>2157</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2158</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66" t="s">
        <v>2159</v>
      </c>
      <c r="B17" s="3666"/>
      <c r="C17" s="3666"/>
      <c r="D17" s="3666"/>
      <c r="E17" s="3666"/>
      <c r="F17" s="3666"/>
      <c r="G17" s="3666"/>
      <c r="H17" s="3666"/>
    </row>
    <row r="18" spans="1:8" ht="24" customHeight="1">
      <c r="A18" s="3667" t="s">
        <v>2160</v>
      </c>
      <c r="B18" s="3667"/>
      <c r="C18" s="3667"/>
      <c r="D18" s="2342"/>
      <c r="E18" s="3668" t="s">
        <v>2161</v>
      </c>
      <c r="F18" s="3667"/>
      <c r="G18" s="366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4"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166</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Sheet3</vt:lpstr>
      <vt:lpstr>Sheet4</vt:lpstr>
      <vt:lpstr>Sheet1</vt:lpstr>
      <vt:lpstr>库</vt:lpstr>
      <vt:lpstr>成交</vt:lpstr>
      <vt:lpstr>成交案例</vt:lpstr>
      <vt:lpstr>收益法-酒店模型</vt:lpstr>
      <vt:lpstr>收益法（汇总）</vt:lpstr>
      <vt:lpstr>价格指数</vt:lpstr>
      <vt:lpstr>收益法3.31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收益法12.31!Print_Area</vt:lpstr>
      <vt:lpstr>收益法3.31!Print_Area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2024-10-10T10:08:39Z</dcterms:modified>
</cp:coreProperties>
</file>