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D:\工作\2025-1-0464黄冈市黄州区胜利街88号黄冈居然之家垂直森林城市综合体\"/>
    </mc:Choice>
  </mc:AlternateContent>
  <xr:revisionPtr revIDLastSave="0" documentId="13_ncr:1_{99129398-6AFF-4C87-A8A5-9F7D3D903CF1}" xr6:coauthVersionLast="47" xr6:coauthVersionMax="47" xr10:uidLastSave="{00000000-0000-0000-0000-000000000000}"/>
  <bookViews>
    <workbookView xWindow="-120" yWindow="-120" windowWidth="29040" windowHeight="1584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附表" sheetId="83"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土地比较法-住宅、综合" sheetId="39" r:id="rId24"/>
    <sheet name="收益法" sheetId="15" r:id="rId25"/>
    <sheet name="土地案例" sheetId="81" r:id="rId26"/>
    <sheet name="2024年12月" sheetId="8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46" i="39" l="1"/>
  <c r="G46" i="39"/>
  <c r="E46" i="39"/>
  <c r="B62" i="80"/>
  <c r="F2" i="80"/>
  <c r="E62" i="83" l="1"/>
  <c r="D62" i="83"/>
  <c r="K4" i="82"/>
  <c r="K5" i="82"/>
  <c r="K6" i="82"/>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59" i="82"/>
  <c r="K60" i="82"/>
  <c r="K61" i="82"/>
  <c r="K62" i="82"/>
  <c r="K63" i="82"/>
  <c r="K64" i="82"/>
  <c r="K65" i="82"/>
  <c r="K66" i="82"/>
  <c r="K67" i="82"/>
  <c r="K68" i="82"/>
  <c r="K69" i="82"/>
  <c r="K70" i="82"/>
  <c r="K71" i="82"/>
  <c r="K72" i="82"/>
  <c r="K73" i="82"/>
  <c r="K74" i="82"/>
  <c r="K75" i="82"/>
  <c r="K76" i="82"/>
  <c r="K77" i="82"/>
  <c r="K78" i="82"/>
  <c r="K79" i="82"/>
  <c r="K80" i="82"/>
  <c r="K81" i="82"/>
  <c r="K82" i="82"/>
  <c r="K83" i="82"/>
  <c r="K84" i="82"/>
  <c r="K85" i="82"/>
  <c r="K86" i="82"/>
  <c r="K87" i="82"/>
  <c r="K88" i="82"/>
  <c r="K89" i="82"/>
  <c r="K90" i="82"/>
  <c r="K91" i="82"/>
  <c r="K92" i="82"/>
  <c r="K93" i="82"/>
  <c r="K94" i="82"/>
  <c r="K95" i="82"/>
  <c r="K96" i="82"/>
  <c r="K97" i="82"/>
  <c r="K98" i="82"/>
  <c r="K99" i="82"/>
  <c r="K100" i="82"/>
  <c r="K101" i="82"/>
  <c r="K102" i="82"/>
  <c r="K103" i="82"/>
  <c r="K104" i="82"/>
  <c r="K105" i="82"/>
  <c r="K106" i="82"/>
  <c r="K107" i="82"/>
  <c r="K108" i="82"/>
  <c r="K109" i="82"/>
  <c r="K110" i="82"/>
  <c r="K111" i="82"/>
  <c r="K112" i="82"/>
  <c r="K113" i="82"/>
  <c r="K114" i="82"/>
  <c r="K115" i="82"/>
  <c r="K116" i="82"/>
  <c r="K117" i="82"/>
  <c r="K118" i="82"/>
  <c r="K119" i="82"/>
  <c r="K120" i="82"/>
  <c r="K121" i="82"/>
  <c r="K122" i="82"/>
  <c r="K123" i="82"/>
  <c r="K124" i="82"/>
  <c r="K125" i="82"/>
  <c r="K126" i="82"/>
  <c r="K127" i="82"/>
  <c r="K128" i="82"/>
  <c r="K129" i="82"/>
  <c r="K130" i="82"/>
  <c r="K131" i="82"/>
  <c r="K132" i="82"/>
  <c r="K133" i="82"/>
  <c r="K134" i="82"/>
  <c r="K135" i="82"/>
  <c r="K136" i="82"/>
  <c r="K137" i="82"/>
  <c r="K138" i="82"/>
  <c r="K139" i="82"/>
  <c r="K140" i="82"/>
  <c r="K141" i="82"/>
  <c r="K142" i="82"/>
  <c r="K143" i="82"/>
  <c r="K144" i="82"/>
  <c r="K145" i="82"/>
  <c r="K146" i="82"/>
  <c r="K147" i="82"/>
  <c r="K148" i="82"/>
  <c r="K149" i="82"/>
  <c r="K150" i="82"/>
  <c r="K151" i="82"/>
  <c r="K152" i="82"/>
  <c r="K153" i="82"/>
  <c r="K154" i="82"/>
  <c r="K155" i="82"/>
  <c r="K156" i="82"/>
  <c r="K157" i="82"/>
  <c r="K158" i="82"/>
  <c r="K159" i="82"/>
  <c r="K160" i="82"/>
  <c r="K161" i="82"/>
  <c r="K162" i="82"/>
  <c r="K163" i="82"/>
  <c r="K164" i="82"/>
  <c r="K165" i="82"/>
  <c r="K166" i="82"/>
  <c r="K167" i="82"/>
  <c r="K168" i="82"/>
  <c r="K169" i="82"/>
  <c r="K170" i="82"/>
  <c r="K171" i="82"/>
  <c r="K172" i="82"/>
  <c r="K173" i="82"/>
  <c r="K174" i="82"/>
  <c r="K175" i="82"/>
  <c r="K176" i="82"/>
  <c r="K177" i="82"/>
  <c r="K178" i="82"/>
  <c r="K179" i="82"/>
  <c r="K180" i="82"/>
  <c r="K181" i="82"/>
  <c r="K182" i="82"/>
  <c r="K183" i="82"/>
  <c r="K184" i="82"/>
  <c r="K3" i="82"/>
  <c r="J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59" i="82"/>
  <c r="J60" i="82"/>
  <c r="J61" i="82"/>
  <c r="J62" i="82"/>
  <c r="J63" i="82"/>
  <c r="J64" i="82"/>
  <c r="J65" i="82"/>
  <c r="J66" i="82"/>
  <c r="J67" i="82"/>
  <c r="J68" i="82"/>
  <c r="J69" i="82"/>
  <c r="J70" i="82"/>
  <c r="J71" i="82"/>
  <c r="J72" i="82"/>
  <c r="J73" i="82"/>
  <c r="J74" i="82"/>
  <c r="J75" i="82"/>
  <c r="J76" i="82"/>
  <c r="J77" i="82"/>
  <c r="J78" i="82"/>
  <c r="J79" i="82"/>
  <c r="J80" i="82"/>
  <c r="J81" i="82"/>
  <c r="J82" i="82"/>
  <c r="J83" i="82"/>
  <c r="J84" i="82"/>
  <c r="J85" i="82"/>
  <c r="J86" i="82"/>
  <c r="J87" i="82"/>
  <c r="J88" i="82"/>
  <c r="J89" i="82"/>
  <c r="J90" i="82"/>
  <c r="J91" i="82"/>
  <c r="J92" i="82"/>
  <c r="J93" i="82"/>
  <c r="J94" i="82"/>
  <c r="J95" i="82"/>
  <c r="J96" i="82"/>
  <c r="J97" i="82"/>
  <c r="J98" i="82"/>
  <c r="J99" i="82"/>
  <c r="J100" i="82"/>
  <c r="J101" i="82"/>
  <c r="J102" i="82"/>
  <c r="J103" i="82"/>
  <c r="J104" i="82"/>
  <c r="J105" i="82"/>
  <c r="J106" i="82"/>
  <c r="J107" i="82"/>
  <c r="J108" i="82"/>
  <c r="J109" i="82"/>
  <c r="J110" i="82"/>
  <c r="J111" i="82"/>
  <c r="J112" i="82"/>
  <c r="J113" i="82"/>
  <c r="J114" i="82"/>
  <c r="J115" i="82"/>
  <c r="J116" i="82"/>
  <c r="J117" i="82"/>
  <c r="J118" i="82"/>
  <c r="J119" i="82"/>
  <c r="J120" i="82"/>
  <c r="J121" i="82"/>
  <c r="J122" i="82"/>
  <c r="J123" i="82"/>
  <c r="J124" i="82"/>
  <c r="J125" i="82"/>
  <c r="J126" i="82"/>
  <c r="J127" i="82"/>
  <c r="J128" i="82"/>
  <c r="J129" i="82"/>
  <c r="J130" i="82"/>
  <c r="J131" i="82"/>
  <c r="J132" i="82"/>
  <c r="J133" i="82"/>
  <c r="J134" i="82"/>
  <c r="J135" i="82"/>
  <c r="J136" i="82"/>
  <c r="J137" i="82"/>
  <c r="J138" i="82"/>
  <c r="J139" i="82"/>
  <c r="J140" i="82"/>
  <c r="J141" i="82"/>
  <c r="J142" i="82"/>
  <c r="J143" i="82"/>
  <c r="J144" i="82"/>
  <c r="J145" i="82"/>
  <c r="J146" i="82"/>
  <c r="J147" i="82"/>
  <c r="J148" i="82"/>
  <c r="J149" i="82"/>
  <c r="J150" i="82"/>
  <c r="J151" i="82"/>
  <c r="J152" i="82"/>
  <c r="J153" i="82"/>
  <c r="J154" i="82"/>
  <c r="J155" i="82"/>
  <c r="J156" i="82"/>
  <c r="J157" i="82"/>
  <c r="J158" i="82"/>
  <c r="J159" i="82"/>
  <c r="J160" i="82"/>
  <c r="J161" i="82"/>
  <c r="J162" i="82"/>
  <c r="J163" i="82"/>
  <c r="J164" i="82"/>
  <c r="J165" i="82"/>
  <c r="J166" i="82"/>
  <c r="J167" i="82"/>
  <c r="J168" i="82"/>
  <c r="J169" i="82"/>
  <c r="J170" i="82"/>
  <c r="J171" i="82"/>
  <c r="J172" i="82"/>
  <c r="J173" i="82"/>
  <c r="J174" i="82"/>
  <c r="J175" i="82"/>
  <c r="J176" i="82"/>
  <c r="J177" i="82"/>
  <c r="J178" i="82"/>
  <c r="J179" i="82"/>
  <c r="J180" i="82"/>
  <c r="J181" i="82"/>
  <c r="J182" i="82"/>
  <c r="J183" i="82"/>
  <c r="J184" i="82"/>
  <c r="J3" i="82"/>
  <c r="F185" i="82"/>
  <c r="B21" i="1"/>
  <c r="M4" i="80"/>
  <c r="M5" i="80"/>
  <c r="M6" i="80"/>
  <c r="M7" i="80"/>
  <c r="M8" i="80"/>
  <c r="M3" i="80"/>
  <c r="K8" i="80"/>
  <c r="L8" i="80" s="1"/>
  <c r="K4" i="80"/>
  <c r="K5" i="80"/>
  <c r="K6" i="80"/>
  <c r="K7" i="80"/>
  <c r="K3" i="80"/>
  <c r="I8" i="80"/>
  <c r="I7" i="80"/>
  <c r="I6" i="80"/>
  <c r="I5" i="80"/>
  <c r="I4" i="80"/>
  <c r="I3" i="80"/>
  <c r="I2" i="80"/>
  <c r="I5" i="39"/>
  <c r="G5" i="39"/>
  <c r="E5" i="39"/>
  <c r="I38" i="39"/>
  <c r="G38" i="39"/>
  <c r="E38" i="39"/>
  <c r="N6" i="1"/>
  <c r="Y6" i="1" s="1"/>
  <c r="C19" i="6"/>
  <c r="C62" i="80"/>
  <c r="F19" i="6"/>
  <c r="F61" i="80"/>
  <c r="F60" i="80"/>
  <c r="F59" i="80"/>
  <c r="F58" i="80"/>
  <c r="F57" i="80"/>
  <c r="F56" i="80"/>
  <c r="F55" i="80"/>
  <c r="F54" i="80"/>
  <c r="F53" i="80"/>
  <c r="F52" i="80"/>
  <c r="F51" i="80"/>
  <c r="F50" i="80"/>
  <c r="F49" i="80"/>
  <c r="F48" i="80"/>
  <c r="F47" i="80"/>
  <c r="F46" i="80"/>
  <c r="F45" i="80"/>
  <c r="F44" i="80"/>
  <c r="F43" i="80"/>
  <c r="F42" i="80"/>
  <c r="F41" i="80"/>
  <c r="F40" i="80"/>
  <c r="F39" i="80"/>
  <c r="F38" i="80"/>
  <c r="F37" i="80"/>
  <c r="F36" i="80"/>
  <c r="F35" i="80"/>
  <c r="F34" i="80"/>
  <c r="F33" i="80"/>
  <c r="F32" i="80"/>
  <c r="F31" i="80"/>
  <c r="F30" i="80"/>
  <c r="F29" i="80"/>
  <c r="F28" i="80"/>
  <c r="F27" i="80"/>
  <c r="F26" i="80"/>
  <c r="F25" i="80"/>
  <c r="F24" i="80"/>
  <c r="F23" i="80"/>
  <c r="F22" i="80"/>
  <c r="F21" i="80"/>
  <c r="F20" i="80"/>
  <c r="F19" i="80"/>
  <c r="F18" i="80"/>
  <c r="F17" i="80"/>
  <c r="F16" i="80"/>
  <c r="F15" i="80"/>
  <c r="F14" i="80"/>
  <c r="F13" i="80"/>
  <c r="F12" i="80"/>
  <c r="F11" i="80"/>
  <c r="F10" i="80"/>
  <c r="F9" i="80"/>
  <c r="F8" i="80"/>
  <c r="F7" i="80"/>
  <c r="F6" i="80"/>
  <c r="F5" i="80"/>
  <c r="F3" i="80"/>
  <c r="F4" i="80"/>
  <c r="G14" i="73"/>
  <c r="F14" i="73"/>
  <c r="E14" i="73"/>
  <c r="I9" i="80" l="1"/>
  <c r="N2" i="80"/>
  <c r="I11" i="80"/>
  <c r="F186" i="82"/>
  <c r="L7" i="80"/>
  <c r="N7" i="80"/>
  <c r="L6" i="80"/>
  <c r="L2" i="80"/>
  <c r="N6" i="80"/>
  <c r="L5" i="80"/>
  <c r="N3" i="80"/>
  <c r="N5" i="80"/>
  <c r="L3" i="80"/>
  <c r="L4" i="80"/>
  <c r="N8" i="80"/>
  <c r="N4" i="80"/>
  <c r="K185" i="82"/>
  <c r="J186" i="82" s="1"/>
  <c r="I12" i="79"/>
  <c r="N9" i="80" l="1"/>
  <c r="M9" i="80" s="1"/>
  <c r="L9" i="80"/>
  <c r="K9"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B51" i="78"/>
  <c r="B56" i="78" s="1"/>
  <c r="B55" i="78" l="1"/>
  <c r="D55" i="78" s="1"/>
  <c r="D51" i="78"/>
  <c r="C51" i="78" s="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N31" i="79"/>
  <c r="T22" i="79"/>
  <c r="AH22" i="79" s="1"/>
  <c r="AA31" i="79"/>
  <c r="AD31" i="79" s="1"/>
  <c r="U50" i="79"/>
  <c r="AI50" i="79" s="1"/>
  <c r="AD51" i="79"/>
  <c r="S20" i="79"/>
  <c r="AG20" i="79" s="1"/>
  <c r="AD36" i="79"/>
  <c r="AD38" i="79"/>
  <c r="AD37" i="79"/>
  <c r="AR40" i="79"/>
  <c r="AR41" i="79" s="1"/>
  <c r="AR42" i="79" s="1"/>
  <c r="AR43" i="79" s="1"/>
  <c r="AR44" i="79" s="1"/>
  <c r="AR45" i="79" s="1"/>
  <c r="AR46" i="79" s="1"/>
  <c r="AR47" i="79" s="1"/>
  <c r="AR48" i="79" s="1"/>
  <c r="AR49" i="79" s="1"/>
  <c r="AR50" i="79" s="1"/>
  <c r="AR51" i="79" s="1"/>
  <c r="AR52" i="79" s="1"/>
  <c r="W22" i="79"/>
  <c r="AK22" i="79" s="1"/>
  <c r="Z3" i="79"/>
  <c r="S34" i="79"/>
  <c r="AG34" i="79" s="1"/>
  <c r="S33" i="79"/>
  <c r="AG33" i="79" s="1"/>
  <c r="S35" i="79"/>
  <c r="AG35" i="79" s="1"/>
  <c r="T40" i="79"/>
  <c r="U46" i="79"/>
  <c r="AI46" i="79" s="1"/>
  <c r="AD47" i="79"/>
  <c r="S48" i="79"/>
  <c r="AG48" i="79" s="1"/>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AH34" i="79"/>
  <c r="W34" i="79"/>
  <c r="AK34" i="79" s="1"/>
  <c r="W23" i="79"/>
  <c r="AK23" i="79" s="1"/>
  <c r="AH23" i="79"/>
  <c r="W12" i="79"/>
  <c r="AK12" i="79" s="1"/>
  <c r="AH12" i="79"/>
  <c r="W21" i="79"/>
  <c r="AK21" i="79" s="1"/>
  <c r="AH21" i="79"/>
  <c r="W47" i="79"/>
  <c r="AK47" i="79" s="1"/>
  <c r="AH47" i="79"/>
  <c r="W45" i="79"/>
  <c r="AK45" i="79" s="1"/>
  <c r="AH45" i="79"/>
  <c r="AH33" i="79"/>
  <c r="W33" i="79"/>
  <c r="AK33" i="79" s="1"/>
  <c r="W40" i="79"/>
  <c r="AK40" i="79" s="1"/>
  <c r="AH40" i="79"/>
  <c r="W11" i="79"/>
  <c r="AK11" i="79" s="1"/>
  <c r="AH11" i="79"/>
  <c r="W39" i="79"/>
  <c r="AK39" i="79" s="1"/>
  <c r="W17" i="79"/>
  <c r="AK17" i="79" s="1"/>
  <c r="AH17" i="79"/>
  <c r="W10" i="79"/>
  <c r="AK10" i="79" s="1"/>
  <c r="AH10" i="79"/>
  <c r="W18" i="79"/>
  <c r="AK18" i="79" s="1"/>
  <c r="AH18" i="79"/>
  <c r="W20" i="79"/>
  <c r="AK20" i="79" s="1"/>
  <c r="AH20"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E80" i="71"/>
  <c r="U80" i="71" s="1"/>
  <c r="C80" i="71"/>
  <c r="B80" i="71"/>
  <c r="S80" i="71" s="1"/>
  <c r="Q79" i="71"/>
  <c r="P79" i="71"/>
  <c r="O79" i="71"/>
  <c r="N79" i="71"/>
  <c r="F78" i="7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Q70" i="71"/>
  <c r="P70" i="71"/>
  <c r="O70" i="71"/>
  <c r="N70" i="71"/>
  <c r="Q69" i="71"/>
  <c r="P69" i="71"/>
  <c r="O69" i="71"/>
  <c r="N69" i="71"/>
  <c r="D69" i="71"/>
  <c r="F68" i="71"/>
  <c r="V68" i="71" s="1"/>
  <c r="E68" i="71"/>
  <c r="P68" i="71" s="1"/>
  <c r="C68" i="71"/>
  <c r="C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Q37" i="71"/>
  <c r="F38" i="71" s="1"/>
  <c r="F39" i="71" s="1"/>
  <c r="P37" i="71"/>
  <c r="E38" i="71" s="1"/>
  <c r="O37" i="71"/>
  <c r="N37" i="71"/>
  <c r="B38" i="71" s="1"/>
  <c r="D37" i="71"/>
  <c r="Q36" i="71"/>
  <c r="P36" i="71"/>
  <c r="O36" i="71"/>
  <c r="N36" i="71"/>
  <c r="Q35" i="71"/>
  <c r="AB35" i="71" s="1"/>
  <c r="P35" i="71"/>
  <c r="O35" i="71"/>
  <c r="N35" i="71"/>
  <c r="Q34" i="71"/>
  <c r="P34" i="71"/>
  <c r="O34" i="71"/>
  <c r="N34" i="71"/>
  <c r="Q33" i="7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30" i="71"/>
  <c r="B31" i="71" s="1"/>
  <c r="E30" i="71"/>
  <c r="E31" i="71" s="1"/>
  <c r="E32" i="71" s="1"/>
  <c r="U32" i="71" s="1"/>
  <c r="C30" i="71"/>
  <c r="D30" i="71" s="1"/>
  <c r="C34" i="71"/>
  <c r="D34" i="71" s="1"/>
  <c r="P28" i="71"/>
  <c r="E67" i="71"/>
  <c r="E66" i="71" s="1"/>
  <c r="Q28" i="71"/>
  <c r="F28" i="71" s="1"/>
  <c r="D62" i="71"/>
  <c r="D68" i="71"/>
  <c r="E71" i="71"/>
  <c r="E70" i="71" s="1"/>
  <c r="D72" i="71"/>
  <c r="D80"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Q18" i="36"/>
  <c r="Z18" i="36"/>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H29" i="39"/>
  <c r="AB29" i="39" s="1"/>
  <c r="J29" i="39"/>
  <c r="J18" i="36"/>
  <c r="AC18" i="36" s="1"/>
  <c r="H18" i="35"/>
  <c r="AB18" i="35" s="1"/>
  <c r="J18" i="35"/>
  <c r="H21" i="37"/>
  <c r="AB21" i="37" s="1"/>
  <c r="F21" i="37"/>
  <c r="F84" i="34"/>
  <c r="G84" i="34" s="1"/>
  <c r="H21" i="34"/>
  <c r="AB21" i="34" s="1"/>
  <c r="H21" i="33"/>
  <c r="U21" i="33" s="1"/>
  <c r="F21" i="33"/>
  <c r="S21" i="33" s="1"/>
  <c r="E83" i="21"/>
  <c r="F83" i="21" s="1"/>
  <c r="G83" i="21" s="1"/>
  <c r="H1" i="69"/>
  <c r="AC25" i="40"/>
  <c r="W25" i="40"/>
  <c r="U21" i="34"/>
  <c r="AC18" i="35"/>
  <c r="W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A552" i="3" s="1"/>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M5" i="3" s="1"/>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D94" i="39"/>
  <c r="E94" i="39" s="1"/>
  <c r="F94" i="39" s="1"/>
  <c r="G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c r="H24" i="36"/>
  <c r="AB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H34" i="35" s="1"/>
  <c r="B77" i="35"/>
  <c r="B75" i="35"/>
  <c r="J24" i="35" s="1"/>
  <c r="AC24" i="35" s="1"/>
  <c r="B73" i="35"/>
  <c r="H23" i="35" s="1"/>
  <c r="U23" i="35" s="1"/>
  <c r="B57" i="35"/>
  <c r="B61" i="35"/>
  <c r="B59" i="35"/>
  <c r="B131" i="34"/>
  <c r="B129" i="34"/>
  <c r="B127" i="34"/>
  <c r="F45" i="34" s="1"/>
  <c r="S45" i="34" s="1"/>
  <c r="B99" i="34"/>
  <c r="B97" i="34"/>
  <c r="B95" i="34"/>
  <c r="B93" i="34"/>
  <c r="H29" i="34" s="1"/>
  <c r="AB29" i="34" s="1"/>
  <c r="B75" i="34"/>
  <c r="B73" i="34"/>
  <c r="B71" i="34"/>
  <c r="F12" i="34" s="1"/>
  <c r="S12" i="34" s="1"/>
  <c r="B130" i="33"/>
  <c r="F46" i="33" s="1"/>
  <c r="AA46" i="33" s="1"/>
  <c r="B128" i="33"/>
  <c r="B126" i="33"/>
  <c r="B98" i="33"/>
  <c r="B96" i="33"/>
  <c r="H30" i="33" s="1"/>
  <c r="AB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H30" i="21" s="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J45" i="39"/>
  <c r="W45" i="39" s="1"/>
  <c r="U30" i="37"/>
  <c r="W31" i="37"/>
  <c r="E103" i="37"/>
  <c r="F103" i="37" s="1"/>
  <c r="G103" i="37" s="1"/>
  <c r="H103" i="37" s="1"/>
  <c r="I103" i="37" s="1"/>
  <c r="J103" i="37" s="1"/>
  <c r="K103" i="37" s="1"/>
  <c r="L103" i="37" s="1"/>
  <c r="M103" i="37" s="1"/>
  <c r="F39" i="37"/>
  <c r="S39" i="37" s="1"/>
  <c r="F29" i="36"/>
  <c r="AA29" i="36" s="1"/>
  <c r="F16" i="36"/>
  <c r="AA16" i="36" s="1"/>
  <c r="H22" i="35"/>
  <c r="AB22" i="35" s="1"/>
  <c r="AC27" i="35"/>
  <c r="U31" i="35"/>
  <c r="W22" i="35"/>
  <c r="F36" i="34"/>
  <c r="S36" i="34" s="1"/>
  <c r="J35" i="34"/>
  <c r="H39" i="33"/>
  <c r="AB39" i="33" s="1"/>
  <c r="U33" i="33"/>
  <c r="U35" i="33"/>
  <c r="S40" i="33"/>
  <c r="H39" i="37"/>
  <c r="AB39" i="37" s="1"/>
  <c r="F11" i="40"/>
  <c r="AA11" i="40" s="1"/>
  <c r="H11" i="40"/>
  <c r="AB11" i="40" s="1"/>
  <c r="AA9" i="40"/>
  <c r="F42" i="39"/>
  <c r="F41" i="39"/>
  <c r="S41" i="39" s="1"/>
  <c r="H40" i="39"/>
  <c r="AB40" i="39" s="1"/>
  <c r="H39" i="39"/>
  <c r="U39" i="39" s="1"/>
  <c r="H34" i="39"/>
  <c r="U34" i="39" s="1"/>
  <c r="F31" i="39"/>
  <c r="AA31" i="39" s="1"/>
  <c r="H19" i="39"/>
  <c r="AB19" i="39" s="1"/>
  <c r="F19" i="39"/>
  <c r="AA19" i="39" s="1"/>
  <c r="H17" i="39"/>
  <c r="AB17" i="39" s="1"/>
  <c r="J23" i="40"/>
  <c r="AC23" i="40" s="1"/>
  <c r="F21" i="40"/>
  <c r="AA21" i="40" s="1"/>
  <c r="J21" i="40"/>
  <c r="W21" i="40"/>
  <c r="H42" i="39"/>
  <c r="AB42" i="39" s="1"/>
  <c r="J34" i="39"/>
  <c r="AC34" i="39" s="1"/>
  <c r="J31" i="39"/>
  <c r="J19" i="39"/>
  <c r="AC19" i="39" s="1"/>
  <c r="J17" i="39"/>
  <c r="W17" i="39" s="1"/>
  <c r="F11" i="21"/>
  <c r="S11" i="21" s="1"/>
  <c r="H32" i="33"/>
  <c r="AB32" i="33" s="1"/>
  <c r="H11" i="21"/>
  <c r="U11" i="21" s="1"/>
  <c r="J11" i="21"/>
  <c r="W11" i="21" s="1"/>
  <c r="H37" i="40"/>
  <c r="U37" i="40" s="1"/>
  <c r="H36" i="40"/>
  <c r="AB36" i="40" s="1"/>
  <c r="F35" i="40"/>
  <c r="AA35" i="40" s="1"/>
  <c r="H23" i="40"/>
  <c r="AB23" i="40" s="1"/>
  <c r="H17" i="40"/>
  <c r="U17" i="40" s="1"/>
  <c r="J15" i="40"/>
  <c r="W15" i="40" s="1"/>
  <c r="J11" i="40"/>
  <c r="AB8" i="39"/>
  <c r="W32" i="40"/>
  <c r="F37" i="39"/>
  <c r="AA37" i="39"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S35" i="34"/>
  <c r="F25" i="34"/>
  <c r="S25" i="34" s="1"/>
  <c r="H23" i="34"/>
  <c r="J23" i="34"/>
  <c r="F19" i="34"/>
  <c r="H17" i="34"/>
  <c r="F15" i="34"/>
  <c r="AA15" i="34" s="1"/>
  <c r="J15" i="34"/>
  <c r="H15" i="34"/>
  <c r="AB15" i="34" s="1"/>
  <c r="J28" i="34"/>
  <c r="W28" i="34" s="1"/>
  <c r="F41" i="33"/>
  <c r="S38"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AC38" i="34"/>
  <c r="J37" i="34"/>
  <c r="AC37" i="34" s="1"/>
  <c r="J11" i="33"/>
  <c r="W11" i="33" s="1"/>
  <c r="S28" i="34"/>
  <c r="J42" i="21"/>
  <c r="AC42" i="21" s="1"/>
  <c r="H42" i="21"/>
  <c r="U42" i="21" s="1"/>
  <c r="J44" i="34"/>
  <c r="F44" i="34"/>
  <c r="J10" i="35"/>
  <c r="AC10" i="35" s="1"/>
  <c r="J14" i="21"/>
  <c r="W14" i="21" s="1"/>
  <c r="F14" i="21"/>
  <c r="S14" i="21" s="1"/>
  <c r="H14" i="21"/>
  <c r="U14" i="21" s="1"/>
  <c r="H28" i="21"/>
  <c r="AB28" i="21" s="1"/>
  <c r="F28" i="21"/>
  <c r="AA28" i="21" s="1"/>
  <c r="J28" i="21"/>
  <c r="F30" i="21"/>
  <c r="S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H13" i="33"/>
  <c r="U13" i="33" s="1"/>
  <c r="J29" i="33"/>
  <c r="H29" i="33"/>
  <c r="U29" i="33" s="1"/>
  <c r="F29" i="33"/>
  <c r="S29" i="33" s="1"/>
  <c r="H45" i="33"/>
  <c r="J45" i="33"/>
  <c r="W45" i="33" s="1"/>
  <c r="F45" i="33"/>
  <c r="J14" i="34"/>
  <c r="W14" i="34" s="1"/>
  <c r="F14" i="34"/>
  <c r="S14" i="34" s="1"/>
  <c r="H14" i="34"/>
  <c r="J30" i="34"/>
  <c r="H32" i="34"/>
  <c r="F32" i="34"/>
  <c r="J32" i="34"/>
  <c r="W32" i="34" s="1"/>
  <c r="H46" i="34"/>
  <c r="J11" i="35"/>
  <c r="J26" i="36"/>
  <c r="W26" i="36" s="1"/>
  <c r="H28" i="36"/>
  <c r="U28" i="36" s="1"/>
  <c r="H32" i="36"/>
  <c r="AB32" i="36" s="1"/>
  <c r="J32" i="36"/>
  <c r="W32"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H14" i="33"/>
  <c r="U14" i="33" s="1"/>
  <c r="F14" i="33"/>
  <c r="J14" i="33"/>
  <c r="F30" i="33"/>
  <c r="AA30" i="33" s="1"/>
  <c r="J30" i="33"/>
  <c r="H44" i="33"/>
  <c r="J44" i="33"/>
  <c r="F44" i="33"/>
  <c r="J46" i="33"/>
  <c r="AC46" i="33" s="1"/>
  <c r="H46" i="33"/>
  <c r="U46" i="33" s="1"/>
  <c r="H13" i="34"/>
  <c r="U13" i="34" s="1"/>
  <c r="J13" i="34"/>
  <c r="W13" i="34" s="1"/>
  <c r="F13" i="34"/>
  <c r="AA13" i="34" s="1"/>
  <c r="J29" i="34"/>
  <c r="AC29" i="34" s="1"/>
  <c r="F29" i="34"/>
  <c r="S29" i="34" s="1"/>
  <c r="J31" i="34"/>
  <c r="W31" i="34" s="1"/>
  <c r="H31" i="34"/>
  <c r="F31" i="34"/>
  <c r="S31" i="34" s="1"/>
  <c r="H45" i="34"/>
  <c r="U45" i="34" s="1"/>
  <c r="J45" i="34"/>
  <c r="W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H25" i="36"/>
  <c r="AB25" i="36" s="1"/>
  <c r="H13" i="37"/>
  <c r="AB13" i="37" s="1"/>
  <c r="F13" i="37"/>
  <c r="S13" i="37" s="1"/>
  <c r="J13" i="37"/>
  <c r="W13" i="37" s="1"/>
  <c r="F28" i="37"/>
  <c r="AA28" i="37" s="1"/>
  <c r="J28" i="37"/>
  <c r="AC28" i="37" s="1"/>
  <c r="H28" i="37"/>
  <c r="H38" i="37"/>
  <c r="AB38" i="37" s="1"/>
  <c r="J38" i="37"/>
  <c r="AC38" i="37" s="1"/>
  <c r="F38" i="37"/>
  <c r="S38" i="37" s="1"/>
  <c r="F12" i="40"/>
  <c r="S12" i="40" s="1"/>
  <c r="H12" i="40"/>
  <c r="AB12" i="40" s="1"/>
  <c r="H30" i="40"/>
  <c r="AB30" i="40" s="1"/>
  <c r="J35" i="40"/>
  <c r="AC35" i="40" s="1"/>
  <c r="J37" i="40"/>
  <c r="AC37" i="40" s="1"/>
  <c r="F14" i="37"/>
  <c r="F27" i="37"/>
  <c r="AA27" i="37" s="1"/>
  <c r="F13" i="39"/>
  <c r="AA13" i="39" s="1"/>
  <c r="J13" i="39"/>
  <c r="W13" i="39" s="1"/>
  <c r="H13" i="39"/>
  <c r="J14" i="37"/>
  <c r="J36" i="37"/>
  <c r="AC36" i="37" s="1"/>
  <c r="J10" i="36"/>
  <c r="AC10" i="36" s="1"/>
  <c r="F17" i="21"/>
  <c r="AA17" i="21" s="1"/>
  <c r="H17" i="21"/>
  <c r="AB17" i="21" s="1"/>
  <c r="F15" i="21"/>
  <c r="S15" i="21" s="1"/>
  <c r="J41" i="39"/>
  <c r="W41" i="39" s="1"/>
  <c r="G540" i="3"/>
  <c r="G535" i="3"/>
  <c r="G532" i="3"/>
  <c r="G527" i="3"/>
  <c r="G518" i="3"/>
  <c r="G504" i="3"/>
  <c r="G550" i="3"/>
  <c r="G533" i="3"/>
  <c r="G525" i="3"/>
  <c r="G565" i="3"/>
  <c r="G563" i="3"/>
  <c r="AC557" i="3"/>
  <c r="G557" i="3" s="1"/>
  <c r="BQ557" i="3"/>
  <c r="BQ583" i="3"/>
  <c r="BQ581" i="3"/>
  <c r="BQ579" i="3"/>
  <c r="BQ577" i="3"/>
  <c r="BQ575" i="3"/>
  <c r="BQ573" i="3"/>
  <c r="BQ571" i="3"/>
  <c r="BQ569" i="3"/>
  <c r="BQ567" i="3"/>
  <c r="BQ565" i="3"/>
  <c r="BQ563" i="3"/>
  <c r="BQ561" i="3"/>
  <c r="BQ559" i="3"/>
  <c r="G555" i="3"/>
  <c r="G549" i="3"/>
  <c r="G543" i="3"/>
  <c r="G541" i="3"/>
  <c r="BQ555" i="3"/>
  <c r="BQ553" i="3"/>
  <c r="BQ551" i="3"/>
  <c r="BQ549" i="3"/>
  <c r="BQ547" i="3"/>
  <c r="BQ545" i="3"/>
  <c r="BQ543" i="3"/>
  <c r="BQ541" i="3"/>
  <c r="BQ539" i="3"/>
  <c r="BL539" i="3" s="1"/>
  <c r="BQ537" i="3"/>
  <c r="BQ535" i="3"/>
  <c r="BQ533" i="3"/>
  <c r="BL533" i="3"/>
  <c r="BQ531" i="3"/>
  <c r="BQ529" i="3"/>
  <c r="BQ527" i="3"/>
  <c r="BQ525" i="3"/>
  <c r="BL525" i="3" s="1"/>
  <c r="BQ523" i="3"/>
  <c r="AC521" i="3"/>
  <c r="G521" i="3" s="1"/>
  <c r="BQ521" i="3"/>
  <c r="G519" i="3"/>
  <c r="G513" i="3"/>
  <c r="G511" i="3"/>
  <c r="BQ519" i="3"/>
  <c r="BQ517" i="3"/>
  <c r="BQ515" i="3"/>
  <c r="BQ513" i="3"/>
  <c r="BQ511" i="3"/>
  <c r="AC509" i="3"/>
  <c r="G509" i="3" s="1"/>
  <c r="BQ509" i="3"/>
  <c r="G507" i="3"/>
  <c r="G505" i="3"/>
  <c r="G499" i="3"/>
  <c r="G497"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9" i="37"/>
  <c r="W47" i="34"/>
  <c r="U19" i="21"/>
  <c r="W44" i="21"/>
  <c r="AB38" i="21"/>
  <c r="F43" i="33"/>
  <c r="AA43" i="33" s="1"/>
  <c r="W15" i="34"/>
  <c r="AC15" i="34"/>
  <c r="W16" i="35"/>
  <c r="H37" i="21"/>
  <c r="U37" i="21" s="1"/>
  <c r="H19" i="34"/>
  <c r="AB19" i="34" s="1"/>
  <c r="H9" i="37"/>
  <c r="U9" i="37" s="1"/>
  <c r="F12" i="37"/>
  <c r="S12" i="37" s="1"/>
  <c r="F15" i="37"/>
  <c r="E94" i="37"/>
  <c r="F94" i="37" s="1"/>
  <c r="G94" i="37" s="1"/>
  <c r="H94" i="37" s="1"/>
  <c r="I94" i="37" s="1"/>
  <c r="J94" i="37" s="1"/>
  <c r="K94" i="37" s="1"/>
  <c r="L94" i="37" s="1"/>
  <c r="M94" i="37" s="1"/>
  <c r="F31" i="37"/>
  <c r="S31" i="37" s="1"/>
  <c r="J42" i="39"/>
  <c r="AC42" i="39" s="1"/>
  <c r="H21" i="40"/>
  <c r="AB21" i="40" s="1"/>
  <c r="H31" i="37"/>
  <c r="U31" i="37"/>
  <c r="J15" i="37"/>
  <c r="W15" i="37" s="1"/>
  <c r="AT6" i="3"/>
  <c r="H19" i="40"/>
  <c r="U19" i="40" s="1"/>
  <c r="F19" i="40"/>
  <c r="S19" i="40" s="1"/>
  <c r="H37" i="39"/>
  <c r="AB37" i="39" s="1"/>
  <c r="AC37" i="39"/>
  <c r="W37" i="39"/>
  <c r="H25" i="39"/>
  <c r="AB25" i="39" s="1"/>
  <c r="J25" i="39"/>
  <c r="W25" i="39" s="1"/>
  <c r="F25" i="39"/>
  <c r="AA25" i="39" s="1"/>
  <c r="F15" i="39"/>
  <c r="AA15" i="39" s="1"/>
  <c r="H15" i="39"/>
  <c r="U15" i="39" s="1"/>
  <c r="J15" i="39"/>
  <c r="W15" i="39" s="1"/>
  <c r="H41" i="39"/>
  <c r="AB41" i="39" s="1"/>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G4" i="4"/>
  <c r="I4" i="4"/>
  <c r="A2" i="9"/>
  <c r="F61" i="43"/>
  <c r="H64" i="43" s="1"/>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AZ331" i="3" s="1"/>
  <c r="G332" i="3"/>
  <c r="BA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BA379" i="3"/>
  <c r="BL380" i="3"/>
  <c r="AZ380" i="3" s="1"/>
  <c r="G381" i="3"/>
  <c r="BA383" i="3"/>
  <c r="BL384" i="3"/>
  <c r="G385" i="3"/>
  <c r="BA387" i="3"/>
  <c r="BL388" i="3"/>
  <c r="G389" i="3"/>
  <c r="BA391" i="3"/>
  <c r="AZ391" i="3" s="1"/>
  <c r="BL392" i="3"/>
  <c r="G393" i="3"/>
  <c r="G548" i="3"/>
  <c r="G520" i="3"/>
  <c r="G17" i="3"/>
  <c r="BA17" i="3"/>
  <c r="BA15" i="3"/>
  <c r="U36" i="40"/>
  <c r="F83" i="43"/>
  <c r="H85" i="43" s="1"/>
  <c r="F50" i="43"/>
  <c r="H54" i="43" s="1"/>
  <c r="F72" i="43"/>
  <c r="H75" i="43" s="1"/>
  <c r="U43" i="21"/>
  <c r="U35" i="21"/>
  <c r="AC35" i="21"/>
  <c r="W37" i="37"/>
  <c r="W44" i="34"/>
  <c r="AC44" i="34"/>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F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C40" i="11"/>
  <c r="H27" i="36"/>
  <c r="U27" i="36" s="1"/>
  <c r="F27" i="36"/>
  <c r="AA27" i="36" s="1"/>
  <c r="H33" i="34"/>
  <c r="AB33" i="34" s="1"/>
  <c r="F32" i="37"/>
  <c r="AA32" i="37" s="1"/>
  <c r="F20" i="36"/>
  <c r="AA20" i="36" s="1"/>
  <c r="J33" i="34"/>
  <c r="AC33" i="34" s="1"/>
  <c r="D48" i="9"/>
  <c r="M52" i="9" s="1"/>
  <c r="K9" i="1"/>
  <c r="M9" i="1" s="1"/>
  <c r="D93" i="9"/>
  <c r="AA32" i="36"/>
  <c r="S32" i="36"/>
  <c r="BL14" i="3"/>
  <c r="U30" i="33"/>
  <c r="AC13" i="34"/>
  <c r="W28" i="37"/>
  <c r="S19" i="39"/>
  <c r="F12" i="33"/>
  <c r="S12" i="33" s="1"/>
  <c r="F39" i="40"/>
  <c r="AA39" i="40" s="1"/>
  <c r="BA14" i="3"/>
  <c r="B12" i="1"/>
  <c r="E12" i="1" s="1"/>
  <c r="B10" i="1"/>
  <c r="E10" i="1" s="1"/>
  <c r="K12" i="1"/>
  <c r="M12" i="1" s="1"/>
  <c r="S13" i="1"/>
  <c r="AR13" i="1" s="1"/>
  <c r="R13" i="1"/>
  <c r="J51" i="67"/>
  <c r="C42" i="1"/>
  <c r="C24" i="12" s="1"/>
  <c r="AA34" i="33"/>
  <c r="B41" i="1"/>
  <c r="F48" i="9" s="1"/>
  <c r="O52" i="9" s="1"/>
  <c r="AB37" i="40"/>
  <c r="S35" i="40"/>
  <c r="S17" i="40"/>
  <c r="S23" i="40"/>
  <c r="AC15" i="40"/>
  <c r="S30" i="40"/>
  <c r="S28" i="40"/>
  <c r="S37" i="39"/>
  <c r="F32" i="39"/>
  <c r="AA32" i="39" s="1"/>
  <c r="F106" i="39"/>
  <c r="G106" i="39" s="1"/>
  <c r="H106" i="39" s="1"/>
  <c r="I106" i="39" s="1"/>
  <c r="J106" i="39" s="1"/>
  <c r="K106" i="39" s="1"/>
  <c r="L106" i="39" s="1"/>
  <c r="M106" i="39" s="1"/>
  <c r="U31" i="39"/>
  <c r="S9" i="39"/>
  <c r="AC13" i="39"/>
  <c r="U26" i="36"/>
  <c r="AA26" i="36"/>
  <c r="AA22" i="36"/>
  <c r="AB14" i="36"/>
  <c r="U22" i="36"/>
  <c r="S16" i="36"/>
  <c r="U24" i="36"/>
  <c r="U23" i="36"/>
  <c r="U16" i="36"/>
  <c r="AA25" i="35"/>
  <c r="W24" i="35"/>
  <c r="AB13" i="35"/>
  <c r="U29" i="35"/>
  <c r="U28" i="35"/>
  <c r="AB27" i="35"/>
  <c r="U32" i="35"/>
  <c r="AA33" i="35"/>
  <c r="AC30" i="35"/>
  <c r="S32" i="35"/>
  <c r="S28" i="35"/>
  <c r="AB16" i="35"/>
  <c r="U22" i="35"/>
  <c r="S20" i="35"/>
  <c r="AC20" i="35"/>
  <c r="S22" i="35"/>
  <c r="U14" i="35"/>
  <c r="AC9" i="35"/>
  <c r="W9" i="35"/>
  <c r="W13" i="35"/>
  <c r="F9" i="35"/>
  <c r="S9" i="35" s="1"/>
  <c r="H9" i="35"/>
  <c r="U9" i="35" s="1"/>
  <c r="AB40" i="37"/>
  <c r="U29" i="37"/>
  <c r="AB31" i="37"/>
  <c r="W30" i="37"/>
  <c r="AA38" i="37"/>
  <c r="W38" i="37"/>
  <c r="AC35" i="37"/>
  <c r="W39" i="37"/>
  <c r="S30" i="37"/>
  <c r="J17" i="37"/>
  <c r="W17" i="37" s="1"/>
  <c r="G73" i="37"/>
  <c r="F17" i="37"/>
  <c r="AA17" i="37" s="1"/>
  <c r="F75" i="37"/>
  <c r="F19" i="37"/>
  <c r="S19" i="37" s="1"/>
  <c r="F79" i="37"/>
  <c r="G79" i="37" s="1"/>
  <c r="F23" i="37"/>
  <c r="S23" i="37" s="1"/>
  <c r="AA13" i="37"/>
  <c r="H10" i="37"/>
  <c r="AB10" i="37" s="1"/>
  <c r="F11" i="37"/>
  <c r="S11" i="37" s="1"/>
  <c r="W25" i="34"/>
  <c r="AB8" i="34"/>
  <c r="AC39" i="34"/>
  <c r="W41" i="34"/>
  <c r="AC42" i="34"/>
  <c r="AB41" i="34"/>
  <c r="AA45" i="34"/>
  <c r="AA25" i="34"/>
  <c r="U28" i="34"/>
  <c r="S17" i="34"/>
  <c r="S23"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AB27" i="33" s="1"/>
  <c r="F87" i="33"/>
  <c r="G87" i="33" s="1"/>
  <c r="H87" i="33" s="1"/>
  <c r="I87" i="33" s="1"/>
  <c r="J87" i="33" s="1"/>
  <c r="K87" i="33" s="1"/>
  <c r="L87" i="33" s="1"/>
  <c r="M87" i="33" s="1"/>
  <c r="H25" i="33"/>
  <c r="U25" i="33" s="1"/>
  <c r="F25" i="33"/>
  <c r="AA25" i="33" s="1"/>
  <c r="J23" i="33"/>
  <c r="AC23" i="33" s="1"/>
  <c r="F85" i="33"/>
  <c r="H23" i="33"/>
  <c r="U23" i="33" s="1"/>
  <c r="F81" i="33"/>
  <c r="G81" i="33" s="1"/>
  <c r="F19" i="33"/>
  <c r="S19" i="33" s="1"/>
  <c r="W19" i="33"/>
  <c r="J17" i="33"/>
  <c r="W17" i="33" s="1"/>
  <c r="F79" i="33"/>
  <c r="G79" i="33" s="1"/>
  <c r="S15" i="33"/>
  <c r="J10" i="33"/>
  <c r="W10" i="33" s="1"/>
  <c r="H10" i="33"/>
  <c r="U10" i="33" s="1"/>
  <c r="AB14" i="33"/>
  <c r="W43" i="21"/>
  <c r="W36" i="21"/>
  <c r="W41" i="21"/>
  <c r="AB39" i="21"/>
  <c r="AA43" i="21"/>
  <c r="S39" i="21"/>
  <c r="AA36" i="21"/>
  <c r="AC40" i="21"/>
  <c r="J15" i="21"/>
  <c r="AC15" i="21" s="1"/>
  <c r="F77" i="21"/>
  <c r="G77" i="21" s="1"/>
  <c r="F23" i="21"/>
  <c r="AA23" i="21" s="1"/>
  <c r="E85" i="21"/>
  <c r="F85" i="21" s="1"/>
  <c r="G85" i="21" s="1"/>
  <c r="AA14" i="21"/>
  <c r="D120" i="9"/>
  <c r="D121" i="9" s="1"/>
  <c r="D7" i="52" s="1"/>
  <c r="F34" i="67"/>
  <c r="F62" i="67" s="1"/>
  <c r="M20" i="67"/>
  <c r="G13" i="3"/>
  <c r="BL17" i="3"/>
  <c r="AZ17" i="3"/>
  <c r="J56" i="9"/>
  <c r="J57" i="9" s="1"/>
  <c r="J59" i="9" s="1"/>
  <c r="J61" i="9" s="1"/>
  <c r="A24" i="51"/>
  <c r="B18" i="72" s="1"/>
  <c r="U29" i="34"/>
  <c r="E5" i="6"/>
  <c r="E32" i="6"/>
  <c r="E19" i="69"/>
  <c r="E19" i="68"/>
  <c r="E19" i="11"/>
  <c r="G22" i="69"/>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G1" i="67"/>
  <c r="W23" i="40"/>
  <c r="S37" i="40"/>
  <c r="AB28" i="40"/>
  <c r="W28" i="40"/>
  <c r="W34" i="40"/>
  <c r="W19" i="40"/>
  <c r="W37" i="40"/>
  <c r="AA15" i="40"/>
  <c r="U15" i="40"/>
  <c r="AB17" i="40"/>
  <c r="U8" i="40"/>
  <c r="S8" i="40"/>
  <c r="U13" i="39"/>
  <c r="AB13" i="39"/>
  <c r="W31" i="39"/>
  <c r="AC31" i="39"/>
  <c r="W34" i="39"/>
  <c r="S8" i="39"/>
  <c r="U32" i="36"/>
  <c r="W29" i="36"/>
  <c r="AB28" i="36"/>
  <c r="AA13" i="36"/>
  <c r="W22" i="36"/>
  <c r="AC25" i="35"/>
  <c r="U25" i="35"/>
  <c r="S24" i="35"/>
  <c r="W35" i="35"/>
  <c r="AA16" i="35"/>
  <c r="AA35" i="37"/>
  <c r="W36" i="37"/>
  <c r="S27" i="37"/>
  <c r="S28" i="37"/>
  <c r="S40" i="37"/>
  <c r="U38" i="37"/>
  <c r="AB37" i="37"/>
  <c r="AB35" i="37"/>
  <c r="AA31" i="37"/>
  <c r="AA29" i="37"/>
  <c r="U8" i="37"/>
  <c r="AA40" i="34"/>
  <c r="AB40" i="34"/>
  <c r="U19" i="34"/>
  <c r="W19" i="34"/>
  <c r="AC45" i="34"/>
  <c r="AB45" i="34"/>
  <c r="AB47" i="34"/>
  <c r="AB36" i="34"/>
  <c r="W33" i="34"/>
  <c r="AC14" i="34"/>
  <c r="AC32" i="34"/>
  <c r="S32" i="34"/>
  <c r="AA32" i="34"/>
  <c r="S37" i="34"/>
  <c r="U38" i="34"/>
  <c r="AC40" i="34"/>
  <c r="W40" i="34"/>
  <c r="AA19" i="34"/>
  <c r="S19" i="34"/>
  <c r="AA36" i="34"/>
  <c r="AA8" i="34"/>
  <c r="S8" i="34"/>
  <c r="U32" i="34"/>
  <c r="AB32" i="34"/>
  <c r="U14" i="34"/>
  <c r="AB14" i="34"/>
  <c r="AC43" i="34"/>
  <c r="W43" i="34"/>
  <c r="W23" i="34"/>
  <c r="AC23" i="34"/>
  <c r="AC35" i="34"/>
  <c r="W35" i="34"/>
  <c r="W46" i="33"/>
  <c r="U39" i="33"/>
  <c r="S33" i="33"/>
  <c r="U44" i="33"/>
  <c r="AB44" i="33"/>
  <c r="S30" i="33"/>
  <c r="AC14" i="33"/>
  <c r="W14" i="33"/>
  <c r="AC30" i="33"/>
  <c r="W30" i="33"/>
  <c r="U15" i="33"/>
  <c r="S11" i="33"/>
  <c r="U37" i="33"/>
  <c r="W8" i="33"/>
  <c r="U28"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AB15" i="21" s="1"/>
  <c r="J17" i="21"/>
  <c r="AC17" i="21" s="1"/>
  <c r="AC19" i="21"/>
  <c r="W39" i="21"/>
  <c r="AC14" i="21"/>
  <c r="F29" i="21"/>
  <c r="AA29" i="21" s="1"/>
  <c r="F13" i="21"/>
  <c r="AA13" i="21" s="1"/>
  <c r="AC38" i="21"/>
  <c r="H32" i="21"/>
  <c r="AB32" i="21" s="1"/>
  <c r="H9" i="21"/>
  <c r="U9" i="21" s="1"/>
  <c r="J9" i="21"/>
  <c r="AC9" i="21" s="1"/>
  <c r="J32" i="21"/>
  <c r="W32" i="21" s="1"/>
  <c r="F32" i="21"/>
  <c r="S32" i="21" s="1"/>
  <c r="U17" i="21"/>
  <c r="W29" i="21"/>
  <c r="S19" i="21"/>
  <c r="S9" i="21"/>
  <c r="AA9" i="21"/>
  <c r="K141" i="21"/>
  <c r="K144" i="21"/>
  <c r="K143" i="21"/>
  <c r="AB25" i="21"/>
  <c r="AA30" i="21"/>
  <c r="W42" i="21"/>
  <c r="F10" i="21"/>
  <c r="AA10" i="21" s="1"/>
  <c r="K145" i="21"/>
  <c r="W25" i="21"/>
  <c r="AC26" i="21"/>
  <c r="AB29" i="21"/>
  <c r="S28" i="21"/>
  <c r="AC34" i="21"/>
  <c r="AB36" i="21"/>
  <c r="W30" i="40"/>
  <c r="C19" i="39"/>
  <c r="C15" i="40"/>
  <c r="C23" i="40"/>
  <c r="C21" i="40"/>
  <c r="B56" i="43"/>
  <c r="B67" i="43"/>
  <c r="B51" i="43"/>
  <c r="B54" i="43"/>
  <c r="B58" i="43"/>
  <c r="B62" i="43"/>
  <c r="B65" i="43"/>
  <c r="D23" i="15"/>
  <c r="D22" i="15"/>
  <c r="E4" i="4"/>
  <c r="B5" i="62" s="1"/>
  <c r="B73" i="72" s="1"/>
  <c r="C4" i="4"/>
  <c r="F30" i="11"/>
  <c r="C48" i="11" s="1"/>
  <c r="AA12" i="33"/>
  <c r="D68" i="9"/>
  <c r="J32" i="39"/>
  <c r="W32" i="39" s="1"/>
  <c r="H32" i="39"/>
  <c r="AB32" i="39" s="1"/>
  <c r="S32" i="39"/>
  <c r="J19" i="37"/>
  <c r="W19" i="37" s="1"/>
  <c r="G75" i="37"/>
  <c r="J23" i="37"/>
  <c r="AC23" i="37" s="1"/>
  <c r="J10" i="37"/>
  <c r="W10" i="37" s="1"/>
  <c r="H11" i="37"/>
  <c r="AB11" i="37" s="1"/>
  <c r="H11" i="34"/>
  <c r="U11" i="34" s="1"/>
  <c r="J10" i="34"/>
  <c r="AC10" i="34" s="1"/>
  <c r="W35" i="33"/>
  <c r="AC35" i="33"/>
  <c r="J36" i="33"/>
  <c r="W36" i="33" s="1"/>
  <c r="H36" i="33"/>
  <c r="U36" i="33" s="1"/>
  <c r="S36" i="33"/>
  <c r="J27" i="33"/>
  <c r="AC27" i="33" s="1"/>
  <c r="AB25" i="33"/>
  <c r="J25" i="33"/>
  <c r="W25" i="33" s="1"/>
  <c r="AB23" i="33"/>
  <c r="F23" i="33"/>
  <c r="G85" i="33"/>
  <c r="H19" i="33"/>
  <c r="AB19" i="33" s="1"/>
  <c r="H17" i="33"/>
  <c r="U17" i="33" s="1"/>
  <c r="F17" i="33"/>
  <c r="S17" i="33" s="1"/>
  <c r="AC17" i="33"/>
  <c r="J23" i="21"/>
  <c r="W23" i="21" s="1"/>
  <c r="H23" i="21"/>
  <c r="U23" i="21" s="1"/>
  <c r="AP7" i="1"/>
  <c r="AA32" i="21"/>
  <c r="U32" i="21"/>
  <c r="W23" i="37"/>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2" i="76"/>
  <c r="B11" i="76"/>
  <c r="E8" i="76"/>
  <c r="B10" i="76"/>
  <c r="F3" i="73"/>
  <c r="B13" i="76"/>
  <c r="B9" i="76"/>
  <c r="M26" i="67"/>
  <c r="AO13" i="1"/>
  <c r="F6" i="73"/>
  <c r="E11" i="76"/>
  <c r="F42" i="67"/>
  <c r="F20" i="31"/>
  <c r="E7" i="76"/>
  <c r="E10" i="76"/>
  <c r="E2" i="69"/>
  <c r="E9" i="76"/>
  <c r="E12" i="76"/>
  <c r="F6" i="67"/>
  <c r="F5" i="73"/>
  <c r="F4" i="73"/>
  <c r="F7" i="73"/>
  <c r="E13" i="76"/>
  <c r="F38" i="67"/>
  <c r="B8" i="76"/>
  <c r="D6" i="73"/>
  <c r="E2" i="68"/>
  <c r="B7" i="76"/>
  <c r="J13" i="40" l="1"/>
  <c r="W13" i="40" s="1"/>
  <c r="F13" i="40"/>
  <c r="BA529" i="3"/>
  <c r="BK5" i="3"/>
  <c r="BA557" i="3"/>
  <c r="BL545" i="3"/>
  <c r="BA545" i="3"/>
  <c r="BL536" i="3"/>
  <c r="AC25" i="33"/>
  <c r="S13" i="21"/>
  <c r="B69" i="43"/>
  <c r="S17" i="21"/>
  <c r="S37" i="37"/>
  <c r="U35" i="40"/>
  <c r="U13" i="37"/>
  <c r="H13" i="40"/>
  <c r="AB40" i="33"/>
  <c r="U40" i="33"/>
  <c r="H28" i="33"/>
  <c r="F28" i="33"/>
  <c r="J28" i="33"/>
  <c r="J26" i="33"/>
  <c r="F26" i="33"/>
  <c r="AA26" i="33" s="1"/>
  <c r="H13" i="36"/>
  <c r="AB13" i="36" s="1"/>
  <c r="J13" i="36"/>
  <c r="J24" i="36"/>
  <c r="F24" i="36"/>
  <c r="H34" i="36"/>
  <c r="J34" i="36"/>
  <c r="W34" i="36" s="1"/>
  <c r="F34" i="36"/>
  <c r="BL560" i="3"/>
  <c r="BA547" i="3"/>
  <c r="BL540" i="3"/>
  <c r="BA535" i="3"/>
  <c r="BA522" i="3"/>
  <c r="BA514" i="3"/>
  <c r="W9" i="21"/>
  <c r="AA19" i="37"/>
  <c r="M18" i="15"/>
  <c r="S44" i="21"/>
  <c r="U25" i="34"/>
  <c r="AC20" i="36"/>
  <c r="U32" i="40"/>
  <c r="W43" i="33"/>
  <c r="AA35" i="33"/>
  <c r="AC44" i="33"/>
  <c r="W44" i="33"/>
  <c r="J27" i="21"/>
  <c r="H27" i="21"/>
  <c r="AB27" i="21" s="1"/>
  <c r="F27" i="21"/>
  <c r="H31" i="21"/>
  <c r="F31" i="21"/>
  <c r="F13" i="33"/>
  <c r="J13" i="33"/>
  <c r="J31" i="33"/>
  <c r="H31" i="33"/>
  <c r="F31" i="33"/>
  <c r="H30" i="34"/>
  <c r="F30" i="34"/>
  <c r="F46" i="34"/>
  <c r="J46" i="34"/>
  <c r="F11" i="35"/>
  <c r="H11" i="35"/>
  <c r="AB11" i="35" s="1"/>
  <c r="AC23" i="21"/>
  <c r="W28" i="21"/>
  <c r="AC28" i="21"/>
  <c r="B72" i="43"/>
  <c r="C15" i="39"/>
  <c r="BA554" i="3"/>
  <c r="BA538" i="3"/>
  <c r="BA530" i="3"/>
  <c r="W32" i="33"/>
  <c r="M18" i="67"/>
  <c r="C17" i="40"/>
  <c r="AZ377" i="3"/>
  <c r="C25" i="39"/>
  <c r="AB34" i="21"/>
  <c r="U34" i="21"/>
  <c r="BA586" i="3"/>
  <c r="J12" i="37"/>
  <c r="W12" i="37" s="1"/>
  <c r="H12" i="37"/>
  <c r="AB12" i="37" s="1"/>
  <c r="J43" i="39"/>
  <c r="F43" i="39"/>
  <c r="AA43" i="39" s="1"/>
  <c r="H43" i="39"/>
  <c r="AC8" i="40"/>
  <c r="W8" i="40"/>
  <c r="J38" i="40"/>
  <c r="BA397" i="3"/>
  <c r="AZ397" i="3" s="1"/>
  <c r="BL397" i="3"/>
  <c r="BA275" i="3"/>
  <c r="BA283" i="3"/>
  <c r="BL283" i="3"/>
  <c r="BL284" i="3"/>
  <c r="BA30" i="3"/>
  <c r="BL34" i="3"/>
  <c r="U68" i="71"/>
  <c r="B39" i="71"/>
  <c r="B79" i="71"/>
  <c r="B78" i="71" s="1"/>
  <c r="AZ325" i="3"/>
  <c r="AZ306" i="3"/>
  <c r="AC31" i="34"/>
  <c r="F38" i="40"/>
  <c r="G416" i="3"/>
  <c r="BA420" i="3"/>
  <c r="G431" i="3"/>
  <c r="BA432" i="3"/>
  <c r="G435" i="3"/>
  <c r="BA438" i="3"/>
  <c r="G445" i="3"/>
  <c r="BL447" i="3"/>
  <c r="G450" i="3"/>
  <c r="G466" i="3"/>
  <c r="G467" i="3"/>
  <c r="BL469" i="3"/>
  <c r="G471" i="3"/>
  <c r="BL472" i="3"/>
  <c r="BA476" i="3"/>
  <c r="BL479" i="3"/>
  <c r="BA481" i="3"/>
  <c r="G484" i="3"/>
  <c r="G488" i="3"/>
  <c r="G318" i="3"/>
  <c r="G358" i="3"/>
  <c r="G362" i="3"/>
  <c r="G366" i="3"/>
  <c r="G382" i="3"/>
  <c r="G213" i="3"/>
  <c r="G226" i="3"/>
  <c r="BA235" i="3"/>
  <c r="G238" i="3"/>
  <c r="G246" i="3"/>
  <c r="G266" i="3"/>
  <c r="G270" i="3"/>
  <c r="G279" i="3"/>
  <c r="G283" i="3"/>
  <c r="G297" i="3"/>
  <c r="G116" i="3"/>
  <c r="BL173" i="3"/>
  <c r="G174" i="3"/>
  <c r="BL181" i="3"/>
  <c r="G182" i="3"/>
  <c r="G186" i="3"/>
  <c r="BL198" i="3"/>
  <c r="G202" i="3"/>
  <c r="G20" i="3"/>
  <c r="G28" i="3"/>
  <c r="G49" i="3"/>
  <c r="G106" i="3"/>
  <c r="U21" i="37"/>
  <c r="BA400" i="3"/>
  <c r="G413" i="3"/>
  <c r="BL455" i="3"/>
  <c r="G456" i="3"/>
  <c r="G460" i="3"/>
  <c r="G468" i="3"/>
  <c r="G380" i="3"/>
  <c r="BL214" i="3"/>
  <c r="G216" i="3"/>
  <c r="G220" i="3"/>
  <c r="G228" i="3"/>
  <c r="G232" i="3"/>
  <c r="G256" i="3"/>
  <c r="G260" i="3"/>
  <c r="BL298" i="3"/>
  <c r="G300" i="3"/>
  <c r="G126" i="3"/>
  <c r="G130" i="3"/>
  <c r="G136" i="3"/>
  <c r="G152" i="3"/>
  <c r="G164" i="3"/>
  <c r="G172" i="3"/>
  <c r="G176" i="3"/>
  <c r="G184" i="3"/>
  <c r="G188" i="3"/>
  <c r="G18" i="3"/>
  <c r="G52" i="3"/>
  <c r="G63" i="3"/>
  <c r="G68" i="3"/>
  <c r="BA70" i="3"/>
  <c r="BL70" i="3"/>
  <c r="BL71" i="3"/>
  <c r="G92" i="3"/>
  <c r="G112" i="3"/>
  <c r="AZ494" i="3"/>
  <c r="J27" i="34"/>
  <c r="H27" i="34"/>
  <c r="BA560" i="3"/>
  <c r="W31" i="21"/>
  <c r="AA31" i="34"/>
  <c r="U39" i="34"/>
  <c r="U43" i="34"/>
  <c r="S14" i="36"/>
  <c r="BL521" i="3"/>
  <c r="AA14" i="33"/>
  <c r="S14" i="33"/>
  <c r="AC28" i="33"/>
  <c r="W28" i="33"/>
  <c r="AC39" i="33"/>
  <c r="W39" i="33"/>
  <c r="AA42" i="34"/>
  <c r="S42" i="34"/>
  <c r="BA565" i="3"/>
  <c r="BL552" i="3"/>
  <c r="AZ552" i="3" s="1"/>
  <c r="BL541" i="3"/>
  <c r="BA539" i="3"/>
  <c r="BL538" i="3"/>
  <c r="AZ538" i="3" s="1"/>
  <c r="W27" i="33"/>
  <c r="AA27" i="40"/>
  <c r="S27" i="40"/>
  <c r="AA15" i="37"/>
  <c r="S15" i="37"/>
  <c r="AA45" i="33"/>
  <c r="S45" i="33"/>
  <c r="F11" i="36"/>
  <c r="AA11" i="36" s="1"/>
  <c r="H11" i="36"/>
  <c r="U11" i="36" s="1"/>
  <c r="AZ542" i="3"/>
  <c r="AA14" i="35"/>
  <c r="S14" i="35"/>
  <c r="BA564" i="3"/>
  <c r="BA563" i="3"/>
  <c r="AZ563" i="3" s="1"/>
  <c r="BA558" i="3"/>
  <c r="BL556" i="3"/>
  <c r="BA556" i="3"/>
  <c r="BA555" i="3"/>
  <c r="AZ555" i="3" s="1"/>
  <c r="BL546" i="3"/>
  <c r="BA546" i="3"/>
  <c r="BA536" i="3"/>
  <c r="AZ536" i="3" s="1"/>
  <c r="BA534" i="3"/>
  <c r="AZ534" i="3" s="1"/>
  <c r="BA532" i="3"/>
  <c r="BA531" i="3"/>
  <c r="BA527" i="3"/>
  <c r="BL522" i="3"/>
  <c r="U11" i="40"/>
  <c r="S36" i="40"/>
  <c r="W15" i="33"/>
  <c r="AA29" i="34"/>
  <c r="AB20" i="36"/>
  <c r="AC17" i="40"/>
  <c r="BL557" i="3"/>
  <c r="AZ557" i="3" s="1"/>
  <c r="S44" i="33"/>
  <c r="AA44" i="33"/>
  <c r="BA575" i="3"/>
  <c r="BL554" i="3"/>
  <c r="BA553" i="3"/>
  <c r="BA543" i="3"/>
  <c r="BA537" i="3"/>
  <c r="BL530" i="3"/>
  <c r="AZ530" i="3" s="1"/>
  <c r="BL528" i="3"/>
  <c r="BA528" i="3"/>
  <c r="BA521" i="3"/>
  <c r="BA520" i="3"/>
  <c r="BA519" i="3"/>
  <c r="BL518" i="3"/>
  <c r="BA518" i="3"/>
  <c r="BA517" i="3"/>
  <c r="BL516" i="3"/>
  <c r="BL514" i="3"/>
  <c r="BA513" i="3"/>
  <c r="BA512" i="3"/>
  <c r="AZ512" i="3" s="1"/>
  <c r="BL510" i="3"/>
  <c r="BA510" i="3"/>
  <c r="BL508" i="3"/>
  <c r="BA507" i="3"/>
  <c r="BA506" i="3"/>
  <c r="BA503" i="3"/>
  <c r="AZ503" i="3" s="1"/>
  <c r="BL502" i="3"/>
  <c r="BA502" i="3"/>
  <c r="BA501" i="3"/>
  <c r="BL498" i="3"/>
  <c r="BC5" i="3"/>
  <c r="BA498" i="3"/>
  <c r="BL496" i="3"/>
  <c r="BA496" i="3"/>
  <c r="BA495" i="3"/>
  <c r="BL494" i="3"/>
  <c r="BL493" i="3"/>
  <c r="BA493" i="3"/>
  <c r="U33" i="34"/>
  <c r="AZ322" i="3"/>
  <c r="AZ311" i="3"/>
  <c r="AZ347" i="3"/>
  <c r="AZ156" i="3"/>
  <c r="BL497" i="3"/>
  <c r="BL511" i="3"/>
  <c r="AZ511" i="3" s="1"/>
  <c r="BL517" i="3"/>
  <c r="BL527" i="3"/>
  <c r="AB46" i="33"/>
  <c r="U41" i="21"/>
  <c r="AB41" i="21"/>
  <c r="BA549" i="3"/>
  <c r="BA548" i="3"/>
  <c r="BL544" i="3"/>
  <c r="AZ544" i="3" s="1"/>
  <c r="BL542" i="3"/>
  <c r="BA541" i="3"/>
  <c r="BA540" i="3"/>
  <c r="AZ540" i="3" s="1"/>
  <c r="BA533" i="3"/>
  <c r="AZ533" i="3" s="1"/>
  <c r="BL532" i="3"/>
  <c r="BL526" i="3"/>
  <c r="BA525" i="3"/>
  <c r="AZ525" i="3" s="1"/>
  <c r="BL524" i="3"/>
  <c r="BA524" i="3"/>
  <c r="BL520" i="3"/>
  <c r="BA516" i="3"/>
  <c r="BA515" i="3"/>
  <c r="BA509" i="3"/>
  <c r="BA508" i="3"/>
  <c r="BL506" i="3"/>
  <c r="BA505" i="3"/>
  <c r="BL504" i="3"/>
  <c r="AZ504" i="3" s="1"/>
  <c r="BA500" i="3"/>
  <c r="AZ500" i="3" s="1"/>
  <c r="BA497" i="3"/>
  <c r="AZ497" i="3" s="1"/>
  <c r="U27" i="40"/>
  <c r="BL499" i="3"/>
  <c r="AZ499" i="3" s="1"/>
  <c r="BL519" i="3"/>
  <c r="BL529" i="3"/>
  <c r="AZ529" i="3" s="1"/>
  <c r="BL535" i="3"/>
  <c r="AZ535" i="3" s="1"/>
  <c r="BL553" i="3"/>
  <c r="BL559" i="3"/>
  <c r="AZ559" i="3" s="1"/>
  <c r="BL565" i="3"/>
  <c r="AZ565" i="3" s="1"/>
  <c r="AC28" i="35"/>
  <c r="W28" i="35"/>
  <c r="AZ355" i="3"/>
  <c r="BL501" i="3"/>
  <c r="BL509" i="3"/>
  <c r="BL543" i="3"/>
  <c r="BL549" i="3"/>
  <c r="AZ549" i="3" s="1"/>
  <c r="BL555" i="3"/>
  <c r="AC41" i="33"/>
  <c r="F12" i="35"/>
  <c r="J12" i="35"/>
  <c r="J23" i="35"/>
  <c r="F23" i="35"/>
  <c r="BL430" i="3"/>
  <c r="G444" i="3"/>
  <c r="BA444" i="3"/>
  <c r="G464" i="3"/>
  <c r="G209" i="3"/>
  <c r="BA220" i="3"/>
  <c r="BL252" i="3"/>
  <c r="BL254" i="3"/>
  <c r="BA258" i="3"/>
  <c r="BA270" i="3"/>
  <c r="BL272" i="3"/>
  <c r="BL273" i="3"/>
  <c r="BA145" i="3"/>
  <c r="BA157" i="3"/>
  <c r="BL161" i="3"/>
  <c r="BL163" i="3"/>
  <c r="AZ163" i="3" s="1"/>
  <c r="BL169" i="3"/>
  <c r="G190" i="3"/>
  <c r="BA194" i="3"/>
  <c r="G206" i="3"/>
  <c r="BL20" i="3"/>
  <c r="BA21" i="3"/>
  <c r="BL82" i="3"/>
  <c r="BL86" i="3"/>
  <c r="G88" i="3"/>
  <c r="BA89" i="3"/>
  <c r="G556" i="3"/>
  <c r="BL398" i="3"/>
  <c r="G401" i="3"/>
  <c r="G408" i="3"/>
  <c r="BA413" i="3"/>
  <c r="BA424" i="3"/>
  <c r="G425" i="3"/>
  <c r="BL425" i="3"/>
  <c r="BL426" i="3"/>
  <c r="BA443" i="3"/>
  <c r="G446" i="3"/>
  <c r="G452" i="3"/>
  <c r="BA453" i="3"/>
  <c r="BA455" i="3"/>
  <c r="AZ455" i="3" s="1"/>
  <c r="G477" i="3"/>
  <c r="BA487" i="3"/>
  <c r="BL490" i="3"/>
  <c r="G323" i="3"/>
  <c r="BA332" i="3"/>
  <c r="BL332" i="3"/>
  <c r="BA348" i="3"/>
  <c r="BA350" i="3"/>
  <c r="AZ350" i="3" s="1"/>
  <c r="BL359" i="3"/>
  <c r="AZ359" i="3" s="1"/>
  <c r="BL367" i="3"/>
  <c r="BL375" i="3"/>
  <c r="AZ375" i="3" s="1"/>
  <c r="BL225" i="3"/>
  <c r="BL226" i="3"/>
  <c r="G302" i="3"/>
  <c r="BL122" i="3"/>
  <c r="BL135" i="3"/>
  <c r="AZ135" i="3" s="1"/>
  <c r="BA156" i="3"/>
  <c r="BA185" i="3"/>
  <c r="BA189" i="3"/>
  <c r="G192" i="3"/>
  <c r="BL205" i="3"/>
  <c r="G19" i="3"/>
  <c r="G31" i="3"/>
  <c r="G56" i="3"/>
  <c r="BL64" i="3"/>
  <c r="G65" i="3"/>
  <c r="G69" i="3"/>
  <c r="BA77" i="3"/>
  <c r="G78" i="3"/>
  <c r="G95" i="3"/>
  <c r="BA95" i="3"/>
  <c r="G103" i="3"/>
  <c r="BL103" i="3"/>
  <c r="BL105" i="3"/>
  <c r="G107" i="3"/>
  <c r="BL107" i="3"/>
  <c r="BL110" i="3"/>
  <c r="BL111" i="3"/>
  <c r="AC21" i="33"/>
  <c r="AA21" i="33"/>
  <c r="U25" i="40"/>
  <c r="B40" i="71"/>
  <c r="S40" i="71" s="1"/>
  <c r="C59" i="71"/>
  <c r="D59" i="71" s="1"/>
  <c r="G582" i="3"/>
  <c r="G575" i="3"/>
  <c r="G564" i="3"/>
  <c r="G14" i="3"/>
  <c r="G400" i="3"/>
  <c r="G407" i="3"/>
  <c r="BL416" i="3"/>
  <c r="G424" i="3"/>
  <c r="G428" i="3"/>
  <c r="G441" i="3"/>
  <c r="BL451" i="3"/>
  <c r="G457" i="3"/>
  <c r="G465" i="3"/>
  <c r="G485" i="3"/>
  <c r="G490" i="3"/>
  <c r="G329" i="3"/>
  <c r="G217" i="3"/>
  <c r="G221" i="3"/>
  <c r="G225" i="3"/>
  <c r="BA231" i="3"/>
  <c r="BA233" i="3"/>
  <c r="G234" i="3"/>
  <c r="BA240" i="3"/>
  <c r="BL242" i="3"/>
  <c r="G243" i="3"/>
  <c r="BA244" i="3"/>
  <c r="BL244" i="3"/>
  <c r="BA248" i="3"/>
  <c r="G251" i="3"/>
  <c r="BA260" i="3"/>
  <c r="BA268" i="3"/>
  <c r="G271" i="3"/>
  <c r="BA288" i="3"/>
  <c r="BA298" i="3"/>
  <c r="G135" i="3"/>
  <c r="G158" i="3"/>
  <c r="BA177" i="3"/>
  <c r="G183" i="3"/>
  <c r="G187" i="3"/>
  <c r="G191" i="3"/>
  <c r="G195" i="3"/>
  <c r="BA201" i="3"/>
  <c r="BA50" i="3"/>
  <c r="G51" i="3"/>
  <c r="BA52" i="3"/>
  <c r="G73" i="3"/>
  <c r="BL76" i="3"/>
  <c r="G89" i="3"/>
  <c r="G93" i="3"/>
  <c r="X31" i="71"/>
  <c r="Y37" i="71"/>
  <c r="Z37" i="71" s="1"/>
  <c r="X34" i="71"/>
  <c r="J35" i="39"/>
  <c r="AC35" i="39" s="1"/>
  <c r="H35" i="39"/>
  <c r="F35" i="39"/>
  <c r="AA35" i="39" s="1"/>
  <c r="F32" i="15"/>
  <c r="F60" i="15" s="1"/>
  <c r="F52" i="9"/>
  <c r="F30" i="68"/>
  <c r="F48" i="68" s="1"/>
  <c r="AB44" i="21"/>
  <c r="H45" i="21"/>
  <c r="AZ342" i="3"/>
  <c r="J9" i="37"/>
  <c r="W9" i="37" s="1"/>
  <c r="W40" i="37"/>
  <c r="U11" i="33"/>
  <c r="AZ522" i="3"/>
  <c r="F25" i="36"/>
  <c r="W11" i="35"/>
  <c r="AC11" i="35"/>
  <c r="W11" i="40"/>
  <c r="AC11" i="40"/>
  <c r="AC25" i="37"/>
  <c r="W25" i="37"/>
  <c r="AZ524" i="3"/>
  <c r="AZ508" i="3"/>
  <c r="AC40" i="33"/>
  <c r="W40" i="33"/>
  <c r="AB34" i="35"/>
  <c r="U34" i="35"/>
  <c r="AA31" i="35"/>
  <c r="S31" i="35"/>
  <c r="AB9" i="21"/>
  <c r="W9" i="33"/>
  <c r="W29" i="34"/>
  <c r="U25" i="36"/>
  <c r="AC25" i="36"/>
  <c r="S32" i="37"/>
  <c r="S43" i="39"/>
  <c r="AB35" i="34"/>
  <c r="U15" i="37"/>
  <c r="W14" i="36"/>
  <c r="U21" i="40"/>
  <c r="AC34" i="33"/>
  <c r="AZ327" i="3"/>
  <c r="AZ519" i="3"/>
  <c r="S13" i="33"/>
  <c r="AA13" i="33"/>
  <c r="F45" i="21"/>
  <c r="AA38" i="34"/>
  <c r="S34" i="37"/>
  <c r="BA587" i="3"/>
  <c r="BA585" i="3"/>
  <c r="F14" i="39"/>
  <c r="S14" i="39" s="1"/>
  <c r="H14" i="39"/>
  <c r="J39" i="40"/>
  <c r="H39" i="40"/>
  <c r="BA582" i="3"/>
  <c r="AC11" i="33"/>
  <c r="S39" i="33"/>
  <c r="AZ364" i="3"/>
  <c r="U41" i="33"/>
  <c r="F30" i="69"/>
  <c r="F48" i="69" s="1"/>
  <c r="F31" i="12"/>
  <c r="U30" i="40"/>
  <c r="AC45" i="21"/>
  <c r="S46" i="21"/>
  <c r="AB42" i="21"/>
  <c r="AC34" i="37"/>
  <c r="U36" i="37"/>
  <c r="S35" i="35"/>
  <c r="S20" i="36"/>
  <c r="S36" i="37"/>
  <c r="AB23" i="21"/>
  <c r="U27" i="33"/>
  <c r="AC17" i="37"/>
  <c r="F54" i="9"/>
  <c r="F28" i="15"/>
  <c r="C28" i="15" s="1"/>
  <c r="F32" i="67"/>
  <c r="F60" i="67" s="1"/>
  <c r="F28" i="67"/>
  <c r="W17" i="21"/>
  <c r="U27" i="21"/>
  <c r="AB34" i="33"/>
  <c r="AC37" i="33"/>
  <c r="U19" i="37"/>
  <c r="W32" i="37"/>
  <c r="AB20" i="35"/>
  <c r="AB31" i="40"/>
  <c r="U42" i="33"/>
  <c r="AA33" i="34"/>
  <c r="AB17" i="37"/>
  <c r="AC15" i="37"/>
  <c r="AC29" i="37"/>
  <c r="U13" i="36"/>
  <c r="AA32" i="40"/>
  <c r="AZ379" i="3"/>
  <c r="AZ326" i="3"/>
  <c r="AZ310" i="3"/>
  <c r="AZ372" i="3"/>
  <c r="AZ394" i="3"/>
  <c r="AZ378" i="3"/>
  <c r="W35" i="40"/>
  <c r="S42" i="21"/>
  <c r="AC45" i="33"/>
  <c r="AZ528" i="3"/>
  <c r="AZ554" i="3"/>
  <c r="AZ560" i="3"/>
  <c r="J11" i="36"/>
  <c r="AC11" i="36" s="1"/>
  <c r="J30" i="21"/>
  <c r="S26" i="33"/>
  <c r="AA34" i="40"/>
  <c r="S34" i="40"/>
  <c r="BL578" i="3"/>
  <c r="BL564" i="3"/>
  <c r="BL561" i="3"/>
  <c r="BA561" i="3"/>
  <c r="AB34" i="34"/>
  <c r="U34" i="34"/>
  <c r="J12" i="33"/>
  <c r="H12" i="33"/>
  <c r="U12" i="33" s="1"/>
  <c r="AZ329" i="3"/>
  <c r="AZ313" i="3"/>
  <c r="F36" i="35"/>
  <c r="H24" i="35"/>
  <c r="AB27" i="37"/>
  <c r="BL505" i="3"/>
  <c r="AZ505" i="3" s="1"/>
  <c r="BL515" i="3"/>
  <c r="AZ515" i="3" s="1"/>
  <c r="BL523" i="3"/>
  <c r="AZ523" i="3" s="1"/>
  <c r="BL531" i="3"/>
  <c r="BL537" i="3"/>
  <c r="BL547" i="3"/>
  <c r="AZ558" i="3"/>
  <c r="J27" i="37"/>
  <c r="H26" i="33"/>
  <c r="H9" i="33"/>
  <c r="F9" i="33"/>
  <c r="AA9" i="33" s="1"/>
  <c r="H45" i="39"/>
  <c r="F45" i="39"/>
  <c r="A15" i="62"/>
  <c r="B61" i="72" s="1"/>
  <c r="D67" i="71"/>
  <c r="C66" i="71"/>
  <c r="O65" i="71" s="1"/>
  <c r="S40" i="21"/>
  <c r="G587" i="3"/>
  <c r="B75" i="43"/>
  <c r="H12" i="35"/>
  <c r="J9" i="36"/>
  <c r="J23" i="36"/>
  <c r="G566" i="3"/>
  <c r="G558" i="3"/>
  <c r="G402" i="3"/>
  <c r="BA407" i="3"/>
  <c r="BA410" i="3"/>
  <c r="BL414" i="3"/>
  <c r="BL415" i="3"/>
  <c r="BA419" i="3"/>
  <c r="BL419" i="3"/>
  <c r="BA431" i="3"/>
  <c r="BA436" i="3"/>
  <c r="BA446" i="3"/>
  <c r="BA452" i="3"/>
  <c r="G458" i="3"/>
  <c r="BA458" i="3"/>
  <c r="G462" i="3"/>
  <c r="BA462" i="3"/>
  <c r="BL465" i="3"/>
  <c r="BA471" i="3"/>
  <c r="BL488" i="3"/>
  <c r="BA319" i="3"/>
  <c r="AZ319" i="3" s="1"/>
  <c r="BA339" i="3"/>
  <c r="AZ339" i="3" s="1"/>
  <c r="BA366" i="3"/>
  <c r="AZ366" i="3" s="1"/>
  <c r="BL385" i="3"/>
  <c r="BA392" i="3"/>
  <c r="AZ392" i="3" s="1"/>
  <c r="BL208" i="3"/>
  <c r="BA210" i="3"/>
  <c r="BL210" i="3"/>
  <c r="BL212" i="3"/>
  <c r="BA217" i="3"/>
  <c r="BL219" i="3"/>
  <c r="BL224" i="3"/>
  <c r="BA228" i="3"/>
  <c r="BL230" i="3"/>
  <c r="BL237" i="3"/>
  <c r="BA239" i="3"/>
  <c r="BL239" i="3"/>
  <c r="BA254" i="3"/>
  <c r="AZ254" i="3" s="1"/>
  <c r="BA257" i="3"/>
  <c r="BL259" i="3"/>
  <c r="G586" i="3"/>
  <c r="BA408" i="3"/>
  <c r="BA409" i="3"/>
  <c r="AZ409" i="3" s="1"/>
  <c r="G417" i="3"/>
  <c r="G423" i="3"/>
  <c r="BL423" i="3"/>
  <c r="BA428" i="3"/>
  <c r="BA429" i="3"/>
  <c r="BA430" i="3"/>
  <c r="AZ430" i="3" s="1"/>
  <c r="BA434" i="3"/>
  <c r="BL443" i="3"/>
  <c r="BA448" i="3"/>
  <c r="BA451" i="3"/>
  <c r="AZ451" i="3" s="1"/>
  <c r="BL457" i="3"/>
  <c r="BL460" i="3"/>
  <c r="BL461" i="3"/>
  <c r="BA463" i="3"/>
  <c r="BL463" i="3"/>
  <c r="BA470" i="3"/>
  <c r="BL487" i="3"/>
  <c r="G351" i="3"/>
  <c r="BL383" i="3"/>
  <c r="AZ383" i="3" s="1"/>
  <c r="BL211" i="3"/>
  <c r="G241" i="3"/>
  <c r="BA246" i="3"/>
  <c r="G249" i="3"/>
  <c r="BA250" i="3"/>
  <c r="BA252" i="3"/>
  <c r="G255" i="3"/>
  <c r="BA256" i="3"/>
  <c r="BL256" i="3"/>
  <c r="BA265" i="3"/>
  <c r="G268" i="3"/>
  <c r="F23" i="36"/>
  <c r="BA584" i="3"/>
  <c r="BA583" i="3"/>
  <c r="G583" i="3"/>
  <c r="BL582" i="3"/>
  <c r="BL581" i="3"/>
  <c r="G581" i="3"/>
  <c r="G580" i="3"/>
  <c r="G579" i="3"/>
  <c r="BA578" i="3"/>
  <c r="AZ578" i="3" s="1"/>
  <c r="BL576" i="3"/>
  <c r="BA576" i="3"/>
  <c r="BA574" i="3"/>
  <c r="G573" i="3"/>
  <c r="BI5" i="3"/>
  <c r="BE5" i="3"/>
  <c r="AC5" i="3"/>
  <c r="BR5" i="3"/>
  <c r="G28" i="6" s="1"/>
  <c r="G571" i="3"/>
  <c r="BL570" i="3"/>
  <c r="BH5" i="3"/>
  <c r="G570" i="3"/>
  <c r="BG5" i="3"/>
  <c r="BT5" i="3"/>
  <c r="BL567" i="3"/>
  <c r="BA567" i="3"/>
  <c r="AZ567" i="3" s="1"/>
  <c r="BS5" i="3"/>
  <c r="BL566" i="3"/>
  <c r="BA566" i="3"/>
  <c r="BB5" i="3"/>
  <c r="BL13" i="3"/>
  <c r="G399" i="3"/>
  <c r="BL399" i="3"/>
  <c r="BL406" i="3"/>
  <c r="AZ406" i="3" s="1"/>
  <c r="G411" i="3"/>
  <c r="BL412" i="3"/>
  <c r="BA417" i="3"/>
  <c r="G420" i="3"/>
  <c r="G421" i="3"/>
  <c r="BL421" i="3"/>
  <c r="BL422" i="3"/>
  <c r="G427" i="3"/>
  <c r="BL427" i="3"/>
  <c r="G432" i="3"/>
  <c r="BL433" i="3"/>
  <c r="BA437" i="3"/>
  <c r="BL440" i="3"/>
  <c r="G442" i="3"/>
  <c r="G443" i="3"/>
  <c r="BA450" i="3"/>
  <c r="G453" i="3"/>
  <c r="BA456" i="3"/>
  <c r="BL458" i="3"/>
  <c r="G459" i="3"/>
  <c r="BL462" i="3"/>
  <c r="G463" i="3"/>
  <c r="BA466" i="3"/>
  <c r="BA469" i="3"/>
  <c r="AZ469" i="3" s="1"/>
  <c r="BA473" i="3"/>
  <c r="BL484" i="3"/>
  <c r="G486" i="3"/>
  <c r="BA489" i="3"/>
  <c r="BA354" i="3"/>
  <c r="BL381" i="3"/>
  <c r="AZ381" i="3" s="1"/>
  <c r="BL216" i="3"/>
  <c r="G218" i="3"/>
  <c r="G223" i="3"/>
  <c r="BL227" i="3"/>
  <c r="G229" i="3"/>
  <c r="G236" i="3"/>
  <c r="BA241" i="3"/>
  <c r="BL241" i="3"/>
  <c r="BA245" i="3"/>
  <c r="G253" i="3"/>
  <c r="BA255" i="3"/>
  <c r="G263" i="3"/>
  <c r="BL264" i="3"/>
  <c r="BL289" i="3"/>
  <c r="G291" i="3"/>
  <c r="BA291" i="3"/>
  <c r="BL295" i="3"/>
  <c r="BL127" i="3"/>
  <c r="AZ127" i="3" s="1"/>
  <c r="G144" i="3"/>
  <c r="BA146" i="3"/>
  <c r="BA150" i="3"/>
  <c r="BL158" i="3"/>
  <c r="BA168" i="3"/>
  <c r="AZ168" i="3" s="1"/>
  <c r="G178" i="3"/>
  <c r="BL178" i="3"/>
  <c r="BA180" i="3"/>
  <c r="AZ180" i="3" s="1"/>
  <c r="BL182" i="3"/>
  <c r="BL191" i="3"/>
  <c r="AZ191" i="3" s="1"/>
  <c r="BA193" i="3"/>
  <c r="G203" i="3"/>
  <c r="BA205" i="3"/>
  <c r="AZ205" i="3" s="1"/>
  <c r="BL24" i="3"/>
  <c r="BA25" i="3"/>
  <c r="BA26" i="3"/>
  <c r="BL28" i="3"/>
  <c r="BA29" i="3"/>
  <c r="G33" i="3"/>
  <c r="BA33" i="3"/>
  <c r="BA47" i="3"/>
  <c r="BL47" i="3"/>
  <c r="G50" i="3"/>
  <c r="G60" i="3"/>
  <c r="BA62" i="3"/>
  <c r="BL62" i="3"/>
  <c r="BL63" i="3"/>
  <c r="BL69" i="3"/>
  <c r="BA78" i="3"/>
  <c r="G86" i="3"/>
  <c r="BA88" i="3"/>
  <c r="BL93" i="3"/>
  <c r="BA98" i="3"/>
  <c r="BL100" i="3"/>
  <c r="B68" i="43"/>
  <c r="D76" i="71"/>
  <c r="O68" i="71"/>
  <c r="Y29" i="71"/>
  <c r="Z29" i="71" s="1"/>
  <c r="Y30" i="71"/>
  <c r="Z30" i="71" s="1"/>
  <c r="E39" i="71"/>
  <c r="E40" i="71" s="1"/>
  <c r="U40" i="71" s="1"/>
  <c r="Y38" i="71"/>
  <c r="Z38" i="71" s="1"/>
  <c r="E47" i="71"/>
  <c r="E48" i="71" s="1"/>
  <c r="U48" i="71" s="1"/>
  <c r="B59" i="71"/>
  <c r="B60" i="71" s="1"/>
  <c r="S60" i="71" s="1"/>
  <c r="F67" i="71"/>
  <c r="B71" i="71"/>
  <c r="B70" i="71" s="1"/>
  <c r="S76" i="71"/>
  <c r="BL269" i="3"/>
  <c r="BA134" i="3"/>
  <c r="AZ134" i="3" s="1"/>
  <c r="BL134" i="3"/>
  <c r="BL137" i="3"/>
  <c r="BA149" i="3"/>
  <c r="BL167" i="3"/>
  <c r="AZ167" i="3" s="1"/>
  <c r="BL175" i="3"/>
  <c r="AZ175" i="3" s="1"/>
  <c r="BA196" i="3"/>
  <c r="AZ196" i="3" s="1"/>
  <c r="G23" i="3"/>
  <c r="BL23" i="3"/>
  <c r="BA40" i="3"/>
  <c r="G44" i="3"/>
  <c r="BL44" i="3"/>
  <c r="BL52" i="3"/>
  <c r="AZ52" i="3" s="1"/>
  <c r="BL57" i="3"/>
  <c r="G59" i="3"/>
  <c r="BA67" i="3"/>
  <c r="BL67" i="3"/>
  <c r="BL74" i="3"/>
  <c r="BL75" i="3"/>
  <c r="BL79" i="3"/>
  <c r="BA92" i="3"/>
  <c r="BA97" i="3"/>
  <c r="BL99" i="3"/>
  <c r="F29" i="39"/>
  <c r="AA29" i="39" s="1"/>
  <c r="P67" i="71"/>
  <c r="C75" i="71"/>
  <c r="Q68" i="71"/>
  <c r="T68" i="71"/>
  <c r="D54" i="71"/>
  <c r="E51" i="71"/>
  <c r="E52" i="71" s="1"/>
  <c r="U52" i="71" s="1"/>
  <c r="S68" i="71"/>
  <c r="C23" i="71"/>
  <c r="B22" i="71"/>
  <c r="B21" i="71" s="1"/>
  <c r="B20" i="71" s="1"/>
  <c r="BL266" i="3"/>
  <c r="G276" i="3"/>
  <c r="BA277" i="3"/>
  <c r="BL277" i="3"/>
  <c r="BL280" i="3"/>
  <c r="G287" i="3"/>
  <c r="G288" i="3"/>
  <c r="BA290" i="3"/>
  <c r="BA293" i="3"/>
  <c r="BA301" i="3"/>
  <c r="BL301" i="3"/>
  <c r="BL302" i="3"/>
  <c r="BA114" i="3"/>
  <c r="G134" i="3"/>
  <c r="BA148" i="3"/>
  <c r="AZ148" i="3" s="1"/>
  <c r="G155" i="3"/>
  <c r="BA162" i="3"/>
  <c r="BL166" i="3"/>
  <c r="G170" i="3"/>
  <c r="G175" i="3"/>
  <c r="G180" i="3"/>
  <c r="BL186" i="3"/>
  <c r="G198" i="3"/>
  <c r="G204" i="3"/>
  <c r="BA22" i="3"/>
  <c r="BL35" i="3"/>
  <c r="BA36" i="3"/>
  <c r="BL38" i="3"/>
  <c r="BA39" i="3"/>
  <c r="G43" i="3"/>
  <c r="BA43" i="3"/>
  <c r="G46" i="3"/>
  <c r="BA53" i="3"/>
  <c r="BA54" i="3"/>
  <c r="G57" i="3"/>
  <c r="G61" i="3"/>
  <c r="BA65" i="3"/>
  <c r="BL65" i="3"/>
  <c r="BL66" i="3"/>
  <c r="BA72" i="3"/>
  <c r="AZ72" i="3" s="1"/>
  <c r="BL72" i="3"/>
  <c r="G74" i="3"/>
  <c r="G79" i="3"/>
  <c r="G80" i="3"/>
  <c r="BA80" i="3"/>
  <c r="G84" i="3"/>
  <c r="BL84" i="3"/>
  <c r="BL91" i="3"/>
  <c r="BL96" i="3"/>
  <c r="G109" i="3"/>
  <c r="BA109" i="3"/>
  <c r="AB21" i="33"/>
  <c r="W18" i="36"/>
  <c r="S21" i="34"/>
  <c r="B88" i="43"/>
  <c r="AB28" i="71"/>
  <c r="AA34" i="71"/>
  <c r="F40" i="71"/>
  <c r="V40" i="71" s="1"/>
  <c r="AB38" i="71"/>
  <c r="J51" i="15"/>
  <c r="F6" i="1"/>
  <c r="AC41" i="39"/>
  <c r="AA41" i="39"/>
  <c r="W40" i="39"/>
  <c r="U40" i="39"/>
  <c r="AB39" i="39"/>
  <c r="U41" i="39"/>
  <c r="U42" i="39"/>
  <c r="S40" i="39"/>
  <c r="AA39" i="39"/>
  <c r="C40" i="69"/>
  <c r="G22" i="11"/>
  <c r="E1" i="73"/>
  <c r="G26" i="12"/>
  <c r="G22" i="68"/>
  <c r="C18" i="9"/>
  <c r="D18" i="9" s="1"/>
  <c r="J21" i="39"/>
  <c r="W21" i="39" s="1"/>
  <c r="F100" i="39"/>
  <c r="G100" i="39" s="1"/>
  <c r="J27" i="39"/>
  <c r="W27" i="39" s="1"/>
  <c r="H27" i="39"/>
  <c r="U27" i="39" s="1"/>
  <c r="F27" i="39"/>
  <c r="S27" i="39" s="1"/>
  <c r="H21" i="39"/>
  <c r="U21" i="39" s="1"/>
  <c r="F21" i="39"/>
  <c r="S21" i="39" s="1"/>
  <c r="W8" i="39"/>
  <c r="AC23" i="39"/>
  <c r="W23" i="39"/>
  <c r="F23" i="39"/>
  <c r="S23" i="39" s="1"/>
  <c r="H23" i="39"/>
  <c r="U23" i="39" s="1"/>
  <c r="E96" i="39"/>
  <c r="F96" i="39" s="1"/>
  <c r="G96" i="39" s="1"/>
  <c r="F17" i="39"/>
  <c r="AC27" i="39"/>
  <c r="U19" i="39"/>
  <c r="U17" i="39"/>
  <c r="AB21" i="39"/>
  <c r="U29" i="39"/>
  <c r="AC25" i="39"/>
  <c r="AC17" i="39"/>
  <c r="U32" i="39"/>
  <c r="S34" i="39"/>
  <c r="S31" i="39"/>
  <c r="AB34" i="39"/>
  <c r="W19" i="39"/>
  <c r="S15" i="39"/>
  <c r="W9" i="39"/>
  <c r="S13" i="39"/>
  <c r="J14" i="39"/>
  <c r="AC14" i="39" s="1"/>
  <c r="F34" i="15"/>
  <c r="F62" i="15" s="1"/>
  <c r="G1" i="15"/>
  <c r="B6" i="1"/>
  <c r="E6" i="1" s="1"/>
  <c r="K1" i="12"/>
  <c r="BA13" i="3"/>
  <c r="BN5" i="3"/>
  <c r="BF5" i="3"/>
  <c r="B57" i="43"/>
  <c r="B79" i="43"/>
  <c r="U33" i="40"/>
  <c r="AB33" i="40"/>
  <c r="U45" i="33"/>
  <c r="AB45" i="33"/>
  <c r="AB26" i="37"/>
  <c r="U26" i="37"/>
  <c r="BA577" i="3"/>
  <c r="BL575" i="3"/>
  <c r="BL574" i="3"/>
  <c r="AZ574" i="3" s="1"/>
  <c r="BA573" i="3"/>
  <c r="BA568" i="3"/>
  <c r="AA19" i="33"/>
  <c r="S39" i="40"/>
  <c r="W13" i="21"/>
  <c r="AC26" i="36"/>
  <c r="AA17" i="33"/>
  <c r="AC32" i="39"/>
  <c r="S37" i="21"/>
  <c r="U19" i="33"/>
  <c r="D6" i="52"/>
  <c r="S25" i="33"/>
  <c r="AA23" i="37"/>
  <c r="S17" i="37"/>
  <c r="AA15" i="21"/>
  <c r="U15" i="21"/>
  <c r="AA26" i="21"/>
  <c r="S31" i="40"/>
  <c r="W27" i="40"/>
  <c r="S23" i="21"/>
  <c r="W15" i="21"/>
  <c r="AA38" i="21"/>
  <c r="S43" i="34"/>
  <c r="U23" i="37"/>
  <c r="U32" i="37"/>
  <c r="U25" i="39"/>
  <c r="AC36" i="40"/>
  <c r="AZ14" i="3"/>
  <c r="AZ389" i="3"/>
  <c r="AZ320" i="3"/>
  <c r="AZ304" i="3"/>
  <c r="AC13" i="40"/>
  <c r="AZ513" i="3"/>
  <c r="AZ502" i="3"/>
  <c r="G572" i="3"/>
  <c r="AB46" i="34"/>
  <c r="U46" i="34"/>
  <c r="W31" i="33"/>
  <c r="AC31" i="33"/>
  <c r="U17" i="34"/>
  <c r="AB17" i="34"/>
  <c r="AC33" i="33"/>
  <c r="W33" i="33"/>
  <c r="AC8" i="34"/>
  <c r="W8" i="34"/>
  <c r="F9" i="34"/>
  <c r="AA9" i="34" s="1"/>
  <c r="J9" i="34"/>
  <c r="H9" i="34"/>
  <c r="H12" i="36"/>
  <c r="F12" i="36"/>
  <c r="J12" i="36"/>
  <c r="H44" i="39"/>
  <c r="F44" i="39"/>
  <c r="J44" i="39"/>
  <c r="S44" i="34"/>
  <c r="AA44" i="34"/>
  <c r="BL584" i="3"/>
  <c r="AZ584" i="3" s="1"/>
  <c r="BA581" i="3"/>
  <c r="BA569" i="3"/>
  <c r="J12" i="39"/>
  <c r="F12" i="39"/>
  <c r="J33" i="40"/>
  <c r="F33" i="40"/>
  <c r="H36" i="39"/>
  <c r="J36" i="39"/>
  <c r="AC36" i="39" s="1"/>
  <c r="BL579" i="3"/>
  <c r="BA579" i="3"/>
  <c r="AZ579" i="3" s="1"/>
  <c r="BL571" i="3"/>
  <c r="BA571" i="3"/>
  <c r="BA570" i="3"/>
  <c r="AZ570" i="3" s="1"/>
  <c r="BL568" i="3"/>
  <c r="U37" i="39"/>
  <c r="BD5" i="3"/>
  <c r="BO5" i="3"/>
  <c r="F29" i="6" s="1"/>
  <c r="AZ334" i="3"/>
  <c r="AZ16" i="3"/>
  <c r="AZ376" i="3"/>
  <c r="AZ309" i="3"/>
  <c r="BL577" i="3"/>
  <c r="AC36" i="34"/>
  <c r="W36" i="34"/>
  <c r="S29" i="35"/>
  <c r="AA29" i="35"/>
  <c r="AA42" i="39"/>
  <c r="S42" i="39"/>
  <c r="F36" i="39"/>
  <c r="AC28" i="36"/>
  <c r="W28" i="36"/>
  <c r="AC31" i="40"/>
  <c r="W31" i="40"/>
  <c r="H33" i="36"/>
  <c r="J33" i="36"/>
  <c r="AC33" i="36" s="1"/>
  <c r="F33" i="36"/>
  <c r="BL580" i="3"/>
  <c r="BA580" i="3"/>
  <c r="BL572" i="3"/>
  <c r="BA572" i="3"/>
  <c r="BJ5" i="3"/>
  <c r="AB36" i="33"/>
  <c r="AA37" i="33"/>
  <c r="AC13" i="37"/>
  <c r="U38" i="33"/>
  <c r="U15" i="34"/>
  <c r="AB19" i="40"/>
  <c r="AA19" i="40"/>
  <c r="H12" i="39"/>
  <c r="AA47" i="34"/>
  <c r="BP5" i="3"/>
  <c r="G29" i="6" s="1"/>
  <c r="AZ345" i="3"/>
  <c r="AZ318" i="3"/>
  <c r="AZ337" i="3"/>
  <c r="H5" i="3"/>
  <c r="AA14" i="37"/>
  <c r="S14" i="37"/>
  <c r="AB30" i="21"/>
  <c r="U30" i="21"/>
  <c r="S41" i="33"/>
  <c r="AA41" i="33"/>
  <c r="AB23" i="34"/>
  <c r="U23" i="34"/>
  <c r="U31" i="36"/>
  <c r="AB34" i="40"/>
  <c r="U34" i="40"/>
  <c r="AB38" i="40"/>
  <c r="U38" i="40"/>
  <c r="F14" i="40"/>
  <c r="H14" i="40"/>
  <c r="J14" i="40"/>
  <c r="AZ387" i="3"/>
  <c r="AZ362" i="3"/>
  <c r="AZ338" i="3"/>
  <c r="AZ390" i="3"/>
  <c r="AZ371" i="3"/>
  <c r="AZ351" i="3"/>
  <c r="AZ336" i="3"/>
  <c r="AZ305" i="3"/>
  <c r="AZ360" i="3"/>
  <c r="AZ539" i="3"/>
  <c r="AZ537" i="3"/>
  <c r="AZ518" i="3"/>
  <c r="AZ526" i="3"/>
  <c r="AZ546" i="3"/>
  <c r="AZ564" i="3"/>
  <c r="G551" i="3"/>
  <c r="BL550" i="3"/>
  <c r="G542" i="3"/>
  <c r="AA25" i="21"/>
  <c r="AZ531" i="3"/>
  <c r="BL573" i="3"/>
  <c r="BL583" i="3"/>
  <c r="AZ583" i="3" s="1"/>
  <c r="AA14" i="34"/>
  <c r="H36" i="35"/>
  <c r="H25" i="37"/>
  <c r="F25" i="37"/>
  <c r="AZ547" i="3"/>
  <c r="BL569" i="3"/>
  <c r="BL585" i="3"/>
  <c r="AZ585" i="3" s="1"/>
  <c r="J12" i="34"/>
  <c r="H12" i="34"/>
  <c r="AB9" i="40"/>
  <c r="U9" i="40"/>
  <c r="AZ402" i="3"/>
  <c r="AZ443" i="3"/>
  <c r="AZ487" i="3"/>
  <c r="BL15" i="3"/>
  <c r="AZ15" i="3" s="1"/>
  <c r="BA398" i="3"/>
  <c r="AZ398" i="3" s="1"/>
  <c r="BA399" i="3"/>
  <c r="AZ399" i="3" s="1"/>
  <c r="BL401" i="3"/>
  <c r="BL404" i="3"/>
  <c r="BL405" i="3"/>
  <c r="BL407" i="3"/>
  <c r="AZ407" i="3" s="1"/>
  <c r="BA412" i="3"/>
  <c r="AZ412" i="3" s="1"/>
  <c r="BA414" i="3"/>
  <c r="AZ414" i="3" s="1"/>
  <c r="BA415" i="3"/>
  <c r="BA416" i="3"/>
  <c r="AZ416" i="3" s="1"/>
  <c r="BA418" i="3"/>
  <c r="BA421" i="3"/>
  <c r="BA423" i="3"/>
  <c r="AZ423" i="3" s="1"/>
  <c r="BA425" i="3"/>
  <c r="AZ425" i="3" s="1"/>
  <c r="BA426" i="3"/>
  <c r="AZ426" i="3" s="1"/>
  <c r="BA427" i="3"/>
  <c r="AZ427" i="3" s="1"/>
  <c r="BA433" i="3"/>
  <c r="AZ433" i="3" s="1"/>
  <c r="BA435" i="3"/>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AZ476" i="3" s="1"/>
  <c r="BA478" i="3"/>
  <c r="BA491" i="3"/>
  <c r="BL324" i="3"/>
  <c r="AZ324" i="3" s="1"/>
  <c r="BL328" i="3"/>
  <c r="AZ328" i="3" s="1"/>
  <c r="BA335" i="3"/>
  <c r="AZ335" i="3" s="1"/>
  <c r="E28" i="71"/>
  <c r="E27" i="71" s="1"/>
  <c r="E26" i="71" s="1"/>
  <c r="AA27" i="71"/>
  <c r="AA28" i="71"/>
  <c r="AA3" i="71"/>
  <c r="S27" i="35"/>
  <c r="U9" i="39"/>
  <c r="G585" i="3"/>
  <c r="BL587" i="3"/>
  <c r="BL586" i="3"/>
  <c r="AZ586" i="3" s="1"/>
  <c r="G574" i="3"/>
  <c r="BL16" i="3"/>
  <c r="BA401" i="3"/>
  <c r="BA403" i="3"/>
  <c r="AZ403" i="3" s="1"/>
  <c r="BA404" i="3"/>
  <c r="AZ404" i="3" s="1"/>
  <c r="BA405" i="3"/>
  <c r="G409" i="3"/>
  <c r="BL410" i="3"/>
  <c r="G412" i="3"/>
  <c r="G418" i="3"/>
  <c r="G419" i="3"/>
  <c r="BA422" i="3"/>
  <c r="AZ422" i="3" s="1"/>
  <c r="G429" i="3"/>
  <c r="G430" i="3"/>
  <c r="BL431" i="3"/>
  <c r="G433" i="3"/>
  <c r="BL434" i="3"/>
  <c r="AZ434" i="3" s="1"/>
  <c r="G436" i="3"/>
  <c r="G437" i="3"/>
  <c r="BL438" i="3"/>
  <c r="AZ438" i="3" s="1"/>
  <c r="BL439" i="3"/>
  <c r="AZ439" i="3" s="1"/>
  <c r="BA441" i="3"/>
  <c r="BL445" i="3"/>
  <c r="BL446" i="3"/>
  <c r="AZ446" i="3" s="1"/>
  <c r="BL449" i="3"/>
  <c r="AZ449" i="3" s="1"/>
  <c r="BL450" i="3"/>
  <c r="BL452" i="3"/>
  <c r="G454" i="3"/>
  <c r="G455" i="3"/>
  <c r="BL456" i="3"/>
  <c r="BA464" i="3"/>
  <c r="BL467" i="3"/>
  <c r="BL468" i="3"/>
  <c r="AZ468" i="3" s="1"/>
  <c r="BL470" i="3"/>
  <c r="G472" i="3"/>
  <c r="G473" i="3"/>
  <c r="BL473" i="3"/>
  <c r="AZ473" i="3" s="1"/>
  <c r="BL474" i="3"/>
  <c r="G475" i="3"/>
  <c r="BA477" i="3"/>
  <c r="BA485" i="3"/>
  <c r="BL316" i="3"/>
  <c r="BA214" i="3"/>
  <c r="AZ214" i="3" s="1"/>
  <c r="BA225" i="3"/>
  <c r="BL267" i="3"/>
  <c r="BA551" i="3"/>
  <c r="AZ551" i="3" s="1"/>
  <c r="BA550" i="3"/>
  <c r="BL548" i="3"/>
  <c r="G398" i="3"/>
  <c r="BL400" i="3"/>
  <c r="AZ400" i="3" s="1"/>
  <c r="BL408" i="3"/>
  <c r="AZ408" i="3" s="1"/>
  <c r="BL411" i="3"/>
  <c r="AZ411" i="3" s="1"/>
  <c r="BL413" i="3"/>
  <c r="AZ413" i="3" s="1"/>
  <c r="G415" i="3"/>
  <c r="BL417" i="3"/>
  <c r="AZ417" i="3" s="1"/>
  <c r="BL418" i="3"/>
  <c r="BL420" i="3"/>
  <c r="AZ420" i="3" s="1"/>
  <c r="G422" i="3"/>
  <c r="BL424" i="3"/>
  <c r="G426" i="3"/>
  <c r="BL428" i="3"/>
  <c r="AZ428" i="3" s="1"/>
  <c r="BL429" i="3"/>
  <c r="AZ429" i="3" s="1"/>
  <c r="BL432" i="3"/>
  <c r="AZ432" i="3" s="1"/>
  <c r="BL435" i="3"/>
  <c r="BL436" i="3"/>
  <c r="AZ436" i="3" s="1"/>
  <c r="BA439" i="3"/>
  <c r="BA440" i="3"/>
  <c r="AZ440" i="3" s="1"/>
  <c r="BA442" i="3"/>
  <c r="AZ442" i="3" s="1"/>
  <c r="BA445" i="3"/>
  <c r="AZ445" i="3" s="1"/>
  <c r="BA447" i="3"/>
  <c r="AZ447" i="3" s="1"/>
  <c r="BA449" i="3"/>
  <c r="BL453" i="3"/>
  <c r="BL454" i="3"/>
  <c r="BL459" i="3"/>
  <c r="G461" i="3"/>
  <c r="BA465" i="3"/>
  <c r="AZ465" i="3" s="1"/>
  <c r="BA467" i="3"/>
  <c r="BA468" i="3"/>
  <c r="BL471" i="3"/>
  <c r="BL475" i="3"/>
  <c r="G481" i="3"/>
  <c r="BA482" i="3"/>
  <c r="BA484" i="3"/>
  <c r="BA488" i="3"/>
  <c r="AZ488" i="3" s="1"/>
  <c r="G492" i="3"/>
  <c r="BA303" i="3"/>
  <c r="AZ303" i="3" s="1"/>
  <c r="BA307" i="3"/>
  <c r="AZ307" i="3" s="1"/>
  <c r="G311" i="3"/>
  <c r="BL314" i="3"/>
  <c r="AZ314" i="3" s="1"/>
  <c r="G315" i="3"/>
  <c r="BL340" i="3"/>
  <c r="AZ340" i="3" s="1"/>
  <c r="BA385" i="3"/>
  <c r="AZ385" i="3" s="1"/>
  <c r="BA212" i="3"/>
  <c r="AZ212" i="3" s="1"/>
  <c r="BL222" i="3"/>
  <c r="G258" i="3"/>
  <c r="BL262" i="3"/>
  <c r="BL278" i="3"/>
  <c r="BL317" i="3"/>
  <c r="BA349" i="3"/>
  <c r="AZ349" i="3" s="1"/>
  <c r="BA353" i="3"/>
  <c r="BL353" i="3"/>
  <c r="BA358" i="3"/>
  <c r="AZ358" i="3" s="1"/>
  <c r="BL365" i="3"/>
  <c r="AZ365" i="3" s="1"/>
  <c r="BA368" i="3"/>
  <c r="BL368" i="3"/>
  <c r="BA374" i="3"/>
  <c r="AZ374" i="3" s="1"/>
  <c r="BA388" i="3"/>
  <c r="AZ388" i="3" s="1"/>
  <c r="BA396" i="3"/>
  <c r="BA209" i="3"/>
  <c r="BL217" i="3"/>
  <c r="AZ217" i="3" s="1"/>
  <c r="BA219" i="3"/>
  <c r="BA221" i="3"/>
  <c r="BA223" i="3"/>
  <c r="BL228" i="3"/>
  <c r="BA230" i="3"/>
  <c r="AZ230" i="3" s="1"/>
  <c r="BL232" i="3"/>
  <c r="BL234" i="3"/>
  <c r="BA236" i="3"/>
  <c r="BA238" i="3"/>
  <c r="BA243" i="3"/>
  <c r="BL248" i="3"/>
  <c r="AZ248" i="3" s="1"/>
  <c r="G250" i="3"/>
  <c r="BL250" i="3"/>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BA294" i="3"/>
  <c r="BL299" i="3"/>
  <c r="BL113" i="3"/>
  <c r="BL115" i="3"/>
  <c r="AZ115" i="3" s="1"/>
  <c r="BA118" i="3"/>
  <c r="AZ118" i="3" s="1"/>
  <c r="BL118" i="3"/>
  <c r="BL123" i="3"/>
  <c r="AZ123" i="3" s="1"/>
  <c r="G128" i="3"/>
  <c r="BL146" i="3"/>
  <c r="AZ146" i="3" s="1"/>
  <c r="BL154" i="3"/>
  <c r="BA207" i="3"/>
  <c r="G42" i="3"/>
  <c r="F40" i="68"/>
  <c r="C21" i="68"/>
  <c r="BL477" i="3"/>
  <c r="BL478" i="3"/>
  <c r="AZ478" i="3" s="1"/>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BL240" i="3"/>
  <c r="AZ240" i="3" s="1"/>
  <c r="BA242" i="3"/>
  <c r="BL245" i="3"/>
  <c r="AZ245" i="3" s="1"/>
  <c r="G247" i="3"/>
  <c r="BL255" i="3"/>
  <c r="AZ255" i="3" s="1"/>
  <c r="G257" i="3"/>
  <c r="BL257" i="3"/>
  <c r="BL258" i="3"/>
  <c r="G259" i="3"/>
  <c r="BA262" i="3"/>
  <c r="AZ262" i="3" s="1"/>
  <c r="G265" i="3"/>
  <c r="BL265" i="3"/>
  <c r="AZ265" i="3" s="1"/>
  <c r="G267" i="3"/>
  <c r="G269" i="3"/>
  <c r="BA273" i="3"/>
  <c r="AZ273" i="3" s="1"/>
  <c r="BA278" i="3"/>
  <c r="BA280" i="3"/>
  <c r="AZ280" i="3" s="1"/>
  <c r="G292" i="3"/>
  <c r="G150" i="3"/>
  <c r="C40" i="68"/>
  <c r="N67" i="71"/>
  <c r="B66" i="71"/>
  <c r="T72" i="71"/>
  <c r="C71" i="71"/>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BL285" i="3"/>
  <c r="BL287" i="3"/>
  <c r="BL292" i="3"/>
  <c r="G295" i="3"/>
  <c r="BA120" i="3"/>
  <c r="AZ120" i="3" s="1"/>
  <c r="BA122" i="3"/>
  <c r="BA125" i="3"/>
  <c r="G163" i="3"/>
  <c r="G167" i="3"/>
  <c r="BA188" i="3"/>
  <c r="AZ188" i="3" s="1"/>
  <c r="BL195" i="3"/>
  <c r="AZ195" i="3" s="1"/>
  <c r="G32" i="3"/>
  <c r="BA55" i="3"/>
  <c r="BA282" i="3"/>
  <c r="BL282" i="3"/>
  <c r="BA284" i="3"/>
  <c r="AZ284" i="3" s="1"/>
  <c r="BL290" i="3"/>
  <c r="BL291" i="3"/>
  <c r="AZ291" i="3" s="1"/>
  <c r="BL293" i="3"/>
  <c r="AZ293" i="3" s="1"/>
  <c r="BL294" i="3"/>
  <c r="BA297" i="3"/>
  <c r="BL297" i="3"/>
  <c r="BL300" i="3"/>
  <c r="BA302" i="3"/>
  <c r="AZ302" i="3" s="1"/>
  <c r="G115" i="3"/>
  <c r="BA117" i="3"/>
  <c r="BA130" i="3"/>
  <c r="BL130" i="3"/>
  <c r="BA137" i="3"/>
  <c r="BL138" i="3"/>
  <c r="BA140" i="3"/>
  <c r="AZ140" i="3" s="1"/>
  <c r="BA142" i="3"/>
  <c r="BL149" i="3"/>
  <c r="AZ149" i="3" s="1"/>
  <c r="BL150" i="3"/>
  <c r="AZ150" i="3" s="1"/>
  <c r="G151" i="3"/>
  <c r="BA152" i="3"/>
  <c r="AZ152" i="3" s="1"/>
  <c r="BA154" i="3"/>
  <c r="BA160" i="3"/>
  <c r="AZ160" i="3" s="1"/>
  <c r="G162" i="3"/>
  <c r="BL162" i="3"/>
  <c r="AZ162" i="3" s="1"/>
  <c r="BL165" i="3"/>
  <c r="G166"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AZ30" i="3" s="1"/>
  <c r="BL31" i="3"/>
  <c r="G35" i="3"/>
  <c r="G36" i="3"/>
  <c r="G37" i="3"/>
  <c r="G40" i="3"/>
  <c r="BL40" i="3"/>
  <c r="AZ40" i="3" s="1"/>
  <c r="BL41" i="3"/>
  <c r="G45" i="3"/>
  <c r="BL45" i="3"/>
  <c r="BA48" i="3"/>
  <c r="BA49" i="3"/>
  <c r="BA51" i="3"/>
  <c r="G54" i="3"/>
  <c r="G55" i="3"/>
  <c r="BL56" i="3"/>
  <c r="BA58" i="3"/>
  <c r="BL59" i="3"/>
  <c r="BL60" i="3"/>
  <c r="BA61" i="3"/>
  <c r="BA68" i="3"/>
  <c r="BA73" i="3"/>
  <c r="BA79" i="3"/>
  <c r="AZ79" i="3" s="1"/>
  <c r="G82" i="3"/>
  <c r="G83" i="3"/>
  <c r="BA84" i="3"/>
  <c r="AZ84" i="3" s="1"/>
  <c r="BL88" i="3"/>
  <c r="AZ88" i="3" s="1"/>
  <c r="G90" i="3"/>
  <c r="BL90" i="3"/>
  <c r="G98" i="3"/>
  <c r="G99" i="3"/>
  <c r="BA105" i="3"/>
  <c r="AZ105" i="3" s="1"/>
  <c r="BA106" i="3"/>
  <c r="BL108" i="3"/>
  <c r="G110" i="3"/>
  <c r="BL112" i="3"/>
  <c r="AA18" i="36"/>
  <c r="S18" i="36"/>
  <c r="B27" i="71"/>
  <c r="B26" i="71" s="1"/>
  <c r="S28" i="71"/>
  <c r="X35" i="71"/>
  <c r="X25" i="71"/>
  <c r="X38" i="71"/>
  <c r="C47" i="71"/>
  <c r="D47" i="71" s="1"/>
  <c r="D46" i="71"/>
  <c r="V24" i="71"/>
  <c r="E23" i="71"/>
  <c r="E22" i="71" s="1"/>
  <c r="E21" i="71" s="1"/>
  <c r="E20" i="71" s="1"/>
  <c r="V20" i="71" s="1"/>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BA190" i="3"/>
  <c r="G196" i="3"/>
  <c r="BA197" i="3"/>
  <c r="BL201" i="3"/>
  <c r="AZ201" i="3" s="1"/>
  <c r="BL203" i="3"/>
  <c r="AZ203" i="3" s="1"/>
  <c r="BA204" i="3"/>
  <c r="AZ204" i="3" s="1"/>
  <c r="BA18" i="3"/>
  <c r="G21" i="3"/>
  <c r="BL21" i="3"/>
  <c r="AZ21" i="3" s="1"/>
  <c r="G29" i="3"/>
  <c r="BL29" i="3"/>
  <c r="BA37" i="3"/>
  <c r="G39" i="3"/>
  <c r="BL39" i="3"/>
  <c r="AZ39" i="3" s="1"/>
  <c r="BA45" i="3"/>
  <c r="BA46" i="3"/>
  <c r="BL49" i="3"/>
  <c r="BL50" i="3"/>
  <c r="AZ50" i="3" s="1"/>
  <c r="BL51" i="3"/>
  <c r="G53" i="3"/>
  <c r="BL53" i="3"/>
  <c r="AZ53" i="3" s="1"/>
  <c r="BA56" i="3"/>
  <c r="AZ56" i="3" s="1"/>
  <c r="BA57" i="3"/>
  <c r="AZ57" i="3" s="1"/>
  <c r="BL58" i="3"/>
  <c r="BA60" i="3"/>
  <c r="BA63" i="3"/>
  <c r="AZ63" i="3" s="1"/>
  <c r="BA66" i="3"/>
  <c r="AZ66" i="3" s="1"/>
  <c r="BA71" i="3"/>
  <c r="AZ71" i="3" s="1"/>
  <c r="G76" i="3"/>
  <c r="BL77" i="3"/>
  <c r="AZ77" i="3" s="1"/>
  <c r="BL81" i="3"/>
  <c r="BA82" i="3"/>
  <c r="BL83" i="3"/>
  <c r="BA90" i="3"/>
  <c r="BA94" i="3"/>
  <c r="BA100" i="3"/>
  <c r="G102" i="3"/>
  <c r="BA103" i="3"/>
  <c r="AZ103" i="3" s="1"/>
  <c r="BA104" i="3"/>
  <c r="G108" i="3"/>
  <c r="BA111" i="3"/>
  <c r="AZ111" i="3" s="1"/>
  <c r="K13" i="1"/>
  <c r="M13" i="1" s="1"/>
  <c r="O13" i="1" s="1"/>
  <c r="P13" i="1" s="1"/>
  <c r="AC29" i="39"/>
  <c r="W29" i="39"/>
  <c r="C38" i="71"/>
  <c r="C31" i="71"/>
  <c r="Y26" i="71"/>
  <c r="Z26" i="71" s="1"/>
  <c r="C28" i="71"/>
  <c r="Y28" i="71"/>
  <c r="Z28" i="71" s="1"/>
  <c r="Y25" i="71"/>
  <c r="Z25" i="71" s="1"/>
  <c r="C51" i="71"/>
  <c r="D56" i="71"/>
  <c r="T56" i="71"/>
  <c r="T80" i="71"/>
  <c r="C79" i="7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AZ207" i="3" s="1"/>
  <c r="BL18" i="3"/>
  <c r="BL19" i="3"/>
  <c r="BA20" i="3"/>
  <c r="AZ20" i="3" s="1"/>
  <c r="BL25" i="3"/>
  <c r="AZ25" i="3" s="1"/>
  <c r="BL27" i="3"/>
  <c r="AZ27" i="3" s="1"/>
  <c r="BA28" i="3"/>
  <c r="AZ28" i="3" s="1"/>
  <c r="BA31" i="3"/>
  <c r="BA32" i="3"/>
  <c r="G38" i="3"/>
  <c r="BA38" i="3"/>
  <c r="BA41" i="3"/>
  <c r="BA42" i="3"/>
  <c r="G47" i="3"/>
  <c r="BL48" i="3"/>
  <c r="BL54" i="3"/>
  <c r="AZ54" i="3" s="1"/>
  <c r="BL55" i="3"/>
  <c r="G58" i="3"/>
  <c r="BA59" i="3"/>
  <c r="AZ59" i="3" s="1"/>
  <c r="BL61" i="3"/>
  <c r="G64" i="3"/>
  <c r="BA64" i="3"/>
  <c r="AZ64" i="3" s="1"/>
  <c r="G67" i="3"/>
  <c r="BL68" i="3"/>
  <c r="BA69" i="3"/>
  <c r="G72" i="3"/>
  <c r="BL73" i="3"/>
  <c r="AZ73" i="3" s="1"/>
  <c r="BA74" i="3"/>
  <c r="AZ74" i="3" s="1"/>
  <c r="BA75" i="3"/>
  <c r="BL92" i="3"/>
  <c r="BL94" i="3"/>
  <c r="G101" i="3"/>
  <c r="BA101" i="3"/>
  <c r="BA102" i="3"/>
  <c r="AA21" i="37"/>
  <c r="S21" i="37"/>
  <c r="P27" i="6"/>
  <c r="P65" i="71"/>
  <c r="P66" i="71"/>
  <c r="Y27" i="71"/>
  <c r="Z27" i="71" s="1"/>
  <c r="F34" i="71"/>
  <c r="F35" i="71" s="1"/>
  <c r="F36" i="71" s="1"/>
  <c r="V36" i="71" s="1"/>
  <c r="AB33" i="71"/>
  <c r="AA35" i="71"/>
  <c r="Y35" i="71"/>
  <c r="Z35" i="71" s="1"/>
  <c r="AA38" i="71"/>
  <c r="AA39" i="71"/>
  <c r="AA37" i="71"/>
  <c r="C64" i="71"/>
  <c r="D64" i="71" s="1"/>
  <c r="D63" i="71"/>
  <c r="U76" i="71"/>
  <c r="E75" i="71"/>
  <c r="E74" i="71" s="1"/>
  <c r="D84" i="71"/>
  <c r="C83" i="71"/>
  <c r="F27" i="71"/>
  <c r="F26" i="71" s="1"/>
  <c r="AB27" i="71"/>
  <c r="AB26" i="71"/>
  <c r="G81" i="3"/>
  <c r="G85" i="3"/>
  <c r="BL85" i="3"/>
  <c r="BA86" i="3"/>
  <c r="AZ86" i="3" s="1"/>
  <c r="BA87" i="3"/>
  <c r="BA91" i="3"/>
  <c r="G96" i="3"/>
  <c r="BL97" i="3"/>
  <c r="AZ97" i="3" s="1"/>
  <c r="BL101" i="3"/>
  <c r="BL102" i="3"/>
  <c r="G104" i="3"/>
  <c r="G105" i="3"/>
  <c r="BL106" i="3"/>
  <c r="BA108" i="3"/>
  <c r="AZ108" i="3" s="1"/>
  <c r="BA110" i="3"/>
  <c r="AZ110" i="3" s="1"/>
  <c r="F3" i="35"/>
  <c r="S25" i="40"/>
  <c r="B77" i="43"/>
  <c r="AA18" i="35"/>
  <c r="O66" i="71"/>
  <c r="O67" i="71"/>
  <c r="C87" i="71"/>
  <c r="E79" i="71"/>
  <c r="E78" i="71" s="1"/>
  <c r="AB25" i="71"/>
  <c r="C43" i="71"/>
  <c r="X26" i="71"/>
  <c r="C35" i="71"/>
  <c r="N68" i="71"/>
  <c r="AB32" i="71"/>
  <c r="X33" i="71"/>
  <c r="AB37" i="71"/>
  <c r="V80" i="71"/>
  <c r="X28" i="71"/>
  <c r="X32" i="71"/>
  <c r="D66" i="71"/>
  <c r="X36"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E19" i="71"/>
  <c r="E18" i="71" s="1"/>
  <c r="E17" i="71" s="1"/>
  <c r="E16" i="71" s="1"/>
  <c r="AB17" i="33"/>
  <c r="S29" i="21"/>
  <c r="AB44" i="34"/>
  <c r="S39" i="34"/>
  <c r="AZ382" i="3"/>
  <c r="AZ321" i="3"/>
  <c r="AZ343" i="3"/>
  <c r="AZ517" i="3"/>
  <c r="AZ562" i="3"/>
  <c r="AC13" i="36"/>
  <c r="W13" i="36"/>
  <c r="AB31" i="33"/>
  <c r="U31" i="33"/>
  <c r="S15" i="34"/>
  <c r="AB33" i="35"/>
  <c r="U33" i="35"/>
  <c r="AB43" i="33"/>
  <c r="U43" i="33"/>
  <c r="AZ545"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56" i="3"/>
  <c r="AZ470" i="3"/>
  <c r="W35" i="39"/>
  <c r="F27" i="34"/>
  <c r="C21" i="39"/>
  <c r="U9" i="36"/>
  <c r="U14" i="37"/>
  <c r="H12" i="21"/>
  <c r="G526" i="3"/>
  <c r="AZ424" i="3"/>
  <c r="U26" i="21"/>
  <c r="U23" i="40"/>
  <c r="AA39" i="37"/>
  <c r="AC16" i="36"/>
  <c r="AB12" i="33"/>
  <c r="C27" i="39"/>
  <c r="U40" i="40"/>
  <c r="AC9" i="40"/>
  <c r="W36" i="35"/>
  <c r="J12" i="21"/>
  <c r="B73" i="43"/>
  <c r="B76" i="43"/>
  <c r="F9" i="36"/>
  <c r="J40" i="40"/>
  <c r="G562" i="3"/>
  <c r="AZ220" i="3"/>
  <c r="BA472" i="3"/>
  <c r="AZ472" i="3" s="1"/>
  <c r="G476" i="3"/>
  <c r="BA479" i="3"/>
  <c r="AZ479" i="3" s="1"/>
  <c r="BA490" i="3"/>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5" i="3"/>
  <c r="G230" i="3"/>
  <c r="BA232" i="3"/>
  <c r="BA234" i="3"/>
  <c r="AZ236" i="3"/>
  <c r="G248" i="3"/>
  <c r="AZ258" i="3"/>
  <c r="BL268" i="3"/>
  <c r="AZ268" i="3" s="1"/>
  <c r="G278" i="3"/>
  <c r="BA474" i="3"/>
  <c r="AZ474" i="3" s="1"/>
  <c r="BA475" i="3"/>
  <c r="BL481" i="3"/>
  <c r="AZ481" i="3" s="1"/>
  <c r="BL482" i="3"/>
  <c r="AZ482" i="3" s="1"/>
  <c r="G483" i="3"/>
  <c r="BL485" i="3"/>
  <c r="BL486" i="3"/>
  <c r="G487" i="3"/>
  <c r="BA492" i="3"/>
  <c r="AZ492" i="3" s="1"/>
  <c r="BL363" i="3"/>
  <c r="AZ363" i="3" s="1"/>
  <c r="G369" i="3"/>
  <c r="BL393" i="3"/>
  <c r="AZ393" i="3" s="1"/>
  <c r="BL396" i="3"/>
  <c r="BL209" i="3"/>
  <c r="G240" i="3"/>
  <c r="G242" i="3"/>
  <c r="G245" i="3"/>
  <c r="BL246" i="3"/>
  <c r="BL253" i="3"/>
  <c r="AZ253" i="3" s="1"/>
  <c r="BA261" i="3"/>
  <c r="AZ261" i="3" s="1"/>
  <c r="BA264" i="3"/>
  <c r="AZ264" i="3" s="1"/>
  <c r="BA266" i="3"/>
  <c r="AZ266" i="3" s="1"/>
  <c r="G272" i="3"/>
  <c r="G275" i="3"/>
  <c r="BL276" i="3"/>
  <c r="AZ276" i="3" s="1"/>
  <c r="BL279" i="3"/>
  <c r="BL281" i="3"/>
  <c r="BA285" i="3"/>
  <c r="AZ285" i="3" s="1"/>
  <c r="BA287" i="3"/>
  <c r="AZ287" i="3" s="1"/>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BL153" i="3"/>
  <c r="BA158" i="3"/>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BL202" i="3"/>
  <c r="AZ202" i="3" s="1"/>
  <c r="BL36" i="3"/>
  <c r="AZ36" i="3" s="1"/>
  <c r="G200" i="3"/>
  <c r="G207" i="3"/>
  <c r="BA23" i="3"/>
  <c r="BA24" i="3"/>
  <c r="AZ24" i="3" s="1"/>
  <c r="BL26" i="3"/>
  <c r="AZ26" i="3" s="1"/>
  <c r="BL32" i="3"/>
  <c r="AZ32" i="3" s="1"/>
  <c r="BA34" i="3"/>
  <c r="AZ34" i="3" s="1"/>
  <c r="BA35" i="3"/>
  <c r="AZ35" i="3" s="1"/>
  <c r="BL37" i="3"/>
  <c r="AZ37" i="3" s="1"/>
  <c r="BL42" i="3"/>
  <c r="AZ42" i="3" s="1"/>
  <c r="BA44" i="3"/>
  <c r="AZ44" i="3" s="1"/>
  <c r="AZ60" i="3"/>
  <c r="BA206" i="3"/>
  <c r="AZ206" i="3" s="1"/>
  <c r="BL22" i="3"/>
  <c r="AZ22" i="3" s="1"/>
  <c r="BL33" i="3"/>
  <c r="BL43" i="3"/>
  <c r="AZ43" i="3" s="1"/>
  <c r="BL46" i="3"/>
  <c r="AZ46" i="3" s="1"/>
  <c r="BL78" i="3"/>
  <c r="AZ78" i="3" s="1"/>
  <c r="BA83" i="3"/>
  <c r="G91" i="3"/>
  <c r="BL95" i="3"/>
  <c r="BL98" i="3"/>
  <c r="AZ98" i="3" s="1"/>
  <c r="BL109" i="3"/>
  <c r="AZ109" i="3" s="1"/>
  <c r="AB21" i="21"/>
  <c r="G77" i="3"/>
  <c r="BA81" i="3"/>
  <c r="BA85" i="3"/>
  <c r="BL89" i="3"/>
  <c r="AZ89" i="3" s="1"/>
  <c r="G94" i="3"/>
  <c r="G97" i="3"/>
  <c r="G100" i="3"/>
  <c r="BA107" i="3"/>
  <c r="AZ107" i="3" s="1"/>
  <c r="BA112" i="3"/>
  <c r="AC21" i="34"/>
  <c r="BA76" i="3"/>
  <c r="AZ76" i="3" s="1"/>
  <c r="BL80" i="3"/>
  <c r="AZ80" i="3" s="1"/>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6" i="67"/>
  <c r="B13" i="70"/>
  <c r="C36" i="68"/>
  <c r="D9" i="69"/>
  <c r="C36" i="69"/>
  <c r="D9" i="68"/>
  <c r="M23" i="67"/>
  <c r="J15" i="67"/>
  <c r="M23" i="15"/>
  <c r="D3" i="73"/>
  <c r="L47" i="15"/>
  <c r="F16" i="67"/>
  <c r="L48" i="15"/>
  <c r="F36" i="15"/>
  <c r="L48" i="67"/>
  <c r="F8" i="67"/>
  <c r="M22" i="15"/>
  <c r="F40" i="67"/>
  <c r="M24" i="15"/>
  <c r="M29" i="67"/>
  <c r="F16" i="15"/>
  <c r="F37" i="67"/>
  <c r="F7" i="67"/>
  <c r="F38" i="15"/>
  <c r="D4" i="73"/>
  <c r="M9" i="67"/>
  <c r="F26" i="67"/>
  <c r="M6" i="67"/>
  <c r="M26" i="15"/>
  <c r="D7" i="73"/>
  <c r="C76" i="15"/>
  <c r="M28" i="67"/>
  <c r="M8" i="67"/>
  <c r="F42" i="15"/>
  <c r="F43" i="67"/>
  <c r="F8" i="15"/>
  <c r="F13" i="67"/>
  <c r="F26" i="15"/>
  <c r="F36" i="67"/>
  <c r="F9" i="15"/>
  <c r="F13" i="15"/>
  <c r="F43" i="15"/>
  <c r="F7" i="15"/>
  <c r="F9" i="67"/>
  <c r="F40" i="15"/>
  <c r="F37" i="15"/>
  <c r="J15" i="15"/>
  <c r="M6" i="15"/>
  <c r="M29" i="15"/>
  <c r="M9" i="15"/>
  <c r="M24" i="67"/>
  <c r="D5" i="73"/>
  <c r="M8" i="15"/>
  <c r="F6" i="15"/>
  <c r="L47" i="67"/>
  <c r="M22" i="67"/>
  <c r="M28" i="15"/>
  <c r="C76" i="67"/>
  <c r="AZ49" i="3" l="1"/>
  <c r="U43" i="39"/>
  <c r="AB43" i="39"/>
  <c r="S46" i="34"/>
  <c r="AA46" i="34"/>
  <c r="S31" i="21"/>
  <c r="AA31" i="21"/>
  <c r="W27" i="21"/>
  <c r="AC27" i="21"/>
  <c r="U34" i="36"/>
  <c r="AB34" i="36"/>
  <c r="AA28" i="33"/>
  <c r="S28" i="33"/>
  <c r="U13" i="40"/>
  <c r="AB13" i="40"/>
  <c r="AZ418" i="3"/>
  <c r="AZ576" i="3"/>
  <c r="AZ463" i="3"/>
  <c r="AZ228" i="3"/>
  <c r="AZ452" i="3"/>
  <c r="AZ587" i="3"/>
  <c r="AZ231" i="3"/>
  <c r="AZ516" i="3"/>
  <c r="AZ520" i="3"/>
  <c r="AZ527" i="3"/>
  <c r="AC12" i="37"/>
  <c r="AZ70" i="3"/>
  <c r="AZ283" i="3"/>
  <c r="AC38" i="40"/>
  <c r="W38" i="40"/>
  <c r="S30" i="34"/>
  <c r="AA30" i="34"/>
  <c r="U31" i="21"/>
  <c r="AB31" i="21"/>
  <c r="AA24" i="36"/>
  <c r="S24" i="36"/>
  <c r="U28" i="33"/>
  <c r="AB28" i="33"/>
  <c r="AZ467" i="3"/>
  <c r="AZ485" i="3"/>
  <c r="AZ575" i="3"/>
  <c r="AA38" i="40"/>
  <c r="S38" i="40"/>
  <c r="AC43" i="39"/>
  <c r="W43" i="39"/>
  <c r="S11" i="35"/>
  <c r="AA11" i="35"/>
  <c r="U30" i="34"/>
  <c r="AB30" i="34"/>
  <c r="AC13" i="33"/>
  <c r="W13" i="33"/>
  <c r="AA27" i="21"/>
  <c r="S27" i="21"/>
  <c r="S34" i="36"/>
  <c r="AA34" i="36"/>
  <c r="AC24" i="36"/>
  <c r="W24" i="36"/>
  <c r="AC26" i="33"/>
  <c r="W26" i="33"/>
  <c r="AA13" i="40"/>
  <c r="S13" i="40"/>
  <c r="AZ68" i="3"/>
  <c r="AZ290" i="3"/>
  <c r="AZ450" i="3"/>
  <c r="G30" i="6"/>
  <c r="G31" i="6" s="1"/>
  <c r="AZ298" i="3"/>
  <c r="AZ493" i="3"/>
  <c r="AZ496" i="3"/>
  <c r="AZ510" i="3"/>
  <c r="AZ514" i="3"/>
  <c r="AZ543" i="3"/>
  <c r="AZ541" i="3"/>
  <c r="AC46" i="34"/>
  <c r="W46" i="34"/>
  <c r="S31" i="33"/>
  <c r="AA31" i="33"/>
  <c r="E11" i="6"/>
  <c r="E60" i="39" s="1"/>
  <c r="AC23" i="35"/>
  <c r="W23" i="35"/>
  <c r="T64" i="71"/>
  <c r="AZ158" i="3"/>
  <c r="AZ38" i="3"/>
  <c r="AZ90" i="3"/>
  <c r="AZ61" i="3"/>
  <c r="AZ130" i="3"/>
  <c r="AZ229" i="3"/>
  <c r="AZ218" i="3"/>
  <c r="AZ242" i="3"/>
  <c r="AZ489" i="3"/>
  <c r="AZ453" i="3"/>
  <c r="AZ548" i="3"/>
  <c r="AZ410" i="3"/>
  <c r="AZ277" i="3"/>
  <c r="AZ67" i="3"/>
  <c r="AZ252" i="3"/>
  <c r="AZ239" i="3"/>
  <c r="AZ419" i="3"/>
  <c r="W12" i="35"/>
  <c r="AC12" i="35"/>
  <c r="AZ501" i="3"/>
  <c r="AZ506" i="3"/>
  <c r="AZ553" i="3"/>
  <c r="AZ556" i="3"/>
  <c r="AZ294" i="3"/>
  <c r="E15" i="6"/>
  <c r="E64" i="39" s="1"/>
  <c r="AZ93" i="3"/>
  <c r="AZ81" i="3"/>
  <c r="AZ33" i="3"/>
  <c r="AZ23" i="3"/>
  <c r="AZ153" i="3"/>
  <c r="AZ246" i="3"/>
  <c r="AZ333" i="3"/>
  <c r="AZ91" i="3"/>
  <c r="AZ92" i="3"/>
  <c r="AZ18" i="3"/>
  <c r="AZ189" i="3"/>
  <c r="AA14" i="39"/>
  <c r="AZ301" i="3"/>
  <c r="C60" i="71"/>
  <c r="D60" i="71" s="1"/>
  <c r="AZ210" i="3"/>
  <c r="AZ458" i="3"/>
  <c r="AZ561" i="3"/>
  <c r="AZ244" i="3"/>
  <c r="AZ332" i="3"/>
  <c r="AZ509" i="3"/>
  <c r="AZ498" i="3"/>
  <c r="AZ521" i="3"/>
  <c r="AB27" i="34"/>
  <c r="U27" i="34"/>
  <c r="AZ223" i="3"/>
  <c r="AB23" i="39"/>
  <c r="AZ104" i="3"/>
  <c r="AZ95" i="3"/>
  <c r="AZ142" i="3"/>
  <c r="AZ348" i="3"/>
  <c r="AZ490" i="3"/>
  <c r="AZ106" i="3"/>
  <c r="AZ69" i="3"/>
  <c r="AZ82" i="3"/>
  <c r="AZ122" i="3"/>
  <c r="S11" i="36"/>
  <c r="AZ581" i="3"/>
  <c r="AA23" i="35"/>
  <c r="S23" i="35"/>
  <c r="AZ532" i="3"/>
  <c r="AC27" i="34"/>
  <c r="W27" i="34"/>
  <c r="E13" i="6"/>
  <c r="E12" i="6"/>
  <c r="E57" i="40" s="1"/>
  <c r="E10" i="6"/>
  <c r="E8" i="6"/>
  <c r="F27" i="6" s="1"/>
  <c r="E14" i="6"/>
  <c r="E63" i="39" s="1"/>
  <c r="H26" i="43"/>
  <c r="AZ112" i="3"/>
  <c r="G5" i="3"/>
  <c r="B3" i="3" s="1"/>
  <c r="E255" i="3" s="1"/>
  <c r="AZ281" i="3"/>
  <c r="AZ190" i="3"/>
  <c r="AZ48" i="3"/>
  <c r="AZ221" i="3"/>
  <c r="AZ477" i="3"/>
  <c r="AC9" i="36"/>
  <c r="W9" i="36"/>
  <c r="S45" i="39"/>
  <c r="AA45" i="39"/>
  <c r="AB26" i="33"/>
  <c r="U26" i="33"/>
  <c r="S36" i="35"/>
  <c r="AA36" i="35"/>
  <c r="W12" i="33"/>
  <c r="AC12" i="33"/>
  <c r="W39" i="40"/>
  <c r="AC39" i="40"/>
  <c r="AA45" i="21"/>
  <c r="S45" i="21"/>
  <c r="W33" i="36"/>
  <c r="AZ279" i="3"/>
  <c r="AZ486" i="3"/>
  <c r="AZ87" i="3"/>
  <c r="AZ75" i="3"/>
  <c r="AZ100" i="3"/>
  <c r="AZ186" i="3"/>
  <c r="AZ137" i="3"/>
  <c r="AZ237" i="3"/>
  <c r="AZ250" i="3"/>
  <c r="AZ219" i="3"/>
  <c r="AZ484" i="3"/>
  <c r="AZ471" i="3"/>
  <c r="AZ550" i="3"/>
  <c r="AZ415" i="3"/>
  <c r="AA27" i="39"/>
  <c r="AZ65" i="3"/>
  <c r="D75" i="71"/>
  <c r="C74" i="71"/>
  <c r="D74" i="71" s="1"/>
  <c r="AZ62" i="3"/>
  <c r="AZ47" i="3"/>
  <c r="AZ241" i="3"/>
  <c r="AZ256" i="3"/>
  <c r="U12" i="35"/>
  <c r="AB12" i="35"/>
  <c r="U45" i="39"/>
  <c r="AB45" i="39"/>
  <c r="AC27" i="37"/>
  <c r="W27" i="37"/>
  <c r="AB14" i="39"/>
  <c r="U14" i="39"/>
  <c r="AB35" i="39"/>
  <c r="U35" i="39"/>
  <c r="V28" i="71"/>
  <c r="AZ85" i="3"/>
  <c r="T60" i="71"/>
  <c r="AZ31" i="3"/>
  <c r="AZ45" i="3"/>
  <c r="AZ29" i="3"/>
  <c r="AZ58" i="3"/>
  <c r="AZ251" i="3"/>
  <c r="AZ247" i="3"/>
  <c r="AZ257" i="3"/>
  <c r="AZ441" i="3"/>
  <c r="AZ405" i="3"/>
  <c r="AZ421" i="3"/>
  <c r="AZ569" i="3"/>
  <c r="AZ573" i="3"/>
  <c r="AZ572" i="3"/>
  <c r="S35" i="39"/>
  <c r="B19" i="71"/>
  <c r="B18" i="71" s="1"/>
  <c r="B17" i="71" s="1"/>
  <c r="B16" i="71" s="1"/>
  <c r="S16" i="71" s="1"/>
  <c r="S20" i="71"/>
  <c r="F66" i="71"/>
  <c r="Q67" i="71"/>
  <c r="AZ462" i="3"/>
  <c r="W30" i="21"/>
  <c r="AC30" i="21"/>
  <c r="AZ582" i="3"/>
  <c r="S25" i="36"/>
  <c r="AA25" i="36"/>
  <c r="C22" i="71"/>
  <c r="D23" i="71"/>
  <c r="AZ566" i="3"/>
  <c r="AA23" i="36"/>
  <c r="S23" i="36"/>
  <c r="AC23" i="36"/>
  <c r="W23" i="36"/>
  <c r="AB9" i="33"/>
  <c r="U9" i="33"/>
  <c r="AB24" i="35"/>
  <c r="U24" i="35"/>
  <c r="AB39" i="40"/>
  <c r="U39" i="40"/>
  <c r="U45" i="21"/>
  <c r="AB45" i="21"/>
  <c r="J7" i="36"/>
  <c r="AB27" i="39"/>
  <c r="AA21" i="39"/>
  <c r="AA23" i="39"/>
  <c r="AA17" i="39"/>
  <c r="S17" i="39"/>
  <c r="J53" i="15"/>
  <c r="L56" i="15" s="1"/>
  <c r="J57" i="15"/>
  <c r="J55" i="15" s="1"/>
  <c r="J58" i="15" s="1"/>
  <c r="Q50" i="15" s="1"/>
  <c r="I54" i="15"/>
  <c r="F64" i="15"/>
  <c r="Q71" i="15"/>
  <c r="L59" i="15"/>
  <c r="Q61" i="15" s="1"/>
  <c r="N59" i="15"/>
  <c r="L58" i="15"/>
  <c r="Q60" i="15" s="1"/>
  <c r="M59" i="15"/>
  <c r="C27" i="15"/>
  <c r="F51" i="15"/>
  <c r="F65" i="15"/>
  <c r="F71" i="15"/>
  <c r="C6" i="15"/>
  <c r="C32" i="15" s="1"/>
  <c r="M7" i="15"/>
  <c r="J6" i="15" s="1"/>
  <c r="J18" i="15" s="1"/>
  <c r="F50" i="15"/>
  <c r="F68" i="15"/>
  <c r="F66" i="15"/>
  <c r="N370" i="46"/>
  <c r="E26" i="43"/>
  <c r="G26" i="43"/>
  <c r="F26" i="43"/>
  <c r="N94" i="46"/>
  <c r="D20" i="53"/>
  <c r="B40" i="72" s="1"/>
  <c r="C6" i="67"/>
  <c r="C32" i="67" s="1"/>
  <c r="F51" i="67"/>
  <c r="C27" i="67"/>
  <c r="F65" i="67"/>
  <c r="F68" i="67"/>
  <c r="I54" i="67"/>
  <c r="J53" i="67"/>
  <c r="F1" i="67" s="1"/>
  <c r="J57" i="67"/>
  <c r="J55" i="67" s="1"/>
  <c r="J58" i="67" s="1"/>
  <c r="Q50" i="67" s="1"/>
  <c r="L56" i="67"/>
  <c r="M7" i="67"/>
  <c r="J6" i="67" s="1"/>
  <c r="J18" i="67" s="1"/>
  <c r="F31" i="67"/>
  <c r="F50" i="67"/>
  <c r="M59" i="67"/>
  <c r="L58" i="67"/>
  <c r="Q73" i="67" s="1"/>
  <c r="N59" i="67"/>
  <c r="L59" i="67"/>
  <c r="Q61" i="67" s="1"/>
  <c r="Q71" i="67"/>
  <c r="F64" i="67"/>
  <c r="F71" i="67"/>
  <c r="E29" i="6"/>
  <c r="K15" i="1" s="1"/>
  <c r="F30" i="6"/>
  <c r="U25" i="37"/>
  <c r="AB25" i="37"/>
  <c r="AZ300" i="3"/>
  <c r="G16" i="1"/>
  <c r="F10" i="39" s="1"/>
  <c r="AA10" i="39" s="1"/>
  <c r="C82" i="71"/>
  <c r="D82" i="71" s="1"/>
  <c r="D83" i="71"/>
  <c r="AZ101" i="3"/>
  <c r="T28" i="71"/>
  <c r="D28" i="71"/>
  <c r="U28" i="71" s="1"/>
  <c r="C27" i="71"/>
  <c r="AZ282" i="3"/>
  <c r="AZ125" i="3"/>
  <c r="AZ249" i="3"/>
  <c r="C70" i="71"/>
  <c r="D70" i="71" s="1"/>
  <c r="D71" i="71"/>
  <c r="AZ243" i="3"/>
  <c r="AZ368" i="3"/>
  <c r="AZ353" i="3"/>
  <c r="AZ435" i="3"/>
  <c r="W12" i="34"/>
  <c r="AC12" i="34"/>
  <c r="AB36" i="35"/>
  <c r="U36" i="35"/>
  <c r="AB36" i="39"/>
  <c r="U36" i="39"/>
  <c r="W12" i="39"/>
  <c r="AC12" i="39"/>
  <c r="AC44" i="39"/>
  <c r="W44" i="39"/>
  <c r="AA12" i="36"/>
  <c r="S12" i="36"/>
  <c r="C44" i="71"/>
  <c r="D43" i="71"/>
  <c r="AZ454" i="3"/>
  <c r="U12" i="34"/>
  <c r="AB12" i="34"/>
  <c r="AA14" i="40"/>
  <c r="S14" i="40"/>
  <c r="S36" i="39"/>
  <c r="AA36" i="39"/>
  <c r="S12" i="39"/>
  <c r="AA12" i="39"/>
  <c r="W12" i="36"/>
  <c r="AC12" i="36"/>
  <c r="Q16" i="1"/>
  <c r="F27" i="69" s="1"/>
  <c r="C47" i="69" s="1"/>
  <c r="D45" i="69" s="1"/>
  <c r="B20" i="31"/>
  <c r="B21" i="31" s="1"/>
  <c r="H16" i="1"/>
  <c r="E28" i="6"/>
  <c r="K14" i="1" s="1"/>
  <c r="M14" i="1" s="1"/>
  <c r="AZ83" i="3"/>
  <c r="AZ117" i="3"/>
  <c r="AZ296" i="3"/>
  <c r="AZ209" i="3"/>
  <c r="AZ475" i="3"/>
  <c r="AZ234" i="3"/>
  <c r="C36" i="71"/>
  <c r="D35" i="71"/>
  <c r="AZ41" i="3"/>
  <c r="C78" i="71"/>
  <c r="D78" i="71" s="1"/>
  <c r="D79" i="71"/>
  <c r="C52" i="71"/>
  <c r="D51" i="71"/>
  <c r="AZ121" i="3"/>
  <c r="AZ19" i="3"/>
  <c r="AZ154" i="3"/>
  <c r="AZ297" i="3"/>
  <c r="AZ55" i="3"/>
  <c r="AZ278" i="3"/>
  <c r="AZ483" i="3"/>
  <c r="AZ271" i="3"/>
  <c r="AZ238" i="3"/>
  <c r="AZ464" i="3"/>
  <c r="AZ401" i="3"/>
  <c r="AZ491" i="3"/>
  <c r="AZ459" i="3"/>
  <c r="W14" i="40"/>
  <c r="AC14" i="40"/>
  <c r="AZ580" i="3"/>
  <c r="AB33" i="36"/>
  <c r="U33" i="36"/>
  <c r="AZ571" i="3"/>
  <c r="AA33" i="40"/>
  <c r="S33" i="40"/>
  <c r="AA44" i="39"/>
  <c r="S44" i="39"/>
  <c r="U12" i="36"/>
  <c r="AB12" i="36"/>
  <c r="AZ102" i="3"/>
  <c r="D38" i="71"/>
  <c r="C39" i="71"/>
  <c r="AA33" i="36"/>
  <c r="S33" i="36"/>
  <c r="AC9" i="34"/>
  <c r="W9" i="34"/>
  <c r="AZ568" i="3"/>
  <c r="P6" i="1"/>
  <c r="C13" i="12" s="1"/>
  <c r="D17" i="53"/>
  <c r="B36" i="72" s="1"/>
  <c r="AZ170" i="3"/>
  <c r="AZ138" i="3"/>
  <c r="AZ396" i="3"/>
  <c r="AZ232" i="3"/>
  <c r="W36" i="39"/>
  <c r="C86" i="71"/>
  <c r="D86" i="71" s="1"/>
  <c r="D87" i="71"/>
  <c r="D31" i="71"/>
  <c r="C32" i="71"/>
  <c r="AZ94" i="3"/>
  <c r="AZ197" i="3"/>
  <c r="AZ126" i="3"/>
  <c r="AZ51" i="3"/>
  <c r="N65" i="71"/>
  <c r="N66" i="71"/>
  <c r="AA25" i="37"/>
  <c r="S25" i="37"/>
  <c r="AB14" i="40"/>
  <c r="U14" i="40"/>
  <c r="AB12" i="39"/>
  <c r="U12" i="39"/>
  <c r="AZ577" i="3"/>
  <c r="W33" i="40"/>
  <c r="AC33" i="40"/>
  <c r="AB44" i="39"/>
  <c r="U44" i="39"/>
  <c r="AB9" i="34"/>
  <c r="U9" i="34"/>
  <c r="J7" i="37"/>
  <c r="AC7" i="37" s="1"/>
  <c r="K1" i="73"/>
  <c r="E292" i="3"/>
  <c r="E81" i="3"/>
  <c r="E205" i="3"/>
  <c r="E324" i="3"/>
  <c r="E463" i="3"/>
  <c r="E123" i="3"/>
  <c r="E312" i="3"/>
  <c r="E66" i="3"/>
  <c r="W6" i="3"/>
  <c r="E547" i="3"/>
  <c r="E97" i="3"/>
  <c r="E303" i="3"/>
  <c r="E481" i="3"/>
  <c r="E252" i="3"/>
  <c r="E334" i="3"/>
  <c r="E551" i="3"/>
  <c r="E382" i="3"/>
  <c r="E458" i="3"/>
  <c r="E269" i="3"/>
  <c r="E447" i="3"/>
  <c r="E441" i="3"/>
  <c r="E410" i="3"/>
  <c r="AR6" i="3"/>
  <c r="E261" i="3"/>
  <c r="E91" i="3"/>
  <c r="E495" i="3"/>
  <c r="E568" i="3"/>
  <c r="E133" i="3"/>
  <c r="E465" i="3"/>
  <c r="E106" i="3"/>
  <c r="E74" i="3"/>
  <c r="E327" i="3"/>
  <c r="E345" i="3"/>
  <c r="E182" i="3"/>
  <c r="E109" i="3"/>
  <c r="AJ6" i="3"/>
  <c r="E311" i="3"/>
  <c r="E387" i="3"/>
  <c r="E278" i="3"/>
  <c r="E135" i="3"/>
  <c r="E385" i="3"/>
  <c r="E148" i="3"/>
  <c r="E483" i="3"/>
  <c r="AA26" i="37"/>
  <c r="S26" i="37"/>
  <c r="BA5" i="3"/>
  <c r="E27" i="6" s="1"/>
  <c r="E240" i="3"/>
  <c r="W40" i="40"/>
  <c r="AC40" i="40"/>
  <c r="AC12" i="21"/>
  <c r="W12" i="21"/>
  <c r="AB12" i="21"/>
  <c r="U12" i="21"/>
  <c r="AA27" i="34"/>
  <c r="S27" i="34"/>
  <c r="AC26" i="37"/>
  <c r="W26" i="37"/>
  <c r="BL5" i="3"/>
  <c r="B15" i="71"/>
  <c r="B14" i="71" s="1"/>
  <c r="B13" i="71" s="1"/>
  <c r="B12" i="71" s="1"/>
  <c r="F7" i="36"/>
  <c r="AA7" i="36" s="1"/>
  <c r="H7" i="36"/>
  <c r="U7" i="36" s="1"/>
  <c r="E369" i="3"/>
  <c r="AA9" i="36"/>
  <c r="S9" i="36"/>
  <c r="AA34" i="35"/>
  <c r="S34" i="35"/>
  <c r="E15" i="71"/>
  <c r="E14" i="71" s="1"/>
  <c r="E13" i="71" s="1"/>
  <c r="E12" i="71" s="1"/>
  <c r="V16" i="71"/>
  <c r="E139" i="3"/>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H7" i="37"/>
  <c r="AB7" i="37" s="1"/>
  <c r="T42" i="37" s="1"/>
  <c r="G42" i="37" s="1"/>
  <c r="H7" i="33"/>
  <c r="J7" i="33"/>
  <c r="D65" i="40"/>
  <c r="E63" i="40"/>
  <c r="F48" i="35"/>
  <c r="S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C16" i="15"/>
  <c r="C16" i="67"/>
  <c r="F41" i="67"/>
  <c r="G1" i="73"/>
  <c r="AB7" i="36" l="1"/>
  <c r="T36" i="36" s="1"/>
  <c r="G36" i="36" s="1"/>
  <c r="E59" i="40"/>
  <c r="H10" i="40"/>
  <c r="AB10" i="40" s="1"/>
  <c r="F10" i="40"/>
  <c r="S10" i="40" s="1"/>
  <c r="F31" i="6"/>
  <c r="AZ5" i="3"/>
  <c r="E16" i="6"/>
  <c r="E118" i="3"/>
  <c r="E275" i="3"/>
  <c r="E200" i="3"/>
  <c r="AI6" i="3"/>
  <c r="E535" i="3"/>
  <c r="E69" i="3"/>
  <c r="AB6" i="3"/>
  <c r="E247" i="3"/>
  <c r="E322" i="3"/>
  <c r="E572" i="3"/>
  <c r="E28" i="3"/>
  <c r="E400" i="3"/>
  <c r="E204" i="3"/>
  <c r="E315" i="3"/>
  <c r="E454" i="3"/>
  <c r="E406" i="3"/>
  <c r="E228" i="3"/>
  <c r="E77" i="3"/>
  <c r="E586" i="3"/>
  <c r="E503" i="3"/>
  <c r="E185" i="3"/>
  <c r="E533" i="3"/>
  <c r="E508" i="3"/>
  <c r="E331" i="3"/>
  <c r="E505" i="3"/>
  <c r="E318" i="3"/>
  <c r="E45" i="3"/>
  <c r="E117" i="3"/>
  <c r="E229" i="3"/>
  <c r="E121" i="3"/>
  <c r="E580" i="3"/>
  <c r="E177" i="3"/>
  <c r="E302" i="3"/>
  <c r="E328" i="3"/>
  <c r="U6" i="3"/>
  <c r="E313" i="3"/>
  <c r="E341" i="3"/>
  <c r="E521" i="3"/>
  <c r="E299" i="3"/>
  <c r="E440" i="3"/>
  <c r="E225" i="3"/>
  <c r="E206" i="3"/>
  <c r="E33" i="3"/>
  <c r="E479" i="3"/>
  <c r="E51" i="40"/>
  <c r="E131" i="3"/>
  <c r="E219" i="3"/>
  <c r="E296" i="3"/>
  <c r="E100" i="3"/>
  <c r="E263" i="3"/>
  <c r="E445" i="3"/>
  <c r="E189" i="3"/>
  <c r="E570" i="3"/>
  <c r="E431" i="3"/>
  <c r="E268" i="3"/>
  <c r="E273" i="3"/>
  <c r="E489" i="3"/>
  <c r="E485" i="3"/>
  <c r="E368" i="3"/>
  <c r="E214" i="3"/>
  <c r="E468" i="3"/>
  <c r="E560" i="3"/>
  <c r="AK6" i="3"/>
  <c r="E347" i="3"/>
  <c r="E301" i="3"/>
  <c r="E361" i="3"/>
  <c r="E380" i="3"/>
  <c r="E270" i="3"/>
  <c r="E305" i="3"/>
  <c r="E210" i="3"/>
  <c r="E477" i="3"/>
  <c r="E111" i="3"/>
  <c r="E85" i="3"/>
  <c r="E415" i="3"/>
  <c r="E239" i="3"/>
  <c r="E581" i="3"/>
  <c r="E203" i="3"/>
  <c r="E434" i="3"/>
  <c r="E304" i="3"/>
  <c r="E53" i="3"/>
  <c r="E93" i="3"/>
  <c r="E82" i="3"/>
  <c r="E464" i="3"/>
  <c r="E552" i="3"/>
  <c r="E15" i="3"/>
  <c r="E393" i="3"/>
  <c r="E13" i="3"/>
  <c r="E96" i="3"/>
  <c r="E249"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539" i="3"/>
  <c r="E502" i="3"/>
  <c r="AP6" i="3"/>
  <c r="E37" i="3"/>
  <c r="E349" i="3"/>
  <c r="E467" i="3"/>
  <c r="E371" i="3"/>
  <c r="E184" i="3"/>
  <c r="E283"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37" i="3"/>
  <c r="E208" i="3"/>
  <c r="E196" i="3"/>
  <c r="E411" i="3"/>
  <c r="E403" i="3"/>
  <c r="E291" i="3"/>
  <c r="E319" i="3"/>
  <c r="O6" i="3"/>
  <c r="S6" i="3"/>
  <c r="E321"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42"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74" i="3"/>
  <c r="E471" i="3"/>
  <c r="E357" i="3"/>
  <c r="E207" i="3"/>
  <c r="E548" i="3"/>
  <c r="E71" i="3"/>
  <c r="E317" i="3"/>
  <c r="E501" i="3"/>
  <c r="E359" i="3"/>
  <c r="E523" i="3"/>
  <c r="E298"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538" i="3"/>
  <c r="E216" i="3"/>
  <c r="E286" i="3"/>
  <c r="E430" i="3"/>
  <c r="E491" i="3"/>
  <c r="E258" i="3"/>
  <c r="E59" i="3"/>
  <c r="E160"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E438" i="3"/>
  <c r="E54" i="3"/>
  <c r="E14" i="3"/>
  <c r="E145" i="3"/>
  <c r="E367" i="3"/>
  <c r="E92" i="3"/>
  <c r="AM6" i="3"/>
  <c r="E426" i="3"/>
  <c r="E285" i="3"/>
  <c r="E506"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56" i="39"/>
  <c r="E378" i="3"/>
  <c r="E248" i="3"/>
  <c r="E94" i="3"/>
  <c r="E487" i="3"/>
  <c r="E132" i="3"/>
  <c r="E246" i="3"/>
  <c r="E191" i="3"/>
  <c r="E172" i="3"/>
  <c r="E335" i="3"/>
  <c r="E514" i="3"/>
  <c r="E579" i="3"/>
  <c r="E217" i="3"/>
  <c r="E211" i="3"/>
  <c r="E531" i="3"/>
  <c r="Z6" i="3"/>
  <c r="E227" i="3"/>
  <c r="E171" i="3"/>
  <c r="E587" i="3"/>
  <c r="K6" i="3"/>
  <c r="H6" i="3" s="1"/>
  <c r="E545" i="3"/>
  <c r="E124" i="3"/>
  <c r="E134" i="3"/>
  <c r="E183" i="3"/>
  <c r="E439" i="3"/>
  <c r="E337" i="3"/>
  <c r="E175" i="3"/>
  <c r="E27" i="3"/>
  <c r="E515" i="3"/>
  <c r="E571" i="3"/>
  <c r="E336" i="3"/>
  <c r="E294" i="3"/>
  <c r="E366" i="3"/>
  <c r="E448" i="3"/>
  <c r="E429" i="3"/>
  <c r="E280" i="3"/>
  <c r="E338" i="3"/>
  <c r="E126" i="3"/>
  <c r="E168" i="3"/>
  <c r="E154" i="3"/>
  <c r="E138" i="3"/>
  <c r="E176" i="3"/>
  <c r="E346" i="3"/>
  <c r="E326" i="3"/>
  <c r="E456" i="3"/>
  <c r="E281" i="3"/>
  <c r="E484" i="3"/>
  <c r="E499" i="3"/>
  <c r="AY6" i="3"/>
  <c r="S10" i="39"/>
  <c r="D22" i="71"/>
  <c r="C21" i="71"/>
  <c r="Q66" i="71"/>
  <c r="Q65" i="71"/>
  <c r="E30" i="6"/>
  <c r="K26" i="6"/>
  <c r="M26" i="6" s="1"/>
  <c r="I26" i="6" s="1"/>
  <c r="S26" i="6" s="1"/>
  <c r="W7" i="37"/>
  <c r="J10" i="40"/>
  <c r="AC10" i="40" s="1"/>
  <c r="F67" i="39"/>
  <c r="G67" i="39" s="1"/>
  <c r="F27" i="68"/>
  <c r="F45" i="68" s="1"/>
  <c r="F1" i="15"/>
  <c r="Q52" i="15"/>
  <c r="Q74" i="15"/>
  <c r="J5" i="15"/>
  <c r="J24" i="15" s="1"/>
  <c r="C49" i="15"/>
  <c r="Q73" i="15"/>
  <c r="F28" i="12"/>
  <c r="C29" i="12" s="1"/>
  <c r="D28" i="12" s="1"/>
  <c r="D26" i="43"/>
  <c r="C25" i="43" s="1"/>
  <c r="F27" i="11"/>
  <c r="C29" i="11" s="1"/>
  <c r="D27" i="11" s="1"/>
  <c r="J10" i="39"/>
  <c r="W10" i="39" s="1"/>
  <c r="H10" i="39"/>
  <c r="U10" i="39" s="1"/>
  <c r="K16" i="1"/>
  <c r="V21" i="1" s="1"/>
  <c r="F45" i="69"/>
  <c r="Q52" i="67"/>
  <c r="J5" i="67"/>
  <c r="J24" i="67" s="1"/>
  <c r="F59" i="67"/>
  <c r="Q60" i="67"/>
  <c r="C29" i="69"/>
  <c r="D27" i="69" s="1"/>
  <c r="C49" i="67"/>
  <c r="T32" i="71"/>
  <c r="D32" i="71"/>
  <c r="C40" i="71"/>
  <c r="D39" i="71"/>
  <c r="C26" i="71"/>
  <c r="D26" i="71" s="1"/>
  <c r="D27" i="71"/>
  <c r="Q74" i="67"/>
  <c r="R36" i="36"/>
  <c r="R37" i="36" s="1"/>
  <c r="E3" i="6"/>
  <c r="B14" i="74" s="1"/>
  <c r="T52" i="71"/>
  <c r="D52" i="71"/>
  <c r="D44" i="71"/>
  <c r="T44"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W10" i="40"/>
  <c r="U7" i="37"/>
  <c r="I53" i="34"/>
  <c r="J53" i="34" s="1"/>
  <c r="F58" i="21"/>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AE6" i="1"/>
  <c r="AC6" i="3" l="1"/>
  <c r="E6" i="3" s="1"/>
  <c r="AC10" i="39"/>
  <c r="C14" i="74"/>
  <c r="C38" i="39"/>
  <c r="D21" i="71"/>
  <c r="C20" i="71"/>
  <c r="F69" i="39"/>
  <c r="C47" i="68"/>
  <c r="D45" i="68" s="1"/>
  <c r="C29" i="68"/>
  <c r="D27" i="68" s="1"/>
  <c r="AB10" i="39"/>
  <c r="C48" i="15"/>
  <c r="C66" i="15" s="1"/>
  <c r="C47" i="11"/>
  <c r="D45" i="11" s="1"/>
  <c r="C48" i="67"/>
  <c r="C60" i="67" s="1"/>
  <c r="F25" i="12"/>
  <c r="C26" i="12" s="1"/>
  <c r="D25" i="12" s="1"/>
  <c r="E36" i="36"/>
  <c r="T40" i="71"/>
  <c r="D40" i="71"/>
  <c r="D116" i="43"/>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F41" i="15"/>
  <c r="C14" i="67"/>
  <c r="C17" i="67"/>
  <c r="C17" i="15"/>
  <c r="H22" i="6" l="1"/>
  <c r="D30" i="6"/>
  <c r="J38" i="39"/>
  <c r="H38" i="39"/>
  <c r="F38" i="39"/>
  <c r="C19" i="71"/>
  <c r="D20" i="71"/>
  <c r="U20" i="71" s="1"/>
  <c r="T20" i="71"/>
  <c r="H21" i="6"/>
  <c r="F69" i="15"/>
  <c r="C60" i="15"/>
  <c r="C66" i="67"/>
  <c r="C44" i="68"/>
  <c r="D41" i="68" s="1"/>
  <c r="H25" i="6"/>
  <c r="C44" i="11"/>
  <c r="D41" i="11" s="1"/>
  <c r="C26" i="68"/>
  <c r="D22" i="68" s="1"/>
  <c r="C26" i="11"/>
  <c r="D22" i="1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AB38" i="39" l="1"/>
  <c r="U38" i="39"/>
  <c r="W38" i="39"/>
  <c r="AC38" i="39"/>
  <c r="C18" i="71"/>
  <c r="D19" i="71"/>
  <c r="AA38" i="39"/>
  <c r="S38" i="39"/>
  <c r="C18" i="12"/>
  <c r="C22" i="11"/>
  <c r="C31" i="1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11" i="39" s="1"/>
  <c r="C23" i="69"/>
  <c r="E2" i="76"/>
  <c r="B2" i="76"/>
  <c r="I69" i="39"/>
  <c r="J67" i="39"/>
  <c r="I63" i="40"/>
  <c r="H65" i="40"/>
  <c r="I58" i="21"/>
  <c r="J58" i="21" s="1"/>
  <c r="K58" i="21" s="1"/>
  <c r="L58" i="21" s="1"/>
  <c r="M58" i="21" s="1"/>
  <c r="N58" i="21" s="1"/>
  <c r="O58" i="21" s="1"/>
  <c r="H7" i="21" s="1"/>
  <c r="J48" i="35"/>
  <c r="J11" i="39" l="1"/>
  <c r="F11" i="39"/>
  <c r="H11" i="39"/>
  <c r="D18" i="71"/>
  <c r="C17" i="71"/>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AB11" i="39"/>
  <c r="U11" i="39"/>
  <c r="S11" i="39"/>
  <c r="AA11" i="39"/>
  <c r="C16" i="71"/>
  <c r="D17" i="71"/>
  <c r="W11" i="39"/>
  <c r="AC11" i="39"/>
  <c r="C27" i="12"/>
  <c r="C25" i="12" s="1"/>
  <c r="C32" i="12" s="1"/>
  <c r="B2" i="12" s="1"/>
  <c r="B3" i="12"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D16" i="71" l="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7"/>
  <c r="D2" i="36"/>
  <c r="D12" i="71" l="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7" i="1"/>
  <c r="AO11" i="1"/>
  <c r="AO10" i="1"/>
  <c r="AO12" i="1"/>
  <c r="AO8" i="1"/>
  <c r="C10" i="71" l="1"/>
  <c r="D11" i="71"/>
  <c r="R48" i="39"/>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C48" i="39" l="1"/>
  <c r="D10" i="71"/>
  <c r="C9" i="71"/>
  <c r="D102" i="9"/>
  <c r="D21" i="9"/>
  <c r="B6" i="70"/>
  <c r="B2" i="70" s="1"/>
  <c r="B3" i="70" s="1"/>
  <c r="B3" i="15"/>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F65" i="39"/>
  <c r="B2" i="39" s="1"/>
  <c r="D103" i="9"/>
  <c r="C42" i="40"/>
  <c r="C43" i="40"/>
  <c r="E47" i="40"/>
  <c r="F47" i="40" s="1"/>
  <c r="E46" i="40"/>
  <c r="F46" i="40" s="1"/>
  <c r="I47" i="40"/>
  <c r="J47" i="40" s="1"/>
  <c r="D8" i="71" l="1"/>
  <c r="C7" i="7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7" i="68"/>
  <c r="C5" i="68" s="1"/>
  <c r="D6" i="71" l="1"/>
  <c r="C5" i="71"/>
  <c r="D5" i="71" s="1"/>
  <c r="M24" i="43" s="1"/>
  <c r="C23" i="68"/>
  <c r="C20" i="68"/>
  <c r="C28" i="68" l="1"/>
  <c r="C27" i="68" s="1"/>
  <c r="C25" i="68"/>
  <c r="C22" i="68" s="1"/>
  <c r="C31" i="68" l="1"/>
  <c r="C52" i="68" s="1"/>
  <c r="B2" i="68" s="1"/>
  <c r="C19" i="9"/>
  <c r="C57" i="68" l="1"/>
  <c r="C56" i="68" s="1"/>
  <c r="C102" i="9"/>
  <c r="C21" i="9"/>
  <c r="D22" i="9"/>
  <c r="G19" i="9"/>
  <c r="B3" i="68"/>
  <c r="C20" i="9"/>
  <c r="D35" i="9"/>
  <c r="D34" i="9"/>
  <c r="G21" i="9" l="1"/>
  <c r="D14" i="74"/>
  <c r="G14" i="74" s="1"/>
  <c r="B6" i="74" s="1"/>
  <c r="D6" i="74" s="1"/>
  <c r="C103" i="9"/>
  <c r="G20" i="9"/>
  <c r="C32" i="9" s="1"/>
  <c r="F14" i="74" l="1"/>
  <c r="E14" i="74"/>
  <c r="B5" i="74"/>
  <c r="D5" i="74" s="1"/>
  <c r="C35" i="9"/>
  <c r="H118" i="9"/>
  <c r="C104" i="9" l="1"/>
  <c r="H119" i="9"/>
  <c r="H5" i="52" s="1"/>
  <c r="H4" i="52"/>
  <c r="H101" i="9"/>
  <c r="I118" i="9"/>
  <c r="C34" i="9"/>
  <c r="D118" i="9" s="1"/>
  <c r="F118" i="9"/>
  <c r="D119" i="9" l="1"/>
  <c r="D5" i="52" s="1"/>
  <c r="B49" i="72" s="1"/>
  <c r="D4" i="52"/>
  <c r="B47" i="72" s="1"/>
  <c r="M48" i="9"/>
  <c r="D45" i="9"/>
  <c r="H107" i="9"/>
  <c r="D5" i="53"/>
  <c r="F4" i="52"/>
  <c r="B51" i="72" s="1"/>
  <c r="F119" i="9"/>
  <c r="F5" i="52" s="1"/>
  <c r="B53" i="72" s="1"/>
  <c r="G118" i="9"/>
  <c r="G4" i="52" s="1"/>
  <c r="B52" i="72" s="1"/>
  <c r="I4" i="52"/>
  <c r="H102" i="9"/>
  <c r="C105" i="9"/>
  <c r="E118" i="9" l="1"/>
  <c r="E4" i="52" s="1"/>
  <c r="B48" i="72" s="1"/>
  <c r="C64" i="9"/>
  <c r="C63" i="9" s="1"/>
  <c r="C67" i="9" s="1"/>
  <c r="D52" i="9"/>
  <c r="C78" i="9"/>
  <c r="C73" i="9" s="1"/>
  <c r="C72" i="9"/>
  <c r="C93" i="9"/>
  <c r="C86" i="9" s="1"/>
  <c r="C85" i="9"/>
  <c r="D55" i="9"/>
  <c r="M53" i="9" s="1"/>
  <c r="D53" i="9"/>
  <c r="C5" i="74"/>
  <c r="D7" i="53"/>
  <c r="B21" i="72" s="1"/>
  <c r="D122" i="9"/>
  <c r="M49" i="9"/>
  <c r="H108" i="9"/>
  <c r="D13" i="53"/>
  <c r="B20" i="72"/>
  <c r="D6" i="53"/>
  <c r="B22" i="72" s="1"/>
  <c r="L65" i="9" l="1"/>
  <c r="M65" i="9" s="1"/>
  <c r="L64" i="9"/>
  <c r="M64" i="9" s="1"/>
  <c r="L68" i="9"/>
  <c r="M68" i="9" s="1"/>
  <c r="L63" i="9"/>
  <c r="M63" i="9" s="1"/>
  <c r="L66" i="9"/>
  <c r="M66" i="9" s="1"/>
  <c r="L67" i="9"/>
  <c r="M67" i="9" s="1"/>
  <c r="C79" i="9"/>
  <c r="D8" i="52"/>
  <c r="D123" i="9"/>
  <c r="D9" i="52" s="1"/>
  <c r="D14" i="53"/>
  <c r="B32" i="72" s="1"/>
  <c r="B30" i="72"/>
  <c r="C95" i="9"/>
  <c r="D15" i="53"/>
  <c r="B31" i="72" s="1"/>
  <c r="C6" i="74"/>
  <c r="D59" i="9"/>
  <c r="M55" i="9" s="1"/>
  <c r="C68" i="9"/>
  <c r="D54" i="9" s="1"/>
  <c r="M69" i="9" l="1"/>
  <c r="N69" i="9" s="1"/>
  <c r="C80" i="9"/>
  <c r="E80" i="9" s="1"/>
  <c r="E81" i="9" s="1"/>
  <c r="C96" i="9"/>
  <c r="E96" i="9" s="1"/>
  <c r="E97" i="9" s="1"/>
  <c r="C81" i="9" l="1"/>
  <c r="C97" i="9"/>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7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<sst xmlns="http://schemas.openxmlformats.org/spreadsheetml/2006/main" count="9391" uniqueCount="4143">
  <si>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</si>
  <si>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</si>
  <si>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</si>
  <si>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</si>
  <si>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</si>
  <si>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</si>
  <si>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</si>
  <si>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</si>
  <si>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</si>
  <si>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</si>
  <si>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</si>
  <si>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</si>
  <si>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</si>
  <si>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</si>
  <si>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</si>
  <si>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</si>
  <si>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</si>
  <si>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</si>
  <si>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</si>
  <si>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</si>
  <si>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</si>
  <si>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</si>
  <si>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</si>
  <si>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</si>
  <si>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</si>
  <si>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</si>
  <si>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</si>
  <si>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</si>
  <si>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</si>
  <si>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</si>
  <si>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</si>
  <si>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</si>
  <si>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</si>
  <si>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</si>
  <si>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</si>
  <si>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</si>
  <si>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</si>
  <si>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</si>
  <si>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</si>
  <si>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</si>
  <si>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</si>
  <si>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</si>
  <si>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</si>
  <si>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</si>
  <si>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</si>
  <si>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</si>
  <si>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</si>
  <si>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</si>
  <si>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</si>
  <si>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</si>
  <si>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</si>
  <si>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</si>
  <si>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</si>
  <si>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</si>
  <si>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</si>
  <si>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</si>
  <si>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</si>
  <si>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</si>
  <si>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</si>
  <si>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</si>
  <si>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</si>
  <si>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</si>
  <si>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</si>
  <si>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</si>
  <si>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</si>
  <si>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</si>
  <si>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</si>
  <si>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</si>
  <si>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</si>
  <si>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</si>
  <si>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</si>
  <si>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</si>
  <si>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</si>
  <si>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</si>
  <si>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</si>
  <si>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</si>
  <si>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</si>
  <si>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</si>
  <si>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</si>
  <si>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</si>
  <si>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</si>
  <si>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</si>
  <si>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</si>
  <si>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</si>
  <si>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</si>
  <si>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</si>
  <si>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</si>
  <si>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</si>
  <si>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</si>
  <si>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</si>
  <si>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</si>
  <si>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</si>
  <si>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</si>
  <si>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</si>
  <si>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</si>
  <si>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</si>
  <si>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</si>
  <si>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</si>
  <si>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</si>
  <si>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</si>
  <si>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</si>
  <si>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</si>
  <si>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</si>
  <si>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</si>
  <si>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</si>
  <si>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</si>
  <si>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</si>
  <si>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</si>
  <si>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</si>
  <si>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</si>
  <si>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</si>
  <si>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</si>
  <si>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</si>
  <si>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</si>
  <si>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</si>
  <si>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</si>
  <si>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</si>
  <si>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</si>
  <si>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</si>
  <si>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</si>
  <si>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</si>
  <si>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</si>
  <si>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</si>
  <si>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</si>
  <si>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</si>
  <si>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</si>
  <si>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</si>
  <si>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</si>
  <si>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</si>
  <si>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</si>
  <si>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</si>
  <si>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</si>
  <si>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</si>
  <si>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</si>
  <si>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</si>
  <si>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</si>
  <si>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</si>
  <si>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</si>
  <si>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</si>
  <si>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</si>
  <si>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</si>
  <si>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</si>
  <si>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</si>
  <si>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</si>
  <si>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</si>
  <si>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</si>
  <si>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</si>
  <si>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</si>
  <si>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</si>
  <si>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</si>
  <si>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</si>
  <si>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</si>
  <si>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</si>
  <si>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</si>
  <si>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</si>
  <si>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</si>
  <si>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</si>
  <si>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</si>
  <si>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</si>
  <si>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</si>
  <si>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</si>
  <si>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</si>
  <si>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</si>
  <si>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</si>
  <si>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</si>
  <si>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</si>
  <si>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</si>
  <si>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</si>
  <si>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</si>
  <si>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</si>
  <si>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</si>
  <si>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</si>
  <si>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</si>
  <si>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</si>
  <si>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</si>
  <si>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</si>
  <si>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</si>
  <si>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</si>
  <si>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</si>
  <si>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</si>
  <si>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</si>
  <si>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</si>
  <si>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</si>
  <si>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</si>
  <si>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</si>
  <si>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</si>
  <si>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</si>
  <si>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</si>
  <si>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</si>
  <si>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</si>
  <si>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</si>
  <si>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</si>
  <si>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</si>
  <si>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</si>
  <si>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</si>
  <si>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</si>
  <si>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</si>
  <si>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</si>
  <si>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</si>
  <si>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</si>
  <si>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</si>
  <si>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</si>
  <si>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</si>
  <si>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</si>
  <si>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</si>
  <si>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</si>
  <si>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</si>
  <si>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</si>
  <si>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</si>
  <si>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</si>
  <si>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</si>
  <si>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</si>
  <si>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</si>
  <si>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</si>
  <si>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</si>
  <si>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</si>
  <si>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</si>
  <si>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</si>
  <si>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</si>
  <si>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</si>
  <si>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</si>
  <si>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</si>
  <si>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</si>
  <si>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</si>
  <si>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</si>
  <si>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</si>
  <si>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</si>
  <si>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</si>
  <si>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</si>
  <si>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</si>
  <si>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</si>
  <si>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</si>
  <si>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</si>
  <si>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</si>
  <si>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</si>
  <si>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</si>
  <si>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</si>
  <si>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</si>
  <si>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</si>
  <si>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</si>
  <si>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</si>
  <si>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</si>
  <si>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</si>
  <si>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</si>
  <si>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</si>
  <si>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</si>
  <si>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</si>
  <si>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</si>
  <si>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</si>
  <si>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</si>
  <si>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</si>
  <si>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</si>
  <si>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</si>
  <si>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</si>
  <si>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</si>
  <si>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</si>
  <si>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</si>
  <si>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</si>
  <si>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</si>
  <si>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</si>
  <si>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</si>
  <si>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</si>
  <si>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</si>
  <si>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</si>
  <si>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</si>
  <si>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</si>
  <si>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</si>
  <si>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</si>
  <si>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</si>
  <si>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</si>
  <si>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</si>
  <si>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</si>
  <si>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</si>
  <si>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</si>
  <si>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</si>
  <si>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</si>
  <si>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</si>
  <si>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</si>
  <si>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</si>
  <si>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</si>
  <si>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</si>
  <si>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</si>
  <si>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</si>
  <si>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</si>
  <si>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</si>
  <si>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</si>
  <si>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</si>
  <si>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</si>
  <si>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</si>
  <si>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</si>
  <si>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</si>
  <si>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</si>
  <si>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</si>
  <si>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</si>
  <si>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</si>
  <si>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</si>
  <si>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</si>
  <si>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</si>
  <si>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</si>
  <si>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</si>
  <si>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</si>
  <si>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</si>
  <si>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</si>
  <si>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</si>
  <si>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</si>
  <si>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</si>
  <si>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</si>
  <si>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</si>
  <si>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</si>
  <si>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</si>
  <si>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</si>
  <si>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</si>
  <si>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</si>
  <si>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</si>
  <si>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</si>
  <si>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</si>
  <si>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</si>
  <si>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</si>
  <si>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</si>
  <si>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</si>
  <si>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</si>
  <si>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</si>
  <si>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</si>
  <si>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</si>
  <si>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</si>
  <si>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</si>
  <si>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</si>
  <si>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</si>
  <si>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</si>
  <si>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</si>
  <si>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</si>
  <si>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</si>
  <si>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</si>
  <si>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</si>
  <si>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</si>
  <si>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</si>
  <si>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</si>
  <si>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</si>
  <si>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</si>
  <si>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</si>
  <si>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</si>
  <si>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</si>
  <si>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</si>
  <si>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</si>
  <si>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</si>
  <si>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</si>
  <si>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</si>
  <si>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</si>
  <si>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</si>
  <si>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</si>
  <si>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</si>
  <si>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</si>
  <si>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</si>
  <si>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</si>
  <si>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</si>
  <si>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</si>
  <si>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</si>
  <si>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</si>
  <si>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</si>
  <si>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</si>
  <si>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</si>
  <si>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</si>
  <si>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</si>
  <si>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</si>
  <si>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</si>
  <si>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</si>
  <si>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</si>
  <si>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</si>
  <si>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</si>
  <si>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</si>
  <si>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</si>
  <si>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</si>
  <si>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</si>
  <si>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</si>
  <si>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</si>
  <si>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</si>
  <si>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</si>
  <si>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</si>
  <si>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</si>
  <si>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</si>
  <si>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</si>
  <si>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</si>
  <si>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</si>
  <si>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</si>
  <si>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</si>
  <si>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</si>
  <si>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</si>
  <si>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</si>
  <si>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</si>
  <si>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</si>
  <si>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</si>
  <si>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</si>
  <si>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</si>
  <si>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</si>
  <si>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</si>
  <si>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</si>
  <si>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</si>
  <si>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</si>
  <si>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</si>
  <si>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</si>
  <si>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</si>
  <si>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</si>
  <si>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</si>
  <si>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</si>
  <si>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</si>
  <si>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</si>
  <si>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</si>
  <si>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</si>
  <si>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</si>
  <si>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</si>
  <si>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</si>
  <si>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</si>
  <si>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</si>
  <si>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</si>
  <si>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</si>
  <si>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</si>
  <si>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</si>
  <si>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</si>
  <si>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</si>
  <si>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</si>
  <si>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</si>
  <si>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</si>
  <si>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</si>
  <si>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</si>
  <si>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</si>
  <si>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</si>
  <si>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</si>
  <si>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</si>
  <si>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</si>
  <si>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</si>
  <si>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</si>
  <si>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</si>
  <si>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</si>
  <si>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</si>
  <si>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</si>
  <si>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</si>
  <si>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</si>
  <si>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</si>
  <si>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</si>
  <si>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</si>
  <si>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</si>
  <si>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</si>
  <si>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</si>
  <si>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</si>
  <si>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</si>
  <si>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</si>
  <si>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</si>
  <si>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</si>
  <si>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</si>
  <si>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</si>
  <si>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</si>
  <si>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</si>
  <si>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</si>
  <si>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</si>
  <si>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</si>
  <si>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</si>
  <si>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</si>
  <si>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</si>
  <si>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</si>
  <si>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</si>
  <si>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</si>
  <si>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</si>
  <si>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</si>
  <si>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</si>
  <si>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</si>
  <si>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</si>
  <si>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</si>
  <si>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</si>
  <si>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</si>
  <si>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</si>
  <si>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</si>
  <si>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</si>
  <si>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</si>
  <si>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</si>
  <si>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</si>
  <si>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</si>
  <si>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</si>
  <si>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</si>
  <si>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</si>
  <si>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</si>
  <si>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</si>
  <si>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</si>
  <si>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</si>
  <si>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</si>
  <si>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</si>
  <si>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</si>
  <si>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</si>
  <si>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</si>
  <si>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</si>
  <si>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</si>
  <si>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</si>
  <si>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</si>
  <si>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</si>
  <si>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</si>
  <si>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</si>
  <si>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</si>
  <si>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</si>
  <si>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</si>
  <si>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</si>
  <si>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</si>
  <si>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</si>
  <si>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</si>
  <si>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</si>
  <si>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</si>
  <si>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</si>
  <si>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</si>
  <si>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</si>
  <si>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</si>
  <si>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</si>
  <si>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</si>
  <si>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</si>
  <si>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</si>
  <si>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</si>
  <si>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</si>
  <si>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</si>
  <si>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</si>
  <si>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</si>
  <si>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</si>
  <si>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</si>
  <si>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</si>
  <si>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</si>
  <si>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</si>
  <si>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</si>
  <si>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</si>
  <si>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</si>
  <si>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</si>
  <si>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</si>
  <si>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</si>
  <si>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</si>
  <si>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</si>
  <si>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</si>
  <si>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</si>
  <si>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</si>
  <si>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</si>
  <si>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</si>
  <si>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</si>
  <si>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</si>
  <si>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</si>
  <si>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</si>
  <si>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</si>
  <si>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</si>
  <si>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</si>
  <si>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</si>
  <si>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</si>
  <si>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</si>
  <si>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</si>
  <si>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</si>
  <si>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</si>
  <si>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</si>
  <si>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</si>
  <si>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</si>
  <si>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</si>
  <si>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</si>
  <si>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</si>
  <si>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</si>
  <si>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</si>
  <si>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</si>
  <si>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</si>
  <si>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</si>
  <si>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</si>
  <si>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</si>
  <si>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</si>
  <si>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</si>
  <si>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</si>
  <si>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</si>
  <si>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</si>
  <si>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</si>
  <si>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</si>
  <si>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</si>
  <si>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</si>
  <si>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</si>
  <si>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</si>
  <si>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</si>
  <si>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</si>
  <si>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</si>
  <si>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</si>
  <si>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</si>
  <si>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</si>
  <si>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</si>
  <si>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</si>
  <si>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</si>
  <si>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</si>
  <si>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</si>
  <si>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</si>
  <si>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</si>
  <si>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</si>
  <si>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</si>
  <si>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</si>
  <si>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</si>
  <si>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</si>
  <si>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</si>
  <si>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</si>
  <si>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</si>
  <si>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</si>
  <si>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</si>
  <si>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</si>
  <si>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</si>
  <si>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</si>
  <si>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</si>
  <si>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</si>
  <si>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</si>
  <si>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</si>
  <si>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</si>
  <si>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</si>
  <si>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</si>
  <si>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</si>
  <si>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</si>
  <si>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</si>
  <si>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</si>
  <si>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</si>
  <si>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</si>
  <si>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</si>
  <si>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</si>
  <si>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</si>
  <si>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</si>
  <si>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</si>
  <si>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</si>
  <si>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</si>
  <si>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</si>
  <si>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</si>
  <si>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</si>
  <si>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</si>
  <si>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</si>
  <si>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</si>
  <si>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</si>
  <si>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</si>
  <si>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</si>
  <si>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</si>
  <si>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</si>
  <si>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</si>
  <si>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</si>
  <si>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</si>
  <si>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</si>
  <si>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</si>
  <si>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</si>
  <si>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</si>
  <si>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</si>
  <si>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</si>
  <si>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</si>
  <si>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</si>
  <si>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</si>
  <si>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</si>
  <si>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</si>
  <si>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</si>
  <si>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</si>
  <si>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</si>
  <si>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</si>
  <si>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</si>
  <si>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</si>
  <si>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</si>
  <si>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</si>
  <si>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</si>
  <si>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</si>
  <si>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</si>
  <si>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</si>
  <si>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</si>
  <si>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</si>
  <si>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</si>
  <si>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</si>
  <si>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</si>
  <si>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</si>
  <si>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</si>
  <si>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</si>
  <si>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</si>
  <si>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</si>
  <si>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</si>
  <si>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</si>
  <si>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</si>
  <si>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</si>
  <si>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</si>
  <si>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</si>
  <si>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</si>
  <si>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</si>
  <si>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</si>
  <si>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</si>
  <si>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</si>
  <si>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</si>
  <si>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</si>
  <si>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</si>
  <si>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</si>
  <si>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</si>
  <si>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</si>
  <si>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</si>
  <si>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</si>
  <si>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</si>
  <si>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</si>
  <si>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</si>
  <si>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</si>
  <si>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</si>
  <si>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</si>
  <si>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</si>
  <si>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</si>
  <si>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</si>
  <si>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</si>
  <si>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</si>
  <si>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</si>
  <si>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</si>
  <si>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</si>
  <si>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</si>
  <si>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</si>
  <si>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</si>
  <si>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</si>
  <si>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</si>
  <si>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</si>
  <si>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</si>
  <si>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</si>
  <si>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</si>
  <si>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</si>
  <si>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</si>
  <si>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</si>
  <si>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</si>
  <si>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</si>
  <si>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</si>
  <si>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</si>
  <si>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</si>
  <si>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</si>
  <si>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</si>
  <si>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</si>
  <si>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</si>
  <si>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</si>
  <si>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</si>
  <si>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</si>
  <si>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</si>
  <si>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</si>
  <si>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</si>
  <si>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</si>
  <si>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</si>
  <si>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</si>
  <si>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</si>
  <si>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</si>
  <si>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</si>
  <si>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</si>
  <si>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</si>
  <si>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</si>
  <si>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</si>
  <si>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</si>
  <si>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</si>
  <si>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</si>
  <si>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</si>
  <si>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</si>
  <si>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</si>
  <si>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</si>
  <si>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</si>
  <si>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</si>
  <si>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</si>
  <si>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</si>
  <si>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</si>
  <si>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</si>
  <si>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</si>
  <si>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</si>
  <si>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</si>
  <si>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</si>
  <si>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</si>
  <si>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</si>
  <si>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</si>
  <si>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</si>
  <si>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</si>
  <si>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</si>
  <si>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</si>
  <si>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</si>
  <si>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</si>
  <si>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</si>
  <si>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</si>
  <si>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</si>
  <si>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</si>
  <si>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</si>
  <si>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</si>
  <si>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</si>
  <si>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</si>
  <si>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</si>
  <si>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</si>
  <si>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</si>
  <si>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</si>
  <si>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</si>
  <si>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</si>
  <si>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</si>
  <si>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</si>
  <si>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</si>
  <si>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</si>
  <si>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</si>
  <si>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</si>
  <si>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</si>
  <si>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</si>
  <si>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</si>
  <si>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</si>
  <si>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</si>
  <si>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</si>
  <si>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</si>
  <si>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</si>
  <si>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</si>
  <si>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</si>
  <si>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</si>
  <si>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</si>
  <si>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</si>
  <si>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</si>
  <si>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</si>
  <si>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</si>
  <si>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</si>
  <si>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</si>
  <si>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</si>
  <si>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</si>
  <si>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</si>
  <si>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</si>
  <si>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</si>
  <si>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</si>
  <si>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</si>
  <si>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</si>
  <si>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</si>
  <si>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</si>
  <si>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</si>
  <si>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</si>
  <si>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</si>
  <si>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</si>
  <si>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</si>
  <si>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</si>
  <si>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</si>
  <si>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</si>
  <si>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</si>
  <si>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</si>
  <si>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</si>
  <si>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</si>
  <si>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</si>
  <si>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</si>
  <si>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</si>
  <si>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</si>
  <si>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</si>
  <si>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</si>
  <si>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</si>
  <si>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</si>
  <si>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</si>
  <si>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</si>
  <si>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</si>
  <si>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</si>
  <si>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</si>
  <si>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</si>
  <si>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</si>
  <si>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</si>
  <si>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</si>
  <si>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</si>
  <si>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</si>
  <si>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</si>
  <si>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</si>
  <si>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</si>
  <si>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</si>
  <si>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</si>
  <si>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</si>
  <si>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</si>
  <si>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</si>
  <si>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</si>
  <si>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</si>
  <si>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</si>
  <si>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</si>
  <si>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</si>
  <si>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</si>
  <si>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</si>
  <si>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</si>
  <si>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</si>
  <si>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</si>
  <si>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</si>
  <si>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</si>
  <si>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</si>
  <si>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</si>
  <si>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</si>
  <si>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</si>
  <si>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</si>
  <si>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</si>
  <si>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</si>
  <si>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</si>
  <si>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</si>
  <si>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</si>
  <si>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</si>
  <si>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</si>
  <si>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</si>
  <si>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</si>
  <si>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</si>
  <si>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</si>
  <si>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</si>
  <si>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</si>
  <si>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</si>
  <si>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</si>
  <si>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</si>
  <si>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</si>
  <si>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</si>
  <si>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</si>
  <si>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</si>
  <si>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</si>
  <si>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</si>
  <si>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</si>
  <si>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</si>
  <si>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</si>
  <si>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</si>
  <si>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</si>
  <si>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</si>
  <si>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</si>
  <si>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</si>
  <si>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</si>
  <si>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</si>
  <si>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</si>
  <si>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</si>
  <si>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</si>
  <si>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</si>
  <si>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</si>
  <si>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</si>
  <si>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</si>
  <si>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</si>
  <si>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</si>
  <si>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</si>
  <si>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</si>
  <si>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</si>
  <si>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</si>
  <si>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</si>
  <si>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</si>
  <si>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</si>
  <si>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</si>
  <si>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</si>
  <si>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</si>
  <si>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</si>
  <si>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</si>
  <si>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</si>
  <si>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</si>
  <si>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</si>
  <si>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</si>
  <si>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</si>
  <si>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</si>
  <si>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</si>
  <si>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</si>
  <si>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</si>
  <si>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</si>
  <si>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</si>
  <si>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</si>
  <si>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</si>
  <si>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</si>
  <si>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</si>
  <si>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</si>
  <si>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</si>
  <si>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</si>
  <si>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</si>
  <si>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</si>
  <si>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</si>
  <si>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</si>
  <si>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</si>
  <si>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</si>
  <si>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</si>
  <si>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</si>
  <si>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</si>
  <si>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</si>
  <si>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</si>
  <si>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</si>
  <si>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</si>
  <si>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</si>
  <si>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</si>
  <si>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</si>
  <si>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</si>
  <si>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</si>
  <si>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</si>
  <si>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</si>
  <si>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</si>
  <si>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</si>
  <si>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</si>
  <si>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</si>
  <si>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</si>
  <si>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</si>
  <si>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</si>
  <si>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</si>
  <si>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</si>
  <si>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</si>
  <si>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</si>
  <si>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</si>
  <si>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</si>
  <si>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</si>
  <si>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</si>
  <si>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</si>
  <si>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</si>
  <si>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</si>
  <si>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</si>
  <si>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</si>
  <si>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</si>
  <si>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</si>
  <si>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</si>
  <si>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</si>
  <si>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</si>
  <si>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</si>
  <si>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</si>
  <si>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</si>
  <si>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</si>
  <si>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</si>
  <si>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</si>
  <si>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</si>
  <si>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</si>
  <si>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</si>
  <si>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</si>
  <si>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</si>
  <si>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</si>
  <si>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</si>
  <si>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</si>
  <si>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</si>
  <si>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</si>
  <si>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</si>
  <si>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</si>
  <si>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</si>
  <si>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</si>
  <si>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</si>
  <si>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</si>
  <si>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</si>
  <si>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</si>
  <si>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</si>
  <si>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</si>
  <si>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</si>
  <si>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</si>
  <si>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</si>
  <si>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</si>
  <si>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</si>
  <si>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</si>
  <si>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</si>
  <si>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</si>
  <si>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</si>
  <si>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</si>
  <si>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</si>
  <si>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</si>
  <si>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</si>
  <si>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</si>
  <si>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</si>
  <si>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</si>
  <si>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</si>
  <si>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</si>
  <si>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</si>
  <si>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</si>
  <si>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</si>
  <si>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</si>
  <si>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</si>
  <si>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</si>
  <si>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</si>
  <si>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</si>
  <si>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</si>
  <si>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</si>
  <si>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</si>
  <si>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</si>
  <si>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</si>
  <si>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</si>
  <si>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</si>
  <si>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</si>
  <si>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</si>
  <si>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</si>
  <si>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</si>
  <si>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</si>
  <si>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</si>
  <si>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</si>
  <si>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</si>
  <si>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</si>
  <si>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</si>
  <si>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</si>
  <si>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</si>
  <si>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</si>
  <si>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</si>
  <si>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</si>
  <si>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</si>
  <si>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</si>
  <si>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</si>
  <si>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</si>
  <si>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</si>
  <si>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</si>
  <si>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</si>
  <si>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</si>
  <si>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</si>
  <si>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</si>
  <si>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</si>
  <si>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</si>
  <si>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</si>
  <si>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</si>
  <si>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</si>
  <si>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</si>
  <si>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</si>
  <si>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</si>
  <si>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</si>
  <si>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</si>
  <si>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</si>
  <si>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</si>
  <si>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</si>
  <si>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</si>
  <si>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</si>
  <si>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</si>
  <si>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</si>
  <si>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</si>
  <si>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</si>
  <si>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</si>
  <si>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</si>
  <si>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</si>
  <si>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</si>
  <si>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</si>
  <si>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</si>
  <si>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</si>
  <si>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</si>
  <si>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</si>
  <si>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</si>
  <si>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</si>
  <si>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</si>
  <si>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</si>
  <si>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</si>
  <si>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</si>
  <si>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</si>
  <si>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</si>
  <si>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</si>
  <si>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</si>
  <si>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</si>
  <si>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</si>
  <si>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</si>
  <si>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</si>
  <si>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</si>
  <si>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</si>
  <si>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</si>
  <si>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</si>
  <si>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</si>
  <si>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</si>
  <si>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</si>
  <si>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</si>
  <si>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</si>
  <si>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</si>
  <si>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</si>
  <si>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</si>
  <si>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</si>
  <si>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</si>
  <si>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</si>
  <si>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</si>
  <si>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</si>
  <si>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</si>
  <si>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</si>
  <si>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</si>
  <si>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</si>
  <si>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</si>
  <si>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</si>
  <si>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</si>
  <si>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</si>
  <si>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</si>
  <si>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</si>
  <si>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</si>
  <si>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</si>
  <si>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</si>
  <si>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</si>
  <si>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</si>
  <si>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</si>
  <si>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</si>
  <si>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</si>
  <si>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</si>
  <si>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</si>
  <si>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</si>
  <si>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</si>
  <si>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</si>
  <si>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</si>
  <si>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</si>
  <si>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</si>
  <si>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</si>
  <si>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</si>
  <si>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</si>
  <si>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</si>
  <si>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</si>
  <si>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</si>
  <si>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</si>
  <si>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</si>
  <si>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</si>
  <si>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</si>
  <si>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</si>
  <si>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</si>
  <si>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</si>
  <si>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</si>
  <si>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</si>
  <si>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</si>
  <si>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</si>
  <si>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</si>
  <si>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</si>
  <si>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</si>
  <si>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</si>
  <si>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</si>
  <si>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</si>
  <si>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</si>
  <si>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</si>
  <si>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</si>
  <si>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</si>
  <si>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</si>
  <si>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</si>
  <si>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</si>
  <si>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</si>
  <si>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</si>
  <si>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</si>
  <si>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</si>
  <si>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</si>
  <si>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</si>
  <si>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</si>
  <si>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</si>
  <si>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</si>
  <si>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</si>
  <si>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</si>
  <si>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</si>
  <si>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</si>
  <si>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</si>
  <si>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</si>
  <si>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</si>
  <si>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</si>
  <si>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</si>
  <si>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</si>
  <si>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</si>
  <si>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</si>
  <si>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</si>
  <si>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</si>
  <si>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</si>
  <si>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</si>
  <si>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</si>
  <si>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</si>
  <si>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</si>
  <si>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</si>
  <si>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</si>
  <si>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</si>
  <si>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</si>
  <si>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</si>
  <si>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</si>
  <si>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</si>
  <si>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</si>
  <si>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</si>
  <si>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</si>
  <si>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</si>
  <si>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</si>
  <si>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</si>
  <si>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</si>
  <si>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</si>
  <si>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</si>
  <si>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</si>
  <si>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</si>
  <si>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</si>
  <si>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</si>
  <si>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</si>
  <si>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</si>
  <si>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</si>
  <si>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</si>
  <si>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</si>
  <si>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</si>
  <si>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</si>
  <si>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</si>
  <si>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</si>
  <si>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</si>
  <si>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</si>
  <si>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</si>
  <si>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</si>
  <si>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</si>
  <si>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</si>
  <si>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</si>
  <si>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</si>
  <si>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</si>
  <si>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</si>
  <si>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</si>
  <si>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</si>
  <si>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</si>
  <si>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</si>
  <si>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</si>
  <si>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</si>
  <si>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</si>
  <si>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</si>
  <si>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</si>
  <si>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</si>
  <si>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</si>
  <si>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</si>
  <si>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</si>
  <si>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</si>
  <si>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</si>
  <si>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</si>
  <si>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</si>
  <si>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</si>
  <si>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</si>
  <si>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</si>
  <si>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</si>
  <si>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</si>
  <si>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</si>
  <si>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</si>
  <si>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</si>
  <si>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</si>
  <si>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</si>
  <si>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</si>
  <si>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</si>
  <si>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</si>
  <si>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</si>
  <si>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</si>
  <si>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</si>
  <si>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</si>
  <si>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</si>
  <si>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</si>
  <si>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</si>
  <si>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</si>
  <si>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</si>
  <si>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</si>
  <si>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</si>
  <si>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</si>
  <si>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</si>
  <si>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</si>
  <si>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</si>
  <si>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</si>
  <si>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</si>
  <si>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</si>
  <si>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</si>
  <si>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</si>
  <si>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</si>
  <si>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</si>
  <si>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</si>
  <si>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</si>
  <si>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</si>
  <si>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</si>
  <si>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</si>
  <si>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</si>
  <si>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</si>
  <si>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</si>
  <si>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</si>
  <si>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</si>
  <si>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</si>
  <si>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</si>
  <si>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</si>
  <si>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</si>
  <si>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</si>
  <si>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</si>
  <si>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</si>
  <si>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</si>
  <si>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</si>
  <si>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</si>
  <si>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</si>
  <si>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</si>
  <si>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</si>
  <si>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</si>
  <si>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</si>
  <si>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</si>
  <si>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</si>
  <si>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</si>
  <si>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</si>
  <si>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</si>
  <si>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</si>
  <si>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</si>
  <si>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</si>
  <si>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</si>
  <si>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</si>
  <si>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</si>
  <si>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</si>
  <si>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</si>
  <si>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</si>
  <si>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</si>
  <si>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</si>
  <si>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</si>
  <si>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</si>
  <si>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</si>
  <si>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</si>
  <si>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</si>
  <si>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</si>
  <si>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</si>
  <si>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</si>
  <si>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</si>
  <si>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</si>
  <si>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</si>
  <si>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</si>
  <si>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</si>
  <si>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</si>
  <si>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</si>
  <si>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</si>
  <si>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</si>
  <si>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</si>
  <si>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</si>
  <si>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</si>
  <si>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</si>
  <si>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</si>
  <si>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</si>
  <si>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</si>
  <si>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</si>
  <si>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</si>
  <si>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</si>
  <si>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</si>
  <si>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</si>
  <si>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</si>
  <si>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</si>
  <si>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</si>
  <si>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</si>
  <si>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</si>
  <si>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</si>
  <si>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</si>
  <si>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</si>
  <si>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</si>
  <si>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</si>
  <si>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</si>
  <si>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</si>
  <si>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</si>
  <si>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</si>
  <si>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</si>
  <si>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</si>
  <si>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</si>
  <si>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</si>
  <si>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</si>
  <si>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</si>
  <si>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</si>
  <si>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</si>
  <si>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</si>
  <si>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</si>
  <si>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</si>
  <si>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</si>
  <si>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</si>
  <si>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</si>
  <si>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</si>
  <si>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</si>
  <si>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</si>
  <si>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</si>
  <si>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</si>
  <si>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</si>
  <si>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</si>
  <si>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</si>
  <si>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</si>
  <si>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</si>
  <si>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</si>
  <si>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</si>
  <si>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</si>
  <si>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</si>
  <si>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</si>
  <si>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</si>
  <si>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</si>
  <si>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</si>
  <si>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</si>
  <si>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</si>
  <si>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</si>
  <si>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</si>
  <si>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</si>
  <si>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</si>
  <si>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</si>
  <si>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</si>
  <si>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</si>
  <si>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</si>
  <si>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</si>
  <si>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</si>
  <si>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</si>
  <si>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</si>
  <si>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</si>
  <si>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</si>
  <si>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</si>
  <si>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</si>
  <si>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</si>
  <si>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</si>
  <si>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</si>
  <si>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</si>
  <si>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</si>
  <si>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</si>
  <si>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</si>
  <si>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</si>
  <si>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</si>
  <si>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</si>
  <si>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</si>
  <si>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</si>
  <si>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</si>
  <si>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</si>
  <si>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</si>
  <si>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</si>
  <si>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</si>
  <si>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</si>
  <si>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</si>
  <si>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</si>
  <si>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</si>
  <si>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</si>
  <si>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</si>
  <si>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</si>
  <si>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</si>
  <si>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</si>
  <si>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</si>
  <si>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</si>
  <si>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</si>
  <si>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</si>
  <si>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</si>
  <si>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</si>
  <si>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</si>
  <si>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</si>
  <si>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</si>
  <si>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</si>
  <si>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</si>
  <si>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</si>
  <si>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</si>
  <si>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</si>
  <si>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</si>
  <si>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</si>
  <si>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</si>
  <si>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</si>
  <si>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</si>
  <si>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</si>
  <si>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</si>
  <si>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</si>
  <si>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</si>
  <si>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</si>
  <si>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</si>
  <si>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</si>
  <si>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</si>
  <si>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</si>
  <si>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</si>
  <si>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</si>
  <si>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</si>
  <si>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</si>
  <si>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</si>
  <si>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</si>
  <si>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</si>
  <si>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</si>
  <si>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</si>
  <si>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</si>
  <si>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</si>
  <si>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</si>
  <si>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</si>
  <si>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</si>
  <si>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</si>
  <si>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</si>
  <si>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</si>
  <si>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</si>
  <si>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</si>
  <si>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</si>
  <si>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</si>
  <si>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</si>
  <si>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</si>
  <si>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</si>
  <si>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</si>
  <si>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</si>
  <si>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</si>
  <si>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</si>
  <si>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</si>
  <si>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</si>
  <si>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</si>
  <si>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</si>
  <si>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</si>
  <si>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</si>
  <si>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</si>
  <si>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</si>
  <si>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</si>
  <si>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</si>
  <si>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</si>
  <si>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</si>
  <si>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</si>
  <si>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</si>
  <si>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</si>
  <si>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</si>
  <si>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</si>
  <si>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</si>
  <si>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</si>
  <si>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</si>
  <si>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</si>
  <si>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</si>
  <si>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</si>
  <si>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</si>
  <si>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</si>
  <si>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</si>
  <si>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</si>
  <si>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</si>
  <si>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</si>
  <si>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</si>
  <si>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</si>
  <si>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</si>
  <si>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</si>
  <si>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</si>
  <si>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</si>
  <si>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</si>
  <si>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</si>
  <si>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</si>
  <si>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</si>
  <si>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</si>
  <si>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</si>
  <si>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</si>
  <si>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</si>
  <si>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</si>
  <si>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</si>
  <si>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</si>
  <si>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</si>
  <si>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</si>
  <si>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</si>
  <si>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</si>
  <si>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</si>
  <si>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</si>
  <si>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</si>
  <si>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</si>
  <si>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</si>
  <si>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</si>
  <si>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</si>
  <si>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</si>
  <si>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</si>
  <si>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</si>
  <si>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</si>
  <si>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</si>
  <si>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</si>
  <si>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</si>
  <si>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</si>
  <si>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</si>
  <si>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</si>
  <si>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</si>
  <si>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</si>
  <si>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</si>
  <si>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</si>
  <si>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</si>
  <si>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</si>
  <si>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</si>
  <si>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</si>
  <si>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</si>
  <si>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</si>
  <si>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</si>
  <si>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</si>
  <si>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</si>
  <si>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</si>
  <si>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</si>
  <si>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</si>
  <si>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</si>
  <si>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</si>
  <si>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</si>
  <si>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</si>
  <si>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</si>
  <si>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</si>
  <si>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</si>
  <si>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</si>
  <si>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</si>
  <si>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</si>
  <si>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</si>
  <si>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</si>
  <si>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</si>
  <si>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</si>
  <si>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</si>
  <si>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</si>
  <si>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</si>
  <si>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</si>
  <si>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</si>
  <si>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</si>
  <si>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</si>
  <si>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</si>
  <si>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</si>
  <si>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</si>
  <si>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</si>
  <si>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</si>
  <si>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</si>
  <si>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</si>
  <si>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</si>
  <si>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</si>
  <si>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</si>
  <si>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</si>
  <si>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</si>
  <si>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</si>
  <si>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</si>
  <si>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</si>
  <si>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</si>
  <si>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</si>
  <si>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</si>
  <si>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</si>
  <si>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</si>
  <si>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</si>
  <si>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</si>
  <si>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</si>
  <si>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</si>
  <si>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</si>
  <si>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</si>
  <si>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</si>
  <si>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</si>
  <si>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</si>
  <si>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</si>
  <si>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</si>
  <si>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</si>
  <si>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</si>
  <si>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</si>
  <si>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</si>
  <si>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</si>
  <si>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</si>
  <si>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</si>
  <si>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</si>
  <si>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</si>
  <si>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</si>
  <si>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</si>
  <si>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</si>
  <si>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</si>
  <si>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</si>
  <si>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</si>
  <si>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</si>
  <si>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</si>
  <si>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</si>
  <si>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</si>
  <si>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</si>
  <si>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</si>
  <si>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</si>
  <si>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</si>
  <si>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</si>
  <si>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</si>
  <si>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</si>
  <si>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</si>
  <si>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</si>
  <si>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</si>
  <si>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</si>
  <si>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</si>
  <si>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</si>
  <si>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</si>
  <si>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</si>
  <si>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</si>
  <si>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</si>
  <si>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</si>
  <si>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</si>
  <si>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</si>
  <si>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</si>
  <si>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</si>
  <si>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</si>
  <si>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</si>
  <si>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</si>
  <si>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</si>
  <si>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</si>
  <si>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</si>
  <si>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</si>
  <si>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</si>
  <si>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</si>
  <si>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</si>
  <si>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</si>
  <si>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</si>
  <si>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</si>
  <si>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</si>
  <si>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</si>
  <si>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</si>
  <si>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</si>
  <si>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</si>
  <si>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</si>
  <si>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</si>
  <si>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</si>
  <si>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</si>
  <si>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</si>
  <si>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</si>
  <si>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</si>
  <si>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</si>
  <si>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</si>
  <si>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</si>
  <si>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</si>
  <si>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</si>
  <si>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</si>
  <si>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</si>
  <si>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</si>
  <si>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</si>
  <si>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</si>
  <si>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</si>
  <si>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</si>
  <si>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</si>
  <si>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</si>
  <si>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</si>
  <si>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</si>
  <si>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</si>
  <si>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</si>
  <si>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</si>
  <si>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</si>
  <si>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</si>
  <si>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</si>
  <si>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</si>
  <si>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</si>
  <si>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</si>
  <si>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</si>
  <si>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</si>
  <si>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</si>
  <si>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</si>
  <si>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</si>
  <si>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</si>
  <si>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</si>
  <si>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</si>
  <si>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</si>
  <si>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</si>
  <si>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</si>
  <si>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</si>
  <si>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</si>
  <si>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</si>
  <si>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</si>
  <si>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</si>
  <si>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</si>
  <si>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</si>
  <si>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</si>
  <si>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</si>
  <si>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</si>
  <si>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</si>
  <si>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</si>
  <si>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</si>
  <si>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</si>
  <si>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</si>
  <si>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</si>
  <si>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</si>
  <si>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</si>
  <si>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</si>
  <si>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</si>
  <si>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</si>
  <si>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</si>
  <si>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</si>
  <si>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</si>
  <si>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</si>
  <si>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</si>
  <si>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</si>
  <si>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</si>
  <si>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</si>
  <si>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</si>
  <si>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</si>
  <si>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</si>
  <si>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</si>
  <si>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</si>
  <si>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</si>
  <si>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</si>
  <si>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</si>
  <si>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</si>
  <si>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</si>
  <si>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</si>
  <si>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</si>
  <si>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</si>
  <si>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</si>
  <si>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</si>
  <si>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</si>
  <si>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</si>
  <si>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</si>
  <si>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</si>
  <si>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</si>
  <si>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</si>
  <si>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</si>
  <si>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</si>
  <si>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</si>
  <si>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</si>
  <si>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</si>
  <si>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</si>
  <si>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</si>
  <si>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</si>
  <si>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</si>
  <si>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</si>
  <si>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</si>
  <si>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</si>
  <si>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</si>
  <si>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</si>
  <si>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</si>
  <si>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</si>
  <si>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</si>
  <si>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</si>
  <si>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</si>
  <si>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</si>
  <si>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</si>
  <si>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</si>
  <si>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</si>
  <si>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</si>
  <si>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</si>
  <si>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</si>
  <si>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</si>
  <si>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</si>
  <si>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</si>
  <si>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</si>
  <si>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</si>
  <si>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</si>
  <si>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</si>
  <si>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</si>
  <si>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</si>
  <si>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</si>
  <si>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</si>
  <si>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</si>
  <si>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</si>
  <si>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</si>
  <si>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</si>
  <si>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</si>
  <si>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</si>
  <si>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</si>
  <si>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</si>
  <si>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</si>
  <si>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</si>
  <si>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</si>
  <si>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</si>
  <si>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</si>
  <si>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</si>
  <si>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</si>
  <si>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</si>
  <si>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</si>
  <si>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</si>
  <si>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</si>
  <si>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</si>
  <si>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</si>
  <si>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</si>
  <si>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</si>
  <si>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</si>
  <si>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</si>
  <si>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</si>
  <si>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</si>
  <si>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</si>
  <si>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</si>
  <si>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</si>
  <si>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</si>
  <si>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</si>
  <si>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</si>
  <si>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</si>
  <si>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</si>
  <si>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</si>
  <si>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</si>
  <si>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</si>
  <si>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</si>
  <si>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</si>
  <si>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</si>
  <si>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</si>
  <si>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</si>
  <si>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</si>
  <si>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</si>
  <si>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</si>
  <si>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</si>
  <si>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</si>
  <si>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</si>
  <si>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</si>
  <si>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</si>
  <si>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</si>
  <si>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</si>
  <si>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</si>
  <si>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</si>
  <si>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</si>
  <si>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</si>
  <si>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</si>
  <si>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</si>
  <si>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</si>
  <si>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</si>
  <si>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</si>
  <si>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</si>
  <si>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</si>
  <si>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</si>
  <si>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</si>
  <si>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</si>
  <si>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</si>
  <si>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</si>
  <si>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</si>
  <si>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</si>
  <si>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</si>
  <si>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</si>
  <si>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</si>
  <si>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</si>
  <si>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</si>
  <si>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</si>
  <si>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</si>
  <si>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</si>
  <si>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</si>
  <si>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</si>
  <si>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</si>
  <si>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</si>
  <si>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</si>
  <si>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</si>
  <si>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</si>
  <si>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</si>
  <si>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</si>
  <si>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</si>
  <si>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</si>
  <si>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</si>
  <si>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</si>
  <si>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</si>
  <si>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</si>
  <si>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</si>
  <si>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</si>
  <si>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</si>
  <si>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</si>
  <si>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</si>
  <si>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</si>
  <si>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</si>
  <si>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</si>
  <si>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</si>
  <si>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</si>
  <si>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</si>
  <si>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</si>
  <si>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</si>
  <si>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</si>
  <si>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</si>
  <si>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</si>
  <si>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</si>
  <si>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</si>
  <si>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</si>
  <si>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</si>
  <si>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</si>
  <si>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</si>
  <si>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</si>
  <si>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</si>
  <si>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</si>
  <si>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</si>
  <si>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</si>
  <si>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</si>
  <si>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</si>
  <si>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</si>
  <si>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</si>
  <si>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</si>
  <si>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</si>
  <si>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</si>
  <si>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</si>
  <si>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</si>
  <si>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</si>
  <si>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</si>
  <si>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</si>
  <si>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</si>
  <si>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</si>
  <si>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</si>
  <si>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</si>
  <si>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</si>
  <si>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</si>
  <si>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</si>
  <si>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</si>
  <si>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</si>
  <si>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</si>
  <si>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</si>
  <si>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</si>
  <si>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</si>
  <si>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</si>
  <si>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</si>
  <si>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</si>
  <si>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</si>
  <si>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</si>
  <si>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</si>
  <si>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</si>
  <si>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</si>
  <si>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</si>
  <si>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</si>
  <si>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</si>
  <si>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</si>
  <si>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</si>
  <si>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</si>
  <si>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</si>
  <si>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</si>
  <si>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</si>
  <si>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</si>
  <si>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</si>
  <si>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</si>
  <si>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</si>
  <si>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</si>
  <si>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</si>
  <si>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</si>
  <si>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</si>
  <si>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</si>
  <si>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</si>
  <si>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</si>
  <si>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</si>
  <si>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</si>
  <si>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</si>
  <si>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</si>
  <si>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</si>
  <si>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</si>
  <si>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</si>
  <si>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</si>
  <si>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</si>
  <si>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</si>
  <si>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</si>
  <si>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</si>
  <si>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</si>
  <si>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</si>
  <si>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</si>
  <si>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</si>
  <si>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</si>
  <si>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</si>
  <si>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</si>
  <si>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</si>
  <si>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</si>
  <si>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</si>
  <si>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</si>
  <si>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</si>
  <si>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</si>
  <si>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</si>
  <si>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</si>
  <si>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</si>
  <si>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</si>
  <si>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</si>
  <si>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</si>
  <si>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</si>
  <si>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</si>
  <si>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</si>
  <si>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</si>
  <si>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</si>
  <si>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</si>
  <si>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</si>
  <si>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</si>
  <si>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</si>
  <si>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</si>
  <si>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</si>
  <si>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</si>
  <si>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</si>
  <si>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</si>
  <si>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</si>
  <si>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</si>
  <si>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</si>
  <si>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</si>
  <si>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</si>
  <si>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</si>
  <si>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</si>
  <si>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</si>
  <si>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</si>
  <si>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</si>
  <si>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</si>
  <si>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</si>
  <si>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</si>
  <si>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</si>
  <si>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</si>
  <si>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</si>
  <si>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</si>
  <si>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</si>
  <si>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</si>
  <si>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</si>
  <si>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</si>
  <si>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</si>
  <si>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</si>
  <si>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</si>
  <si>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</si>
  <si>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</si>
  <si>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</si>
  <si>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</si>
  <si>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</si>
  <si>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</si>
  <si>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</si>
  <si>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</si>
  <si>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</si>
  <si>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</si>
  <si>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</si>
  <si>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</si>
  <si>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</si>
  <si>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</si>
  <si>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</si>
  <si>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</si>
  <si>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</si>
  <si>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</si>
  <si>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</si>
  <si>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</si>
  <si>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</si>
  <si>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</si>
  <si>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</si>
  <si>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</si>
  <si>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</si>
  <si>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</si>
  <si>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</si>
  <si>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</si>
  <si>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</si>
  <si>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</si>
  <si>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</si>
  <si>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</si>
  <si>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</si>
  <si>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</si>
  <si>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</si>
  <si>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</si>
  <si>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</si>
  <si>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</si>
  <si>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</si>
  <si>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</si>
  <si>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</si>
  <si>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</si>
  <si>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</si>
  <si>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</si>
  <si>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</si>
  <si>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</si>
  <si>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</si>
  <si>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</si>
  <si>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</si>
  <si>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</si>
  <si>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</si>
  <si>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</si>
  <si>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</si>
  <si>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</si>
  <si>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</si>
  <si>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</si>
  <si>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</si>
  <si>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</si>
  <si>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</si>
  <si>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</si>
  <si>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</si>
  <si>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</si>
  <si>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</si>
  <si>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</si>
  <si>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</si>
  <si>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</si>
  <si>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</si>
  <si>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</si>
  <si>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</si>
  <si>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</si>
  <si>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</si>
  <si>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</si>
  <si>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</si>
  <si>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</si>
  <si>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</si>
  <si>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</si>
  <si>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</si>
  <si>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</si>
  <si>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</si>
  <si>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</si>
  <si>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</si>
  <si>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</si>
  <si>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</si>
  <si>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</si>
  <si>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</si>
  <si>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</si>
  <si>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</si>
  <si>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</si>
  <si>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</si>
  <si>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</si>
  <si>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</si>
  <si>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</si>
  <si>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</si>
  <si>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</si>
  <si>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</si>
  <si>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</si>
  <si>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</si>
  <si>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</si>
  <si>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</si>
  <si>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</si>
  <si>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</si>
  <si>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</si>
  <si>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</si>
  <si>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</si>
  <si>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</si>
  <si>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</si>
  <si>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</si>
  <si>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</si>
  <si>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</si>
  <si>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</si>
  <si>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</si>
  <si>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</si>
  <si>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</si>
  <si>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</si>
  <si>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</si>
  <si>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</si>
  <si>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</si>
  <si>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</si>
  <si>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</si>
  <si>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</si>
  <si>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</si>
  <si>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</si>
  <si>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</si>
  <si>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</si>
  <si>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</si>
  <si>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</si>
  <si>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</si>
  <si>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</si>
  <si>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</si>
  <si>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</si>
  <si>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</si>
  <si>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</si>
  <si>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</si>
  <si>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</si>
  <si>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</si>
  <si>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</si>
  <si>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</si>
  <si>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</si>
  <si>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</si>
  <si>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</si>
  <si>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</si>
  <si>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</si>
  <si>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</si>
  <si>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</si>
  <si>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</si>
  <si>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</si>
  <si>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</si>
  <si>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</si>
  <si>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</si>
  <si>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</si>
  <si>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</si>
  <si>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</si>
  <si>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</si>
  <si>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</si>
  <si>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</si>
  <si>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</si>
  <si>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</si>
  <si>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</si>
  <si>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</si>
  <si>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</si>
  <si>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</si>
  <si>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</si>
  <si>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</si>
  <si>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</si>
  <si>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</si>
  <si>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</si>
  <si>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</si>
  <si>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</si>
  <si>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</si>
  <si>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</si>
  <si>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</si>
  <si>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</si>
  <si>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</si>
  <si>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</si>
  <si>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</si>
  <si>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</si>
  <si>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</si>
  <si>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</si>
  <si>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</si>
  <si>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</si>
  <si>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</si>
  <si>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</si>
  <si>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</si>
  <si>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</si>
  <si>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</si>
  <si>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</si>
  <si>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</si>
  <si>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</si>
  <si>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</si>
  <si>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</si>
  <si>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</si>
  <si>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</si>
  <si>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</si>
  <si>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</si>
  <si>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</si>
  <si>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</si>
  <si>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</si>
  <si>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</si>
  <si>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</si>
  <si>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</si>
  <si>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</si>
  <si>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</si>
  <si>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</si>
  <si>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</si>
  <si>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</si>
  <si>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</si>
  <si>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</si>
  <si>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</si>
  <si>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</si>
  <si>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</si>
  <si>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</si>
  <si>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</si>
  <si>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</si>
  <si>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</si>
  <si>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</si>
  <si>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</si>
  <si>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</si>
  <si>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</si>
  <si>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</si>
  <si>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</si>
  <si>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</si>
  <si>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</si>
  <si>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</si>
  <si>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</si>
  <si>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</si>
  <si>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</si>
  <si>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</si>
  <si>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</si>
  <si>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</si>
  <si>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</si>
  <si>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</si>
  <si>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</si>
  <si>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</si>
  <si>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</si>
  <si>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</si>
  <si>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</si>
  <si>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</si>
  <si>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</si>
  <si>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</si>
  <si>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</si>
  <si>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</si>
  <si>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</si>
  <si>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</si>
  <si>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</si>
  <si>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</si>
  <si>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</si>
  <si>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</si>
  <si>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</si>
  <si>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</si>
  <si>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</si>
  <si>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</si>
  <si>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</si>
  <si>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</si>
  <si>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</si>
  <si>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</si>
  <si>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</si>
  <si>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</si>
  <si>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</si>
  <si>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</si>
  <si>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</si>
  <si>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</si>
  <si>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</si>
  <si>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</si>
  <si>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</si>
  <si>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</si>
  <si>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</si>
  <si>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</si>
  <si>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</si>
  <si>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</si>
  <si>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</si>
  <si>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</si>
  <si>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</si>
  <si>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</si>
  <si>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</si>
  <si>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</si>
  <si>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</si>
  <si>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</si>
  <si>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</si>
  <si>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</si>
  <si>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</si>
  <si>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</si>
  <si>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</si>
  <si>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</si>
  <si>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</si>
  <si>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</si>
  <si>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</si>
  <si>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</si>
  <si>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</si>
  <si>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</si>
  <si>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</si>
  <si>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</si>
  <si>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</si>
  <si>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</si>
  <si>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</si>
  <si>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</si>
  <si>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</si>
  <si>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</si>
  <si>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</si>
  <si>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</si>
  <si>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</si>
  <si>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</si>
  <si>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</si>
  <si>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</si>
  <si>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</si>
  <si>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</si>
  <si>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</si>
  <si>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</si>
  <si>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</si>
  <si>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</si>
  <si>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</si>
  <si>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</si>
  <si>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</si>
  <si>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</si>
  <si>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</si>
  <si>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</si>
  <si>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</si>
  <si>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</si>
  <si>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</si>
  <si>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</si>
  <si>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</si>
  <si>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</si>
  <si>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</si>
  <si>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</si>
  <si>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</si>
  <si>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</si>
  <si>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</si>
  <si>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</si>
  <si>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</si>
  <si>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</si>
  <si>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</si>
  <si>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</si>
  <si>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</si>
  <si>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</si>
  <si>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</si>
  <si>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</si>
  <si>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</si>
  <si>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</si>
  <si>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</si>
  <si>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</si>
  <si>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</si>
  <si>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</si>
  <si>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</si>
  <si>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</si>
  <si>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</si>
  <si>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</si>
  <si>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</si>
  <si>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</si>
  <si>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</si>
  <si>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</si>
  <si>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</si>
  <si>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</si>
  <si>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</si>
  <si>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</si>
  <si>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</si>
  <si>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</si>
  <si>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</si>
  <si>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</si>
  <si>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</si>
  <si>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</si>
  <si>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</si>
  <si>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</si>
  <si>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</si>
  <si>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</si>
  <si>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</si>
  <si>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</si>
  <si>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</si>
  <si>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</si>
  <si>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</si>
  <si>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</si>
  <si>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</si>
  <si>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</si>
  <si>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</si>
  <si>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</si>
  <si>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</si>
  <si>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</si>
  <si>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</si>
  <si>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</si>
  <si>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</si>
  <si>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</si>
  <si>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</si>
  <si>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</si>
  <si>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</si>
  <si>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</si>
  <si>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</si>
  <si>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</si>
  <si>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</si>
  <si>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</si>
  <si>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</si>
  <si>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</si>
  <si>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</si>
  <si>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</si>
  <si>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</si>
  <si>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</si>
  <si>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</si>
  <si>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</si>
  <si>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</si>
  <si>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</si>
  <si>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</si>
  <si>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</si>
  <si>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</si>
  <si>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</si>
  <si>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</si>
  <si>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</si>
  <si>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</si>
  <si>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</si>
  <si>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</si>
  <si>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</si>
  <si>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</si>
  <si>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</si>
  <si>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</si>
  <si>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</si>
  <si>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</si>
  <si>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</si>
  <si>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</si>
  <si>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</si>
  <si>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</si>
  <si>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</si>
  <si>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</si>
  <si>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</si>
  <si>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</si>
  <si>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</si>
  <si>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</si>
  <si>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</si>
  <si>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</si>
  <si>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</si>
  <si>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</si>
  <si>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</si>
  <si>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</si>
  <si>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</si>
  <si>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</si>
  <si>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</si>
  <si>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</si>
  <si>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</si>
  <si>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</si>
  <si>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</si>
  <si>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</si>
  <si>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</si>
  <si>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</si>
  <si>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</si>
  <si>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</si>
  <si>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</si>
  <si>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</si>
  <si>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</si>
  <si>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</si>
  <si>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</si>
  <si>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</si>
  <si>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</si>
  <si>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</si>
  <si>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</si>
  <si>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</si>
  <si>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</si>
  <si>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</si>
  <si>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</si>
  <si>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</si>
  <si>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</si>
  <si>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</si>
  <si>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</si>
  <si>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</si>
  <si>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</si>
  <si>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</si>
  <si>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</si>
  <si>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</si>
  <si>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</si>
  <si>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</si>
  <si>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</si>
  <si>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</si>
  <si>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</si>
  <si>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</si>
  <si>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</si>
  <si>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</si>
  <si>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</si>
  <si>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</si>
  <si>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</si>
  <si>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</si>
  <si>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</si>
  <si>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</si>
  <si>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</si>
  <si>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</si>
  <si>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</si>
  <si>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</si>
  <si>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</si>
  <si>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</si>
  <si>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</si>
  <si>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</si>
  <si>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</si>
  <si>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</si>
  <si>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</si>
  <si>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</si>
  <si>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</si>
  <si>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</si>
  <si>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</si>
  <si>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</si>
  <si>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</si>
  <si>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</si>
  <si>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</si>
  <si>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</si>
  <si>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</si>
  <si>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</si>
  <si>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</si>
  <si>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</si>
  <si>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</si>
  <si>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</si>
  <si>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</si>
  <si>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</si>
  <si>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</si>
  <si>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</si>
  <si>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</si>
  <si>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</si>
  <si>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</si>
  <si>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</si>
  <si>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</si>
  <si>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</si>
  <si>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</si>
  <si>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</si>
  <si>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</si>
  <si>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</si>
  <si>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</si>
  <si>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</si>
  <si>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</si>
  <si>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</si>
  <si>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</si>
  <si>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</si>
  <si>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</si>
  <si>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</si>
  <si>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</si>
  <si>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</si>
  <si>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</si>
  <si>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</si>
  <si>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</si>
  <si>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</si>
  <si>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</si>
  <si>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</si>
  <si>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</si>
  <si>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</si>
  <si>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</si>
  <si>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</si>
  <si>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</si>
  <si>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</si>
  <si>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</si>
  <si>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</si>
  <si>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</si>
  <si>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</si>
  <si>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</si>
  <si>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</si>
  <si>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</si>
  <si>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</si>
  <si>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</si>
  <si>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</si>
  <si>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</si>
  <si>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</si>
  <si>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</si>
  <si>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</si>
  <si>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</si>
  <si>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</si>
  <si>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</si>
  <si>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</si>
  <si>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</si>
  <si>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</si>
  <si>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</si>
  <si>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</si>
  <si>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</si>
  <si>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</si>
  <si>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</si>
  <si>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</si>
  <si>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</si>
  <si>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</si>
  <si>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</si>
  <si>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</si>
  <si>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</si>
  <si>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</si>
  <si>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</si>
  <si>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</si>
  <si>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</si>
  <si>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</si>
  <si>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</si>
  <si>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</si>
  <si>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</si>
  <si>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</si>
  <si>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</si>
  <si>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</si>
  <si>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</si>
  <si>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</si>
  <si>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</si>
  <si>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</si>
  <si>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</si>
  <si>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</si>
  <si>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</si>
  <si>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</si>
  <si>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</si>
  <si>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</si>
  <si>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</si>
  <si>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</si>
  <si>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</si>
  <si>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</si>
  <si>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</si>
  <si>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</si>
  <si>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</si>
  <si>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</si>
  <si>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</si>
  <si>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</si>
  <si>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</si>
  <si>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</si>
  <si>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</si>
  <si>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</si>
  <si>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</si>
  <si>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</si>
  <si>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</si>
  <si>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</si>
  <si>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</si>
  <si>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</si>
  <si>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</si>
  <si>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</si>
  <si>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</si>
  <si>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</si>
  <si>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</si>
  <si>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</si>
  <si>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</si>
  <si>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</si>
  <si>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</si>
  <si>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</si>
  <si>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</si>
  <si>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</si>
  <si>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</si>
  <si>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</si>
  <si>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</si>
  <si>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</si>
  <si>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</si>
  <si>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</si>
  <si>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</si>
  <si>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</si>
  <si>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</si>
  <si>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</si>
  <si>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</si>
  <si>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</si>
  <si>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</si>
  <si>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</si>
  <si>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</si>
  <si>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</si>
  <si>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</si>
  <si>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</si>
  <si>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</si>
  <si>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</si>
  <si>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</si>
  <si>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</si>
  <si>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</si>
  <si>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</si>
  <si>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</si>
  <si>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</si>
  <si>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</si>
  <si>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</si>
  <si>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</si>
  <si>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</si>
  <si>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</si>
  <si>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</si>
  <si>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</si>
  <si>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</si>
  <si>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</si>
  <si>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</si>
  <si>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</si>
  <si>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</si>
  <si>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</si>
  <si>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</si>
  <si>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</si>
  <si>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</si>
  <si>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</si>
  <si>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</si>
  <si>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</si>
  <si>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</si>
  <si>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</si>
  <si>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</si>
  <si>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</si>
  <si>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</si>
  <si>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</si>
  <si>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</si>
  <si>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</si>
  <si>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</si>
  <si>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</si>
  <si>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</si>
  <si>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</si>
  <si>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</si>
  <si>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</si>
  <si>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</si>
  <si>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</si>
  <si>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</si>
  <si>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</si>
  <si>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</si>
  <si>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</si>
  <si>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</si>
  <si>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</si>
  <si>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</si>
  <si>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</si>
  <si>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</si>
  <si>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</si>
  <si>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</si>
  <si>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</si>
  <si>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</si>
  <si>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</si>
  <si>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</si>
  <si>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</si>
  <si>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</si>
  <si>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</si>
  <si>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</si>
  <si>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</si>
  <si>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</si>
  <si>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</si>
  <si>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</si>
  <si>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</si>
  <si>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</si>
  <si>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</si>
  <si>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</si>
  <si>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</si>
  <si>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</si>
  <si>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</si>
  <si>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</si>
  <si>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</si>
  <si>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</si>
  <si>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</si>
  <si>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</si>
  <si>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</si>
  <si>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</si>
  <si>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</si>
  <si>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</si>
  <si>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</si>
  <si>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</si>
  <si>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</si>
  <si>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</si>
  <si>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</si>
  <si>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</si>
  <si>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</si>
  <si>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</si>
  <si>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</si>
  <si>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</si>
  <si>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</si>
  <si>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</si>
  <si>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</si>
  <si>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</si>
  <si>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</si>
  <si>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</si>
  <si>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</si>
  <si>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</si>
  <si>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</si>
  <si>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</si>
  <si>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</si>
  <si>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</si>
  <si>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</si>
  <si>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</si>
  <si>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</si>
  <si>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</si>
  <si>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</si>
  <si>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</si>
  <si>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</si>
  <si>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</si>
  <si>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</si>
  <si>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</si>
  <si>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</si>
  <si>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</si>
  <si>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</si>
  <si>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</si>
  <si>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</si>
  <si>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</si>
  <si>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</si>
  <si>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</si>
  <si>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</si>
  <si>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</si>
  <si>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</si>
  <si>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</si>
  <si>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</si>
  <si>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</si>
  <si>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</si>
  <si>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</si>
  <si>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</si>
  <si>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</si>
  <si>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</si>
  <si>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</si>
  <si>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</si>
  <si>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</si>
  <si>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</si>
  <si>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</si>
  <si>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</si>
  <si>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</si>
  <si>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</si>
  <si>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</si>
  <si>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</si>
  <si>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</si>
  <si>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</si>
  <si>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</si>
  <si>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</si>
  <si>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</si>
  <si>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</si>
  <si>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</si>
  <si>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</si>
  <si>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</si>
  <si>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</si>
  <si>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</si>
  <si>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</si>
  <si>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</si>
  <si>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</si>
  <si>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</si>
  <si>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</si>
  <si>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</si>
  <si>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</si>
  <si>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</si>
  <si>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</si>
  <si>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</si>
  <si>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</si>
  <si>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</si>
  <si>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</si>
  <si>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</si>
  <si>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</si>
  <si>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</si>
  <si>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</si>
  <si>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</si>
  <si>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</si>
  <si>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</si>
  <si>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</si>
  <si>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</si>
  <si>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</si>
  <si>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</si>
  <si>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</si>
  <si>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</si>
  <si>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</si>
  <si>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</si>
  <si>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</si>
  <si>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</si>
  <si>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</si>
  <si>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</si>
  <si>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</si>
  <si>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</si>
  <si>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</si>
  <si>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</si>
  <si>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</si>
  <si>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</si>
  <si>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</si>
  <si>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</si>
  <si>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</si>
  <si>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</si>
  <si>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</si>
  <si>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</si>
  <si>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</si>
  <si>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</si>
  <si>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</si>
  <si>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</si>
  <si>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</si>
  <si>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</si>
  <si>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</si>
  <si>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</si>
  <si>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</si>
  <si>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</si>
  <si>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</si>
  <si>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</si>
  <si>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</si>
  <si>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</si>
  <si>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</si>
  <si>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</si>
  <si>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</si>
  <si>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</si>
  <si>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</si>
  <si>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</si>
  <si>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</si>
  <si>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</si>
  <si>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</si>
  <si>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</si>
  <si>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</si>
  <si>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</si>
  <si>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</si>
  <si>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</si>
  <si>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</si>
  <si>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</si>
  <si>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</si>
  <si>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</si>
  <si>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</si>
  <si>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</si>
  <si>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</si>
  <si>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</si>
  <si>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</si>
  <si>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</si>
  <si>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</si>
  <si>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</si>
  <si>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</si>
  <si>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</si>
  <si>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</si>
  <si>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</si>
  <si>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</si>
  <si>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</si>
  <si>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</si>
  <si>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</si>
  <si>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</si>
  <si>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</si>
  <si>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</si>
  <si>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</si>
  <si>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</si>
  <si>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</si>
  <si>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</si>
  <si>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</si>
  <si>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</si>
  <si>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</si>
  <si>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</si>
  <si>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</si>
  <si>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</si>
  <si>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</si>
  <si>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</si>
  <si>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</si>
  <si>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</si>
  <si>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</si>
  <si>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</si>
  <si>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</si>
  <si>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</si>
  <si>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</si>
  <si>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</si>
  <si>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</si>
  <si>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</si>
  <si>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</si>
  <si>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</si>
  <si>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</si>
  <si>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</si>
  <si>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</si>
  <si>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</si>
  <si>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</si>
  <si>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</si>
  <si>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</si>
  <si>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</si>
  <si>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</si>
  <si>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</si>
  <si>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</si>
  <si>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</si>
  <si>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</si>
  <si>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</si>
  <si>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</si>
  <si>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</si>
  <si>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</si>
  <si>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</si>
  <si>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</si>
  <si>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</si>
  <si>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</si>
  <si>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</si>
  <si>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</si>
  <si>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</si>
  <si>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</si>
  <si>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</si>
  <si>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</si>
  <si>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</si>
  <si>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</si>
  <si>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</si>
  <si>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</si>
  <si>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</si>
  <si>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</si>
  <si>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</si>
  <si>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</si>
  <si>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</si>
  <si>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</si>
  <si>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</si>
  <si>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</si>
  <si>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</si>
  <si>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</si>
  <si>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</si>
  <si>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</si>
  <si>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</si>
  <si>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</si>
  <si>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</si>
  <si>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</si>
  <si>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</si>
  <si>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</si>
  <si>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</si>
  <si>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</si>
  <si>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</si>
  <si>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</si>
  <si>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</si>
  <si>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</si>
  <si>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</si>
  <si>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</si>
  <si>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</si>
  <si>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</si>
  <si>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</si>
  <si>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</si>
  <si>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</si>
  <si>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</si>
  <si>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</si>
  <si>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</si>
  <si>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</si>
  <si>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</si>
  <si>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</si>
  <si>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</si>
  <si>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</si>
  <si>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</si>
  <si>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</si>
  <si>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</si>
  <si>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</si>
  <si>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</si>
  <si>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</si>
  <si>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</si>
  <si>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</si>
  <si>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</si>
  <si>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</si>
  <si>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</si>
  <si>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</si>
  <si>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</si>
  <si>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</si>
  <si>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</si>
  <si>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</si>
  <si>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</si>
  <si>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</si>
  <si>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</si>
  <si>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</si>
  <si>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</si>
  <si>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</si>
  <si>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</si>
  <si>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</si>
  <si>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</si>
  <si>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</si>
  <si>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</si>
  <si>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</si>
  <si>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</si>
  <si>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</si>
  <si>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</si>
  <si>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</si>
  <si>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</si>
  <si>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</si>
  <si>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</si>
  <si>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</si>
  <si>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</si>
  <si>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</si>
  <si>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</si>
  <si>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</si>
  <si>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</si>
  <si>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</si>
  <si>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</si>
  <si>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</si>
  <si>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</si>
  <si>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</si>
  <si>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</si>
  <si>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</si>
  <si>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</si>
  <si>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</si>
  <si>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</si>
  <si>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</si>
  <si>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</si>
  <si>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</si>
  <si>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</si>
  <si>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</si>
  <si>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</si>
  <si>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</si>
  <si>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</si>
  <si>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</si>
  <si>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</si>
  <si>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</si>
  <si>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</si>
  <si>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</si>
  <si>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</si>
  <si>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</si>
  <si>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</si>
  <si>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</si>
  <si>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</si>
  <si>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</si>
  <si>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</si>
  <si>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</si>
  <si>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</si>
  <si>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</si>
  <si>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</si>
  <si>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</si>
  <si>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</si>
  <si>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</si>
  <si>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</si>
  <si>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</si>
  <si>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</si>
  <si>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</si>
  <si>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</si>
  <si>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</si>
  <si>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</si>
  <si>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</si>
  <si>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</si>
  <si>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</si>
  <si>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</si>
  <si>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</si>
  <si>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</si>
  <si>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</si>
  <si>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</si>
  <si>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</si>
  <si>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</si>
  <si>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</si>
  <si>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</si>
  <si>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</si>
  <si>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</si>
  <si>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</si>
  <si>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</si>
  <si>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</si>
  <si>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</si>
  <si>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</si>
  <si>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</si>
  <si>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</si>
  <si>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</si>
  <si>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</si>
  <si>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</si>
  <si>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</si>
  <si>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</si>
  <si>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</si>
  <si>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</si>
  <si>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</si>
  <si>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</si>
  <si>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</si>
  <si>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</si>
  <si>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</si>
  <si>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</si>
  <si>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</si>
  <si>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</si>
  <si>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</si>
  <si>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</si>
  <si>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</si>
  <si>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</si>
  <si>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</si>
  <si>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</si>
  <si>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</si>
  <si>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</si>
  <si>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</si>
  <si>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</si>
  <si>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</si>
  <si>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</si>
  <si>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</si>
  <si>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</si>
  <si>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</si>
  <si>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</si>
  <si>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</si>
  <si>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</si>
  <si>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</si>
  <si>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</si>
  <si>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</si>
  <si>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</si>
  <si>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</si>
  <si>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</si>
  <si>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</si>
  <si>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</si>
  <si>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</si>
  <si>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</si>
  <si>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</si>
  <si>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</si>
  <si>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</si>
  <si>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</si>
  <si>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</si>
  <si>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</si>
  <si>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</si>
  <si>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</si>
  <si>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</si>
  <si>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</si>
  <si>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</si>
  <si>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</si>
  <si>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</si>
  <si>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</si>
  <si>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</si>
  <si>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</si>
  <si>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</si>
  <si>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</si>
  <si>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</si>
  <si>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</si>
  <si>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</si>
  <si>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</si>
  <si>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</si>
  <si>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</si>
  <si>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</si>
  <si>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</si>
  <si>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</si>
  <si>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</si>
  <si>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</si>
  <si>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</si>
  <si>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</si>
  <si>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</si>
  <si>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</si>
  <si>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</si>
  <si>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</si>
  <si>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</si>
  <si>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</si>
  <si>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</si>
  <si>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</si>
  <si>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</si>
  <si>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</si>
  <si>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</si>
  <si>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</si>
  <si>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</si>
  <si>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</si>
  <si>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</si>
  <si>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</si>
  <si>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</si>
  <si>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</si>
  <si>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</si>
  <si>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</si>
  <si>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</si>
  <si>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</si>
  <si>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</si>
  <si>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</si>
  <si>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</si>
  <si>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</si>
  <si>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</si>
  <si>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</si>
  <si>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</si>
  <si>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</si>
  <si>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</si>
  <si>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</si>
  <si>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</si>
  <si>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</si>
  <si>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</si>
  <si>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</si>
  <si>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</si>
  <si>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</si>
  <si>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</si>
  <si>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</si>
  <si>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</si>
  <si>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</si>
  <si>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</si>
  <si>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</si>
  <si>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</si>
  <si>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</si>
  <si>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</si>
  <si>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</si>
  <si>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</si>
  <si>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</si>
  <si>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</si>
  <si>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</si>
  <si>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</si>
  <si>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</si>
  <si>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</si>
  <si>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</si>
  <si>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</si>
  <si>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</si>
  <si>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</si>
  <si>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</si>
  <si>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</si>
  <si>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</si>
  <si>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</si>
  <si>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</si>
  <si>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</si>
  <si>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</si>
  <si>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</si>
  <si>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</si>
  <si>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</si>
  <si>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</si>
  <si>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</si>
  <si>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</si>
  <si>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</si>
  <si>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</si>
  <si>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</si>
  <si>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</si>
  <si>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</si>
  <si>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</si>
  <si>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</si>
  <si>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</si>
  <si>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</si>
  <si>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</si>
  <si>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</si>
  <si>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</si>
  <si>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</si>
  <si>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</si>
  <si>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</si>
  <si>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</si>
  <si>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</si>
  <si>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</si>
  <si>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</si>
  <si>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</si>
  <si>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</si>
  <si>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</si>
  <si>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</si>
  <si>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</si>
  <si>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</si>
  <si>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</si>
  <si>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</si>
  <si>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</si>
  <si>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</si>
  <si>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</si>
  <si>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</si>
  <si>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</si>
  <si>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</si>
  <si>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</si>
  <si>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</si>
  <si>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</si>
  <si>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</si>
  <si>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</si>
  <si>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</si>
  <si>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</si>
  <si>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</si>
  <si>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</si>
  <si>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</si>
  <si>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</si>
  <si>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</si>
  <si>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</si>
  <si>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</si>
  <si>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</si>
  <si>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</si>
  <si>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</si>
  <si>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</si>
  <si>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</si>
  <si>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</si>
  <si>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</si>
  <si>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</si>
  <si>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</si>
  <si>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</si>
  <si>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</si>
  <si>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</si>
  <si>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</si>
  <si>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</si>
  <si>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</si>
  <si>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</si>
  <si>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</si>
  <si>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</si>
  <si>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</si>
  <si>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</si>
  <si>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</si>
  <si>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</si>
  <si>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</si>
  <si>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</si>
  <si>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</si>
  <si>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</si>
  <si>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</si>
  <si>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</si>
  <si>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</si>
  <si>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</si>
  <si>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</si>
  <si>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</si>
  <si>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</si>
  <si>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</si>
  <si>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</si>
  <si>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</si>
  <si>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</si>
  <si>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</si>
  <si>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</si>
  <si>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</si>
  <si>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</si>
  <si>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其他：</t>
  </si>
  <si>
    <t>企业</t>
  </si>
  <si>
    <t>户号</t>
    <phoneticPr fontId="134" type="noConversion"/>
  </si>
  <si>
    <t>建筑面积</t>
    <phoneticPr fontId="134" type="noConversion"/>
  </si>
  <si>
    <t>分摊土地面积</t>
    <phoneticPr fontId="134" type="noConversion"/>
  </si>
  <si>
    <t>楼层</t>
    <phoneticPr fontId="134" type="noConversion"/>
  </si>
  <si>
    <r>
      <t>1</t>
    </r>
    <r>
      <rPr>
        <sz val="11"/>
        <color theme="1"/>
        <rFont val="宋体"/>
        <family val="3"/>
        <charset val="134"/>
        <scheme val="minor"/>
      </rPr>
      <t>-2层</t>
    </r>
    <phoneticPr fontId="134" type="noConversion"/>
  </si>
  <si>
    <t>1层</t>
    <phoneticPr fontId="134" type="noConversion"/>
  </si>
  <si>
    <r>
      <rPr>
        <sz val="11"/>
        <color theme="1"/>
        <rFont val="宋体"/>
        <family val="3"/>
        <charset val="134"/>
        <scheme val="minor"/>
      </rPr>
      <t>1</t>
    </r>
    <r>
      <rPr>
        <sz val="11"/>
        <color theme="1"/>
        <rFont val="宋体"/>
        <family val="3"/>
        <charset val="134"/>
        <scheme val="minor"/>
      </rPr>
      <t>-7</t>
    </r>
    <phoneticPr fontId="134" type="noConversion"/>
  </si>
  <si>
    <r>
      <t>1</t>
    </r>
    <r>
      <rPr>
        <sz val="11"/>
        <color theme="1"/>
        <rFont val="宋体"/>
        <family val="3"/>
        <charset val="134"/>
        <scheme val="minor"/>
      </rPr>
      <t>-7层</t>
    </r>
    <phoneticPr fontId="134" type="noConversion"/>
  </si>
  <si>
    <t>2层</t>
    <phoneticPr fontId="134" type="noConversion"/>
  </si>
  <si>
    <t>3层</t>
    <phoneticPr fontId="134" type="noConversion"/>
  </si>
  <si>
    <t>4层</t>
  </si>
  <si>
    <t>4层</t>
    <phoneticPr fontId="134" type="noConversion"/>
  </si>
  <si>
    <t>5层</t>
  </si>
  <si>
    <t>5层</t>
    <phoneticPr fontId="134" type="noConversion"/>
  </si>
  <si>
    <t>6层</t>
  </si>
  <si>
    <t>6层</t>
    <phoneticPr fontId="134" type="noConversion"/>
  </si>
  <si>
    <t>7层</t>
  </si>
  <si>
    <t>7层</t>
    <phoneticPr fontId="134" type="noConversion"/>
  </si>
  <si>
    <t>居然之家</t>
  </si>
  <si>
    <t>居然之家</t>
    <phoneticPr fontId="3" type="noConversion"/>
  </si>
  <si>
    <t>否</t>
  </si>
  <si>
    <t>是</t>
  </si>
  <si>
    <t>地上</t>
  </si>
  <si>
    <t>成新度</t>
  </si>
  <si>
    <t>收益法</t>
  </si>
  <si>
    <t>押一</t>
  </si>
  <si>
    <t>钢混</t>
  </si>
  <si>
    <t>非生产用房</t>
  </si>
  <si>
    <t>商业</t>
    <phoneticPr fontId="30" type="noConversion"/>
  </si>
  <si>
    <t>较好</t>
  </si>
  <si>
    <t>成本法</t>
  </si>
  <si>
    <t>现房</t>
  </si>
  <si>
    <t>项目局部</t>
  </si>
  <si>
    <t>总价</t>
  </si>
  <si>
    <t>成本比率</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</si>
  <si>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</si>
  <si>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</si>
  <si>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</si>
  <si>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</si>
  <si>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</si>
  <si>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</si>
  <si>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</si>
  <si>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</si>
  <si>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</si>
  <si>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</si>
  <si>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</si>
  <si>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</si>
  <si>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</si>
  <si>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</si>
  <si>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</si>
  <si>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</si>
  <si>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</si>
  <si>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</si>
  <si>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</si>
  <si>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</si>
  <si>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</si>
  <si>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</si>
  <si>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</si>
  <si>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黄州区路口镇祠岗村</t>
  </si>
  <si>
    <t>黄冈市</t>
  </si>
  <si>
    <t>2018-36号地块(A-14号)</t>
  </si>
  <si>
    <t>商业/办公用地</t>
  </si>
  <si>
    <t>&lt;0.350</t>
  </si>
  <si>
    <t>挂牌</t>
  </si>
  <si>
    <t>其他商业服务业用地</t>
  </si>
  <si>
    <t/>
  </si>
  <si>
    <t>2025-02-11</t>
  </si>
  <si>
    <t>已成交</t>
  </si>
  <si>
    <t>湖北富金峰旅游开发有限公司</t>
  </si>
  <si>
    <t>2025-02-09 16:00</t>
  </si>
  <si>
    <t>2018-36号地块(A-18号)</t>
  </si>
  <si>
    <t>≤4.900</t>
  </si>
  <si>
    <t>2018-36号地块(A-07号)</t>
  </si>
  <si>
    <t>≤3.000</t>
  </si>
  <si>
    <t>2018-36号地块(A-16号)</t>
  </si>
  <si>
    <t>≤4.320</t>
  </si>
  <si>
    <t>2018-36号地块(A-02号)</t>
  </si>
  <si>
    <t>≤4.500</t>
  </si>
  <si>
    <t>2018-36号地块(A-12号)</t>
  </si>
  <si>
    <t>≤4.000</t>
  </si>
  <si>
    <t>黄州大道东侧,联通呼叫中心斜对面</t>
  </si>
  <si>
    <t>2024-2号地块</t>
  </si>
  <si>
    <t>≤1.500</t>
  </si>
  <si>
    <t>2024-12-26</t>
  </si>
  <si>
    <t>湖北轩锦和商贸有限公司</t>
  </si>
  <si>
    <t>2024-12-24 00:00</t>
  </si>
  <si>
    <t>新港大道以西,聆湖春天小区以北,谦盛学堂湾小区以东</t>
  </si>
  <si>
    <t>2023-15号</t>
  </si>
  <si>
    <t>2024-04-21</t>
  </si>
  <si>
    <t>黄冈市星和信息咨询有限公司</t>
  </si>
  <si>
    <t>2024-04-19 00:00</t>
  </si>
  <si>
    <t>黄冈高新区南湖工业园规划道路以南</t>
  </si>
  <si>
    <t>2023-18-2号地块</t>
  </si>
  <si>
    <t>≥1,≤2.4</t>
  </si>
  <si>
    <t>2024-02-19</t>
  </si>
  <si>
    <t>湖北省黄高精英教育咨询有限公司</t>
  </si>
  <si>
    <t>黄州区陈策楼镇杜家林村</t>
  </si>
  <si>
    <t>HZ2023-06号</t>
  </si>
  <si>
    <t>≤1.000</t>
  </si>
  <si>
    <t>2024-02-04</t>
  </si>
  <si>
    <t>湖北东河源农业开发有限公司</t>
  </si>
  <si>
    <t>2024-02-02 00:00</t>
  </si>
  <si>
    <t>一般</t>
  </si>
  <si>
    <t>六通</t>
  </si>
  <si>
    <t>较差</t>
  </si>
  <si>
    <t>系数</t>
    <phoneticPr fontId="134" type="noConversion"/>
  </si>
  <si>
    <t>售价</t>
    <phoneticPr fontId="134" type="noConversion"/>
  </si>
  <si>
    <t>年收入</t>
    <phoneticPr fontId="3" type="noConversion"/>
  </si>
  <si>
    <t>日租金</t>
    <phoneticPr fontId="3" type="noConversion"/>
  </si>
  <si>
    <t>黄冈店摊位信息表（截止2024年12月31日）</t>
  </si>
  <si>
    <t>序号</t>
  </si>
  <si>
    <t>业态</t>
  </si>
  <si>
    <t>摊位号</t>
  </si>
  <si>
    <t>商户名称</t>
  </si>
  <si>
    <t>品牌</t>
  </si>
  <si>
    <t>计租面积</t>
  </si>
  <si>
    <t>标准合计</t>
  </si>
  <si>
    <t>合同期起</t>
  </si>
  <si>
    <t>合同期止</t>
  </si>
  <si>
    <t>生活</t>
  </si>
  <si>
    <t>1815-1-1-013</t>
  </si>
  <si>
    <t>程伟</t>
  </si>
  <si>
    <t>霸王茶姬</t>
  </si>
  <si>
    <t>2024-03-01</t>
  </si>
  <si>
    <t>2027-02-28</t>
  </si>
  <si>
    <t>1815-1-1-017</t>
  </si>
  <si>
    <t>田明凤</t>
  </si>
  <si>
    <t>老庙黄金</t>
  </si>
  <si>
    <t>2024-03-11</t>
  </si>
  <si>
    <t>1815-1-1-040</t>
  </si>
  <si>
    <t>黄冈何世玉珠宝有限公司</t>
  </si>
  <si>
    <t>何世玉</t>
  </si>
  <si>
    <t>2024-04-01</t>
  </si>
  <si>
    <t>2026-01-31</t>
  </si>
  <si>
    <t>1815-1-1-047</t>
  </si>
  <si>
    <t>朱红梅</t>
  </si>
  <si>
    <t>AK冲锋机甲</t>
  </si>
  <si>
    <t>2024-08-01</t>
  </si>
  <si>
    <t>2025-06-30</t>
  </si>
  <si>
    <t>1815-1-1-056</t>
  </si>
  <si>
    <t>刘园峰</t>
  </si>
  <si>
    <t>耀咖</t>
  </si>
  <si>
    <t>1815-1-1-060</t>
  </si>
  <si>
    <t>王荷香</t>
  </si>
  <si>
    <t>超玩俱乐部</t>
  </si>
  <si>
    <t>2024-10-01</t>
  </si>
  <si>
    <t>2024-12-31</t>
  </si>
  <si>
    <t>1815-1-1-061</t>
  </si>
  <si>
    <t>梁静</t>
  </si>
  <si>
    <t>天珺</t>
  </si>
  <si>
    <t>1815-1-1-066</t>
  </si>
  <si>
    <t>邱萍</t>
  </si>
  <si>
    <t>库迪</t>
  </si>
  <si>
    <t>2023-09-01</t>
  </si>
  <si>
    <t>2025-08-31</t>
  </si>
  <si>
    <t>1815-1-1-067</t>
  </si>
  <si>
    <t>卢蔚</t>
  </si>
  <si>
    <t>茶百道大消费</t>
  </si>
  <si>
    <t>2024-02-01</t>
  </si>
  <si>
    <t>2025-07-31</t>
  </si>
  <si>
    <t>1815-1-1-071</t>
  </si>
  <si>
    <t>黄州区众磊通讯设备经营部</t>
  </si>
  <si>
    <t>荣耀</t>
  </si>
  <si>
    <t>1815-1-1-072</t>
  </si>
  <si>
    <t>瞿志伟</t>
  </si>
  <si>
    <t>苹果</t>
  </si>
  <si>
    <t>1815-1-1-073</t>
  </si>
  <si>
    <t>湖北九鼎通信有限公司</t>
  </si>
  <si>
    <t>OPPO</t>
  </si>
  <si>
    <t>1815-1-1-075</t>
  </si>
  <si>
    <t>湖北谷高通讯有限公司</t>
  </si>
  <si>
    <t>小米</t>
  </si>
  <si>
    <t>1815-1-1-076</t>
  </si>
  <si>
    <t>李栋梁</t>
  </si>
  <si>
    <t>华为数码</t>
  </si>
  <si>
    <t>2026-02-28</t>
  </si>
  <si>
    <t>1815-1-1-078</t>
  </si>
  <si>
    <t>湖北星巴克咖啡有限公司</t>
  </si>
  <si>
    <t>星巴克咖啡</t>
  </si>
  <si>
    <t>2039-04-30</t>
  </si>
  <si>
    <t>1815-1-1-079</t>
  </si>
  <si>
    <t>吴哲</t>
  </si>
  <si>
    <t>回力</t>
  </si>
  <si>
    <t>2025-03-31</t>
  </si>
  <si>
    <t>1815-1-1-080</t>
  </si>
  <si>
    <t>张桂文</t>
  </si>
  <si>
    <t>自然堂</t>
  </si>
  <si>
    <t>1815-1-1-081</t>
  </si>
  <si>
    <t>黄冈市黄州区融商供应链有限公司</t>
  </si>
  <si>
    <t>大消费其他类</t>
  </si>
  <si>
    <t>2024-07-01</t>
  </si>
  <si>
    <t>1815-1-1-1001</t>
  </si>
  <si>
    <t>黄冈市高诗婕服饰有限公司</t>
  </si>
  <si>
    <t>高诗婕</t>
  </si>
  <si>
    <t>1815-1-1-1002</t>
  </si>
  <si>
    <t>武汉鑫亿讯电子有限公司</t>
  </si>
  <si>
    <t>京东电脑数码</t>
  </si>
  <si>
    <t>2024-05-01</t>
  </si>
  <si>
    <t>2026-06-30</t>
  </si>
  <si>
    <t>1815-1-1-1003</t>
  </si>
  <si>
    <t>韩金玲</t>
  </si>
  <si>
    <t>UTI</t>
  </si>
  <si>
    <t>2025-01-31</t>
  </si>
  <si>
    <t>1815-1-1-1005</t>
  </si>
  <si>
    <t>黄冈百珏忧商贸有限公司</t>
  </si>
  <si>
    <t>百丽</t>
  </si>
  <si>
    <t>1815-1-1-1006</t>
  </si>
  <si>
    <t>黄冈昕然商贸有限公司</t>
  </si>
  <si>
    <t>阿迪达斯</t>
  </si>
  <si>
    <t>1815-1-1-1007</t>
  </si>
  <si>
    <t>丁华</t>
  </si>
  <si>
    <t>李宁</t>
  </si>
  <si>
    <t>1815-1-1-1008</t>
  </si>
  <si>
    <t>吴梦军</t>
  </si>
  <si>
    <t>千姿瑾</t>
  </si>
  <si>
    <t>1815-1-1-1009</t>
  </si>
  <si>
    <t>李克勤</t>
  </si>
  <si>
    <t>名创优品</t>
  </si>
  <si>
    <t>1815-1-1-1011</t>
  </si>
  <si>
    <t>黄冈市德顺餐饮管理有限公司</t>
  </si>
  <si>
    <t>肯德基</t>
  </si>
  <si>
    <t>2022-08-01</t>
  </si>
  <si>
    <t>2036-05-31</t>
  </si>
  <si>
    <t>1815-1-1-1012</t>
  </si>
  <si>
    <t>武汉市仟吉食品销售有限公司</t>
  </si>
  <si>
    <t>仟吉</t>
  </si>
  <si>
    <t>1815-1-1-1015</t>
  </si>
  <si>
    <t>耐克</t>
  </si>
  <si>
    <t>1815-1-1-1016</t>
  </si>
  <si>
    <t>黄冈当空珠宝有限公司</t>
  </si>
  <si>
    <t>周大福</t>
  </si>
  <si>
    <t>1815-1-1-1018</t>
  </si>
  <si>
    <t>周辉</t>
  </si>
  <si>
    <t>喜茶</t>
  </si>
  <si>
    <t>1815-1-1-1019</t>
  </si>
  <si>
    <t>黄冈鑫宏商贸有限公司</t>
  </si>
  <si>
    <t>周六福</t>
  </si>
  <si>
    <t>1815-1-1-1020</t>
  </si>
  <si>
    <t>郑建华</t>
  </si>
  <si>
    <t>老凤祥</t>
  </si>
  <si>
    <t>1815-1-1-1021</t>
  </si>
  <si>
    <t>杨安林</t>
  </si>
  <si>
    <t>泊伊美汇</t>
  </si>
  <si>
    <t>1815-1-1-1022</t>
  </si>
  <si>
    <t>朱义凯</t>
  </si>
  <si>
    <t>老上海</t>
  </si>
  <si>
    <t>1815-1-1-1023</t>
  </si>
  <si>
    <t>武汉金拱门食品有限公司</t>
  </si>
  <si>
    <t>麦当劳</t>
  </si>
  <si>
    <t>2036-01-31</t>
  </si>
  <si>
    <t>1815-1-1-1027</t>
  </si>
  <si>
    <t>陈初志</t>
  </si>
  <si>
    <t>盒子一百</t>
  </si>
  <si>
    <t>1815-1-1-1028</t>
  </si>
  <si>
    <t>汪建华</t>
  </si>
  <si>
    <t>良品铺子</t>
  </si>
  <si>
    <t>2027-01-31</t>
  </si>
  <si>
    <t>1815-1-1-1029</t>
  </si>
  <si>
    <t>武汉电信实业有限责任公司</t>
  </si>
  <si>
    <t>vivo手机</t>
  </si>
  <si>
    <t>1815-1-1-1031</t>
  </si>
  <si>
    <t>XG</t>
  </si>
  <si>
    <t>1815-1-1-1032</t>
  </si>
  <si>
    <t>商海艳</t>
  </si>
  <si>
    <t>瑞幸咖啡</t>
  </si>
  <si>
    <t>1815-1-1-1035</t>
  </si>
  <si>
    <t>吴祖利</t>
  </si>
  <si>
    <t>麦卡儿童乐园</t>
  </si>
  <si>
    <t>2026-04-30</t>
  </si>
  <si>
    <t>1815-1-1-999</t>
  </si>
  <si>
    <t>洞窝线上专用</t>
  </si>
  <si>
    <t>洞窝</t>
  </si>
  <si>
    <t>2024-02-27</t>
  </si>
  <si>
    <t>2025-12-31</t>
  </si>
  <si>
    <t>1815-1-2-008</t>
  </si>
  <si>
    <t>1815-1-2-009</t>
  </si>
  <si>
    <t>周婷</t>
  </si>
  <si>
    <t>熙熙美甲美睫</t>
  </si>
  <si>
    <t>1815-1-2-035</t>
  </si>
  <si>
    <t>高檬檬</t>
  </si>
  <si>
    <t>乖乐星</t>
  </si>
  <si>
    <t>1815-1-2-038</t>
  </si>
  <si>
    <t>黄冈梦之洋文化艺术有限公司</t>
  </si>
  <si>
    <t>梦之洋</t>
  </si>
  <si>
    <t>2022-03-20</t>
  </si>
  <si>
    <t>2027-03-19</t>
  </si>
  <si>
    <t>1815-1-2-039</t>
  </si>
  <si>
    <t>湖北潮柒文化传媒有限公司</t>
  </si>
  <si>
    <t>零七一三街舞</t>
  </si>
  <si>
    <t>2022-10-01</t>
  </si>
  <si>
    <t>2027-06-30</t>
  </si>
  <si>
    <t>1815-1-2-041</t>
  </si>
  <si>
    <t>戴红梅</t>
  </si>
  <si>
    <t>青苹果宝贝</t>
  </si>
  <si>
    <t>2022-09-16</t>
  </si>
  <si>
    <t>1815-1-2-042</t>
  </si>
  <si>
    <t>叶茂</t>
  </si>
  <si>
    <t>皇家迪智尼</t>
  </si>
  <si>
    <t>1815-1-2-043</t>
  </si>
  <si>
    <t>2024-11-01</t>
  </si>
  <si>
    <t>1815-1-2-045</t>
  </si>
  <si>
    <t>黄冈海之音品弦艺术培训有限公司</t>
  </si>
  <si>
    <t>海之音</t>
  </si>
  <si>
    <t>1815-1-2-1001</t>
  </si>
  <si>
    <t>刘慧利</t>
  </si>
  <si>
    <t>金利来鞋服</t>
  </si>
  <si>
    <t>1815-1-2-1002</t>
  </si>
  <si>
    <t>唐国东</t>
  </si>
  <si>
    <t>恒源祥男装</t>
  </si>
  <si>
    <t>1815-1-2-1003</t>
  </si>
  <si>
    <t>鄂尔多斯男装</t>
  </si>
  <si>
    <t>1815-1-2-1005</t>
  </si>
  <si>
    <t>迪柯尼</t>
  </si>
  <si>
    <t>1815-1-2-1006</t>
  </si>
  <si>
    <t>虎都</t>
  </si>
  <si>
    <t>1815-1-2-1007</t>
  </si>
  <si>
    <t>JEEP</t>
  </si>
  <si>
    <t>1815-1-2-1008</t>
  </si>
  <si>
    <t>漆玉凤</t>
  </si>
  <si>
    <t>萱米娜</t>
  </si>
  <si>
    <t>1815-1-2-1009</t>
  </si>
  <si>
    <t>李军</t>
  </si>
  <si>
    <t>拓路者</t>
  </si>
  <si>
    <t>1815-1-2-1010</t>
  </si>
  <si>
    <t>唐曼</t>
  </si>
  <si>
    <t>肤小颜</t>
  </si>
  <si>
    <t>2023-05-01</t>
  </si>
  <si>
    <t>2025-04-30</t>
  </si>
  <si>
    <t>1815-1-2-1011</t>
  </si>
  <si>
    <t>付志琦</t>
  </si>
  <si>
    <t>佐尔美</t>
  </si>
  <si>
    <t>1815-1-2-1012</t>
  </si>
  <si>
    <t>李成龙</t>
  </si>
  <si>
    <t>罗蒙男装</t>
  </si>
  <si>
    <t>1815-1-2-1013</t>
  </si>
  <si>
    <t>湖北美尔雅销售有限公司</t>
  </si>
  <si>
    <t>美尔雅</t>
  </si>
  <si>
    <t>1815-1-2-1015</t>
  </si>
  <si>
    <t>黄健(黄州)</t>
  </si>
  <si>
    <t>柠檬公园</t>
  </si>
  <si>
    <t>1815-1-2-1016</t>
  </si>
  <si>
    <t>周丽</t>
  </si>
  <si>
    <t>艾娃</t>
  </si>
  <si>
    <t>1815-1-2-1017</t>
  </si>
  <si>
    <t>吴志华</t>
  </si>
  <si>
    <t>贝茜妮</t>
  </si>
  <si>
    <t>2024-01-01</t>
  </si>
  <si>
    <t>1815-1-2-1018</t>
  </si>
  <si>
    <t>刘代义</t>
  </si>
  <si>
    <t>恩瑞妮</t>
  </si>
  <si>
    <t>1815-1-2-1019</t>
  </si>
  <si>
    <t>贺博</t>
  </si>
  <si>
    <t>梓珈</t>
  </si>
  <si>
    <t>1815-1-2-1020</t>
  </si>
  <si>
    <t>刘勇</t>
  </si>
  <si>
    <t>唯弋</t>
  </si>
  <si>
    <t>1815-1-2-1021</t>
  </si>
  <si>
    <t>戴翠</t>
  </si>
  <si>
    <t>月芽儿</t>
  </si>
  <si>
    <t>2024-06-01</t>
  </si>
  <si>
    <t>1815-1-2-1022</t>
  </si>
  <si>
    <t>赵运强</t>
  </si>
  <si>
    <t>樊文花</t>
  </si>
  <si>
    <t>2023-04-01</t>
  </si>
  <si>
    <t>1815-1-2-1023</t>
  </si>
  <si>
    <t>2029-01-31</t>
  </si>
  <si>
    <t>1815-1-2-1026</t>
  </si>
  <si>
    <t>陈晓丹</t>
  </si>
  <si>
    <t>1815-1-2-1027</t>
  </si>
  <si>
    <t>黄冈市黄州区恒立服装经营部</t>
  </si>
  <si>
    <t>金利来男装</t>
  </si>
  <si>
    <t>1815-1-2-1028</t>
  </si>
  <si>
    <t>1815-1-2-1029</t>
  </si>
  <si>
    <t>刘伯友</t>
  </si>
  <si>
    <t>弹珠堂</t>
  </si>
  <si>
    <t>1815-1-2-1030</t>
  </si>
  <si>
    <t>骆驼服饰</t>
  </si>
  <si>
    <t>1815-1-2-1031</t>
  </si>
  <si>
    <t>陈健</t>
  </si>
  <si>
    <t>服装改装</t>
  </si>
  <si>
    <t>家居</t>
  </si>
  <si>
    <t>1815-1-3-025</t>
  </si>
  <si>
    <t>沈昌龙</t>
  </si>
  <si>
    <t>荣泰</t>
  </si>
  <si>
    <t>1815-1-3-026</t>
  </si>
  <si>
    <t>胡回平</t>
  </si>
  <si>
    <t>广饰汇家居饰品</t>
  </si>
  <si>
    <t>1815-1-3-028</t>
  </si>
  <si>
    <t>黄欢</t>
  </si>
  <si>
    <t>星耀台球</t>
  </si>
  <si>
    <t>2024-08-18</t>
  </si>
  <si>
    <t>1815-1-3-1001</t>
  </si>
  <si>
    <t>汪景</t>
  </si>
  <si>
    <t>舒达</t>
  </si>
  <si>
    <t>2024-12-01</t>
  </si>
  <si>
    <t>1815-1-3-1002</t>
  </si>
  <si>
    <t>王甜甜</t>
  </si>
  <si>
    <t>慕思</t>
  </si>
  <si>
    <t>1815-1-3-1003</t>
  </si>
  <si>
    <t>刘金红</t>
  </si>
  <si>
    <t>喜临门</t>
  </si>
  <si>
    <t>1815-1-3-1005</t>
  </si>
  <si>
    <t>曹伟</t>
  </si>
  <si>
    <t>1815-1-3-1008</t>
  </si>
  <si>
    <t>钱坤</t>
  </si>
  <si>
    <t>快乐电堂</t>
  </si>
  <si>
    <t>2024-11-18</t>
  </si>
  <si>
    <t>2030-06-30</t>
  </si>
  <si>
    <t>1815-1-3-1011</t>
  </si>
  <si>
    <t>杨建涛</t>
  </si>
  <si>
    <t>顾家</t>
  </si>
  <si>
    <t>1815-1-3-1012</t>
  </si>
  <si>
    <t>曾欢</t>
  </si>
  <si>
    <t>MD</t>
  </si>
  <si>
    <t>1815-1-3-1013</t>
  </si>
  <si>
    <t>王建国</t>
  </si>
  <si>
    <t>芝华仕</t>
  </si>
  <si>
    <t>1815-1-3-1015</t>
  </si>
  <si>
    <t>1815-1-3-1016</t>
  </si>
  <si>
    <t>1815-1-3-1017</t>
  </si>
  <si>
    <t>刘晓卫</t>
  </si>
  <si>
    <t>丝涟</t>
  </si>
  <si>
    <t>1815-1-3-1018</t>
  </si>
  <si>
    <t>周木军</t>
  </si>
  <si>
    <t>左右</t>
  </si>
  <si>
    <t>1815-1-3-1019</t>
  </si>
  <si>
    <t>1815-1-3-1020</t>
  </si>
  <si>
    <t>1815-1-3-1021</t>
  </si>
  <si>
    <t>董小妹</t>
  </si>
  <si>
    <t>卡姿莱特</t>
  </si>
  <si>
    <t>1815-1-4-029</t>
  </si>
  <si>
    <t>江远飞</t>
  </si>
  <si>
    <t>林氏家居</t>
  </si>
  <si>
    <t>1815-1-4-031</t>
  </si>
  <si>
    <t>胡浩</t>
  </si>
  <si>
    <t>欧派</t>
  </si>
  <si>
    <t>1815-1-4-032</t>
  </si>
  <si>
    <t>1815-1-4-033</t>
  </si>
  <si>
    <t>何新</t>
  </si>
  <si>
    <t>美的</t>
  </si>
  <si>
    <t>1815-1-4-035</t>
  </si>
  <si>
    <t>郑利君</t>
  </si>
  <si>
    <t>皮阿诺</t>
  </si>
  <si>
    <t>1815-1-4-036</t>
  </si>
  <si>
    <t>陈文翠</t>
  </si>
  <si>
    <t>源氏木语</t>
  </si>
  <si>
    <t>1815-1-4-1001</t>
  </si>
  <si>
    <t>潘林</t>
  </si>
  <si>
    <t>万和</t>
  </si>
  <si>
    <t>1815-1-4-1002</t>
  </si>
  <si>
    <t>刘永</t>
  </si>
  <si>
    <t>顾家定制</t>
  </si>
  <si>
    <t>1815-1-4-1012</t>
  </si>
  <si>
    <t>刘倩</t>
  </si>
  <si>
    <t>索菲亚</t>
  </si>
  <si>
    <t>1815-1-4-1013</t>
  </si>
  <si>
    <t>1815-1-4-1015</t>
  </si>
  <si>
    <t>冯淑萍</t>
  </si>
  <si>
    <t>全友</t>
  </si>
  <si>
    <t>1815-1-4-1018</t>
  </si>
  <si>
    <t>华帝</t>
  </si>
  <si>
    <t>1815-1-4-1019</t>
  </si>
  <si>
    <t>陈学华</t>
  </si>
  <si>
    <t>方太电器</t>
  </si>
  <si>
    <t>1815-1-4-1020</t>
  </si>
  <si>
    <t>邹一洁</t>
  </si>
  <si>
    <t>格力</t>
  </si>
  <si>
    <t>1815-1-4-1021</t>
  </si>
  <si>
    <t>雷建新</t>
  </si>
  <si>
    <t>安吉尔</t>
  </si>
  <si>
    <t>1815-1-4-1022</t>
  </si>
  <si>
    <t>苏宁易购</t>
  </si>
  <si>
    <t>1815-1-4-1023</t>
  </si>
  <si>
    <t>湖北有一家智能科技有限公司</t>
  </si>
  <si>
    <t>AQara|绿米</t>
  </si>
  <si>
    <t>1815-1-4-1025</t>
  </si>
  <si>
    <t>张红艺</t>
  </si>
  <si>
    <t>老板电器</t>
  </si>
  <si>
    <t>1815-1-5-022</t>
  </si>
  <si>
    <t>朱艳军</t>
  </si>
  <si>
    <t>蜀渔粥道</t>
  </si>
  <si>
    <t>1815-1-5-025</t>
  </si>
  <si>
    <t>陈倩</t>
  </si>
  <si>
    <t>茶色笙香</t>
  </si>
  <si>
    <t>1815-1-5-028</t>
  </si>
  <si>
    <t>周媛</t>
  </si>
  <si>
    <t>一捧饭团</t>
  </si>
  <si>
    <t>1815-1-5-029</t>
  </si>
  <si>
    <t>姥姥豆花</t>
  </si>
  <si>
    <t>1815-1-5-030</t>
  </si>
  <si>
    <t>梅淋睿</t>
  </si>
  <si>
    <t>麻辣代言</t>
  </si>
  <si>
    <t>1815-1-5-032</t>
  </si>
  <si>
    <t>武汉富得利德餐饮管理有限公司黄州八一路分公司</t>
  </si>
  <si>
    <t>COCO都可奶茶</t>
  </si>
  <si>
    <t>1815-1-5-1001</t>
  </si>
  <si>
    <t>钟鹏</t>
  </si>
  <si>
    <t>天天渔港</t>
  </si>
  <si>
    <t>1815-1-5-1002</t>
  </si>
  <si>
    <t>陶德林</t>
  </si>
  <si>
    <t>和番丼饭</t>
  </si>
  <si>
    <t>1815-1-5-1003</t>
  </si>
  <si>
    <t>1815-1-5-1005</t>
  </si>
  <si>
    <t>邱磊</t>
  </si>
  <si>
    <t>醉得意</t>
  </si>
  <si>
    <t>2023-11-01</t>
  </si>
  <si>
    <t>2027-10-31</t>
  </si>
  <si>
    <t>1815-1-5-1006</t>
  </si>
  <si>
    <t>喻炜</t>
  </si>
  <si>
    <t>青瓦炭</t>
  </si>
  <si>
    <t>1815-1-5-1008</t>
  </si>
  <si>
    <t>绿茵阁</t>
  </si>
  <si>
    <t>1815-1-5-1009</t>
  </si>
  <si>
    <t>许志东</t>
  </si>
  <si>
    <t>阳光利亚</t>
  </si>
  <si>
    <t>1815-1-5-1010</t>
  </si>
  <si>
    <t>德庄</t>
  </si>
  <si>
    <t>1815-1-5-1011</t>
  </si>
  <si>
    <t>痞子牛肉</t>
  </si>
  <si>
    <t>1815-1-5-1012</t>
  </si>
  <si>
    <t>鲁光川</t>
  </si>
  <si>
    <t>酒拾烤肉</t>
  </si>
  <si>
    <t>1815-1-5-1013</t>
  </si>
  <si>
    <t>1815-1-5-1015</t>
  </si>
  <si>
    <t>茶的三次方</t>
  </si>
  <si>
    <t>1815-1-5-1016</t>
  </si>
  <si>
    <t>田柠</t>
  </si>
  <si>
    <t>汤师妹</t>
  </si>
  <si>
    <t>1815-1-5-1017</t>
  </si>
  <si>
    <t>戴黎明</t>
  </si>
  <si>
    <t>吉阿婆</t>
  </si>
  <si>
    <t>1815-1-5-1018</t>
  </si>
  <si>
    <t>横店影视股份有限公司黄冈分公司</t>
  </si>
  <si>
    <t>横店影城</t>
  </si>
  <si>
    <t>1815-1-5-1019</t>
  </si>
  <si>
    <t>怂土豆</t>
  </si>
  <si>
    <t>1815-1-5-8003</t>
  </si>
  <si>
    <t>熊超</t>
  </si>
  <si>
    <t>港饮之港</t>
  </si>
  <si>
    <t>1815-1-5-8005</t>
  </si>
  <si>
    <t>何五莉</t>
  </si>
  <si>
    <t>饼哈哈</t>
  </si>
  <si>
    <t>1815-1-5-8006</t>
  </si>
  <si>
    <t>熊楚兰</t>
  </si>
  <si>
    <t>桥西楼东</t>
  </si>
  <si>
    <t>1815-1-5-8007</t>
  </si>
  <si>
    <t>肖腾达</t>
  </si>
  <si>
    <t>老帅爷王</t>
  </si>
  <si>
    <t>1815-1-5-8010</t>
  </si>
  <si>
    <t>罗杰</t>
  </si>
  <si>
    <t>罗三郎烤串</t>
  </si>
  <si>
    <t>1815-1-6-015</t>
  </si>
  <si>
    <t>王战友</t>
  </si>
  <si>
    <t>深海渔场</t>
  </si>
  <si>
    <t>1815-1-6-016</t>
  </si>
  <si>
    <t>1815-1-6-017</t>
  </si>
  <si>
    <t>康红祥</t>
  </si>
  <si>
    <t>谢蟹浓</t>
  </si>
  <si>
    <t>1815-1-6-018</t>
  </si>
  <si>
    <t>祝愿</t>
  </si>
  <si>
    <t>刘一手</t>
  </si>
  <si>
    <t>1815-1-6-020</t>
  </si>
  <si>
    <t>王静</t>
  </si>
  <si>
    <t>波比艾斯</t>
  </si>
  <si>
    <t>2024-03-25</t>
  </si>
  <si>
    <t>1815-1-6-021</t>
  </si>
  <si>
    <t>曹亚兰</t>
  </si>
  <si>
    <t>中国体育彩票</t>
  </si>
  <si>
    <t>1815-1-6-022</t>
  </si>
  <si>
    <t>黄冈家居生活MALL前置仓</t>
  </si>
  <si>
    <t>前置仓</t>
  </si>
  <si>
    <t>1815-1-6-023</t>
  </si>
  <si>
    <t>王亮</t>
  </si>
  <si>
    <t>盛幸巴</t>
  </si>
  <si>
    <t>1815-1-6-1001</t>
  </si>
  <si>
    <t>武汉捞派餐饮管理有限公司黄冈第一分公司</t>
  </si>
  <si>
    <t>海底捞</t>
  </si>
  <si>
    <t>2021-06-10</t>
  </si>
  <si>
    <t>2031-06-09</t>
  </si>
  <si>
    <t>1815-1-6-1002</t>
  </si>
  <si>
    <t>余雷</t>
  </si>
  <si>
    <t>懒谈秦</t>
  </si>
  <si>
    <t>1815-1-6-1003</t>
  </si>
  <si>
    <t>1815-1-6-1005</t>
  </si>
  <si>
    <t>2022-08-27</t>
  </si>
  <si>
    <t>1815-1-6-1006</t>
  </si>
  <si>
    <t>来罐</t>
  </si>
  <si>
    <t>1815-1-6-1007</t>
  </si>
  <si>
    <t>吴静</t>
  </si>
  <si>
    <t>蹦哒吧蛙噻</t>
  </si>
  <si>
    <t>1815-1-6-1008</t>
  </si>
  <si>
    <t>陈俊</t>
  </si>
  <si>
    <t>吾饮良品</t>
  </si>
  <si>
    <t>1815-1-6-1009</t>
  </si>
  <si>
    <t>陈亮</t>
  </si>
  <si>
    <t>拾光发型</t>
  </si>
  <si>
    <t>1815-1-6-1011</t>
  </si>
  <si>
    <t>1815-1-7-002</t>
  </si>
  <si>
    <t>胡祁静</t>
  </si>
  <si>
    <t>篮球川</t>
  </si>
  <si>
    <t>2025-02-28</t>
  </si>
  <si>
    <t>1815-1-7-1001</t>
  </si>
  <si>
    <t>张明</t>
  </si>
  <si>
    <t>菲特</t>
  </si>
  <si>
    <t>1815-1-B-002</t>
  </si>
  <si>
    <t>湖北黄商集团股份有限公司</t>
  </si>
  <si>
    <t>黄商</t>
  </si>
  <si>
    <t>2021-09-01</t>
  </si>
  <si>
    <t>1815-1-B-1001</t>
  </si>
  <si>
    <t>1815-2-1-003</t>
  </si>
  <si>
    <t>杨慧慧</t>
  </si>
  <si>
    <t>尊宝比萨</t>
  </si>
  <si>
    <t>1815-2-1-004</t>
  </si>
  <si>
    <t>林勇平</t>
  </si>
  <si>
    <t>金之诺</t>
  </si>
  <si>
    <t>1815-2-1-005</t>
  </si>
  <si>
    <t>宋细汉</t>
  </si>
  <si>
    <t>冒胖子</t>
  </si>
  <si>
    <t>1815-2-1-007</t>
  </si>
  <si>
    <t>汪萍</t>
  </si>
  <si>
    <t>五谷鱼粉</t>
  </si>
  <si>
    <t>1815-2-1-008</t>
  </si>
  <si>
    <t>陈巧云</t>
  </si>
  <si>
    <t>大铁牛螺蛳粉</t>
  </si>
  <si>
    <t>2024-05-15</t>
  </si>
  <si>
    <t>1815-2-1-011</t>
  </si>
  <si>
    <t>甘凯</t>
  </si>
  <si>
    <t>湘厨辣椒炒肉</t>
  </si>
  <si>
    <t>1815-2-1-012</t>
  </si>
  <si>
    <t>蒋月平</t>
  </si>
  <si>
    <t>潮汕猪脚饭</t>
  </si>
  <si>
    <t>1815-2-1-013</t>
  </si>
  <si>
    <t>胡建国</t>
  </si>
  <si>
    <t>牛羊肉粉面</t>
  </si>
  <si>
    <t>1815-2-1-015</t>
  </si>
  <si>
    <t>黄玉姣</t>
  </si>
  <si>
    <t>湘情小碗菜</t>
  </si>
  <si>
    <t>1815-2-1-018</t>
  </si>
  <si>
    <t>李涛</t>
  </si>
  <si>
    <t>兰州拉面</t>
  </si>
  <si>
    <t>1815-2-1-019</t>
  </si>
  <si>
    <t>程自明</t>
  </si>
  <si>
    <t>喜宝家常菜</t>
  </si>
  <si>
    <t>1815-2-1-020</t>
  </si>
  <si>
    <t>严雪龙</t>
  </si>
  <si>
    <t>牛久哥牛肉盖饭</t>
  </si>
  <si>
    <t>1815-2-1-021</t>
  </si>
  <si>
    <t>王弈多</t>
  </si>
  <si>
    <t>楚山牛炒饭</t>
  </si>
  <si>
    <t>1815-2-1-022</t>
  </si>
  <si>
    <t>叶万根</t>
  </si>
  <si>
    <t>沙县小吃</t>
  </si>
  <si>
    <t>1815-2-1-023</t>
  </si>
  <si>
    <t>叶莹</t>
  </si>
  <si>
    <t>黑白电视长沙小吃</t>
  </si>
  <si>
    <t>1815-2-1-118</t>
  </si>
  <si>
    <t>湖北慧洗环保科技有限公司</t>
  </si>
  <si>
    <t>慧洗自助洗车</t>
  </si>
  <si>
    <t>1815-2-2-003</t>
  </si>
  <si>
    <t>黄冈世禾口腔诊所有限责任公司</t>
  </si>
  <si>
    <t>世禾口腔</t>
  </si>
  <si>
    <t>2028-02-05</t>
  </si>
  <si>
    <t>1815-2-3-001</t>
  </si>
  <si>
    <t>熊爱军</t>
  </si>
  <si>
    <t>艺海艺术</t>
  </si>
  <si>
    <t>1815-2-3-003</t>
  </si>
  <si>
    <t>较规则</t>
    <phoneticPr fontId="30" type="noConversion"/>
  </si>
  <si>
    <t>较适宜</t>
    <phoneticPr fontId="30" type="noConversion"/>
  </si>
  <si>
    <t>六通</t>
    <phoneticPr fontId="30" type="noConversion"/>
  </si>
  <si>
    <t>较好</t>
    <phoneticPr fontId="30" type="noConversion"/>
  </si>
  <si>
    <t>附图楼层</t>
    <phoneticPr fontId="134" type="noConversion"/>
  </si>
  <si>
    <t>序号</t>
    <phoneticPr fontId="134" type="noConversion"/>
  </si>
  <si>
    <t>坐落</t>
    <phoneticPr fontId="134" type="noConversion"/>
  </si>
  <si>
    <r>
      <t>黄州区胜利街</t>
    </r>
    <r>
      <rPr>
        <sz val="10.5"/>
        <color theme="1"/>
        <rFont val="Arial"/>
        <family val="2"/>
      </rPr>
      <t>88</t>
    </r>
    <r>
      <rPr>
        <sz val="10.5"/>
        <color theme="1"/>
        <rFont val="宋体"/>
        <family val="3"/>
        <charset val="134"/>
        <scheme val="minor"/>
      </rPr>
      <t>号黄冈居然之家垂直森林城市综合体</t>
    </r>
    <r>
      <rPr>
        <sz val="10.5"/>
        <color theme="1"/>
        <rFont val="Arial"/>
        <family val="2"/>
      </rPr>
      <t>3</t>
    </r>
    <r>
      <rPr>
        <sz val="10.5"/>
        <color theme="1"/>
        <rFont val="宋体"/>
        <family val="3"/>
        <charset val="134"/>
        <scheme val="minor"/>
      </rPr>
      <t>、</t>
    </r>
    <r>
      <rPr>
        <sz val="10.5"/>
        <color theme="1"/>
        <rFont val="Arial"/>
        <family val="2"/>
      </rPr>
      <t>5</t>
    </r>
    <r>
      <rPr>
        <sz val="10.5"/>
        <color theme="1"/>
        <rFont val="宋体"/>
        <family val="3"/>
        <charset val="134"/>
        <scheme val="minor"/>
      </rPr>
      <t>、</t>
    </r>
    <r>
      <rPr>
        <sz val="10.5"/>
        <color theme="1"/>
        <rFont val="Arial"/>
        <family val="2"/>
      </rPr>
      <t>6</t>
    </r>
    <r>
      <rPr>
        <sz val="10.5"/>
        <color theme="1"/>
        <rFont val="宋体"/>
        <family val="3"/>
        <charset val="134"/>
        <scheme val="minor"/>
      </rPr>
      <t>、</t>
    </r>
    <r>
      <rPr>
        <sz val="10.5"/>
        <color theme="1"/>
        <rFont val="Arial"/>
        <family val="2"/>
      </rPr>
      <t>7</t>
    </r>
    <r>
      <rPr>
        <sz val="10.5"/>
        <color theme="1"/>
        <rFont val="宋体"/>
        <family val="3"/>
        <charset val="134"/>
        <scheme val="minor"/>
      </rPr>
      <t>幢</t>
    </r>
  </si>
  <si>
    <t>所在楼层</t>
    <phoneticPr fontId="134" type="noConversion"/>
  </si>
  <si>
    <t>不动产权证书证号</t>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</si>
  <si>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0005945</t>
    </r>
    <r>
      <rPr>
        <sz val="10.5"/>
        <color theme="1"/>
        <rFont val="宋体"/>
        <family val="3"/>
        <charset val="134"/>
        <scheme val="minor"/>
      </rPr>
      <t>号</t>
    </r>
  </si>
  <si>
    <r>
      <t>鄂（</t>
    </r>
    <r>
      <rPr>
        <sz val="10.5"/>
        <color theme="1"/>
        <rFont val="Arial"/>
        <family val="2"/>
      </rPr>
      <t>2022</t>
    </r>
    <r>
      <rPr>
        <sz val="10.5"/>
        <color theme="1"/>
        <rFont val="宋体"/>
        <family val="3"/>
        <charset val="134"/>
        <scheme val="minor"/>
      </rPr>
      <t>）黄冈市不动产权第</t>
    </r>
    <r>
      <rPr>
        <sz val="10.5"/>
        <color theme="1"/>
        <rFont val="Arial"/>
        <family val="2"/>
      </rPr>
      <t>0005946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</si>
  <si>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0006007</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</si>
  <si>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0087176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</si>
  <si>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0006024</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</si>
  <si>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0087181</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</si>
  <si>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0087189</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</si>
  <si>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0087197</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</si>
  <si>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0087203</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</si>
  <si>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0087204</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</si>
  <si>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</si>
  <si>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</si>
  <si>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</si>
  <si>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</si>
  <si>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</si>
  <si>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</si>
  <si>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</si>
  <si>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0006068</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</si>
  <si>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</si>
  <si>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</si>
  <si>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</si>
  <si>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</si>
  <si>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</si>
  <si>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</si>
  <si>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</si>
  <si>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</si>
  <si>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</si>
  <si>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</si>
  <si>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</si>
  <si>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</si>
  <si>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</si>
  <si>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</si>
  <si>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</si>
  <si>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</si>
  <si>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</si>
  <si>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</si>
  <si>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</si>
  <si>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0006178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</si>
  <si>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</si>
  <si>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</si>
  <si>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0006122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</si>
  <si>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</si>
  <si>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0006120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</si>
  <si>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</si>
  <si>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</si>
  <si>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</si>
  <si>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</si>
  <si>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</si>
  <si>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</si>
  <si>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</si>
  <si>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</si>
  <si>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</si>
  <si>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</si>
  <si>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</si>
  <si>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</si>
  <si>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</si>
  <si>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</si>
  <si>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</si>
  <si>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0006092</t>
    </r>
    <r>
      <rPr>
        <sz val="10.5"/>
        <color theme="1"/>
        <rFont val="宋体"/>
        <family val="3"/>
        <charset val="134"/>
        <scheme val="minor"/>
      </rPr>
      <t>号</t>
    </r>
    <phoneticPr fontId="134" type="noConversion"/>
  </si>
  <si>
    <t>容积率修正</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</si>
</sst>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b/>
      <sz val="14"/>
      <name val="宋体"/>
      <family val="3"/>
      <charset val="134"/>
    </font>
    <font>
      <sz val="10.5"/>
      <color theme="1"/>
      <name val="宋体"/>
      <family val="3"/>
      <charset val="134"/>
      <scheme val="minor"/>
    </font>
    <fon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xf numFmtId="0" fontId="36" fillId="0" borderId="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77" fillId="12" borderId="0" xfId="0" applyFont="1" applyFill="1" applyProtection="1">
      <alignment vertical="center"/>
      <protection locked="0"/>
    </xf>
    <xf numFmtId="0" fontId="36" fillId="0" borderId="0" xfId="20">
      <alignment vertical="center"/>
    </xf>
    <xf numFmtId="0" fontId="135" fillId="0" borderId="1" xfId="20" applyFont="1" applyBorder="1" applyAlignment="1">
      <alignment horizontal="center" vertical="center"/>
    </xf>
    <xf numFmtId="0" fontId="135" fillId="0" borderId="1" xfId="20" applyFont="1" applyBorder="1" applyAlignment="1">
      <alignment horizontal="left" vertical="center" wrapText="1"/>
    </xf>
    <xf numFmtId="0" fontId="135" fillId="0" borderId="1" xfId="20" applyFont="1" applyBorder="1" applyAlignment="1">
      <alignment horizontal="left" vertical="center"/>
    </xf>
    <xf numFmtId="0" fontId="135" fillId="0" borderId="176" xfId="20" applyFont="1" applyBorder="1" applyAlignment="1">
      <alignment horizontal="center" vertical="center"/>
    </xf>
    <xf numFmtId="0" fontId="58" fillId="0" borderId="1" xfId="20" applyFont="1" applyBorder="1" applyAlignment="1">
      <alignment horizontal="center" vertical="center"/>
    </xf>
    <xf numFmtId="0" fontId="36" fillId="0" borderId="1" xfId="20" applyBorder="1" applyAlignment="1">
      <alignment horizontal="center" vertical="center"/>
    </xf>
    <xf numFmtId="0" fontId="58" fillId="0" borderId="1" xfId="20" applyFont="1" applyBorder="1" applyAlignment="1">
      <alignment horizontal="left" vertical="center" wrapText="1"/>
    </xf>
    <xf numFmtId="0" fontId="58" fillId="0" borderId="1" xfId="20" applyFont="1" applyBorder="1" applyAlignment="1">
      <alignment horizontal="left" vertical="center"/>
    </xf>
    <xf numFmtId="0" fontId="58" fillId="0" borderId="176" xfId="20" applyFont="1" applyBorder="1" applyAlignment="1">
      <alignment horizontal="center" vertical="center"/>
    </xf>
    <xf numFmtId="0" fontId="36" fillId="0" borderId="1" xfId="20" applyBorder="1" applyAlignment="1">
      <alignment horizontal="left" vertical="center"/>
    </xf>
    <xf numFmtId="0" fontId="36" fillId="0" borderId="1" xfId="20" applyBorder="1" applyAlignment="1">
      <alignment horizontal="left" vertical="center" wrapText="1"/>
    </xf>
    <xf numFmtId="14" fontId="58" fillId="0" borderId="1" xfId="20" applyNumberFormat="1" applyFont="1" applyBorder="1" applyAlignment="1">
      <alignment horizontal="center" vertical="center"/>
    </xf>
    <xf numFmtId="14" fontId="58" fillId="0" borderId="176" xfId="20" applyNumberFormat="1" applyFont="1" applyBorder="1" applyAlignment="1">
      <alignment horizontal="center" vertical="center"/>
    </xf>
    <xf numFmtId="0" fontId="58" fillId="0" borderId="177" xfId="20" applyFont="1" applyBorder="1" applyAlignment="1">
      <alignment horizontal="center" vertical="center"/>
    </xf>
    <xf numFmtId="0" fontId="135" fillId="0" borderId="177" xfId="20" applyFont="1" applyBorder="1" applyAlignment="1">
      <alignment horizontal="center" vertical="center"/>
    </xf>
    <xf numFmtId="0" fontId="135" fillId="0" borderId="177" xfId="20" applyFont="1" applyBorder="1" applyAlignment="1">
      <alignment horizontal="left" vertical="center" wrapText="1"/>
    </xf>
    <xf numFmtId="0" fontId="135" fillId="0" borderId="177" xfId="20" applyFont="1" applyBorder="1" applyAlignment="1">
      <alignment horizontal="left" vertical="center"/>
    </xf>
    <xf numFmtId="0" fontId="135" fillId="0" borderId="178" xfId="20" applyFont="1" applyBorder="1" applyAlignment="1">
      <alignment horizontal="center" vertical="center"/>
    </xf>
    <xf numFmtId="0" fontId="36" fillId="0" borderId="0" xfId="20" applyAlignment="1">
      <alignment vertical="center" wrapText="1"/>
    </xf>
    <xf numFmtId="49" fontId="94" fillId="2" borderId="23"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1" fontId="0" fillId="0" borderId="0" xfId="0" applyNumberFormat="1">
      <alignment vertical="center"/>
    </xf>
    <xf numFmtId="10" fontId="0" fillId="0" borderId="0" xfId="17" applyNumberFormat="1" applyFont="1">
      <alignment vertical="center"/>
    </xf>
    <xf numFmtId="0" fontId="0" fillId="0" borderId="1" xfId="0" applyBorder="1" applyAlignment="1">
      <alignment horizontal="left" vertical="center"/>
    </xf>
    <xf numFmtId="0" fontId="273" fillId="0" borderId="1" xfId="0" applyFont="1" applyBorder="1" applyAlignment="1">
      <alignment horizontal="left" vertical="center"/>
    </xf>
    <xf numFmtId="0" fontId="273" fillId="0" borderId="1" xfId="0" applyFont="1" applyBorder="1">
      <alignment vertical="center"/>
    </xf>
    <xf numFmtId="0" fontId="0" fillId="0" borderId="1" xfId="0" applyBorder="1">
      <alignment vertical="center"/>
    </xf>
    <xf numFmtId="180" fontId="47" fillId="0" borderId="1" xfId="0" applyNumberFormat="1" applyFont="1" applyBorder="1" applyAlignment="1" applyProtection="1">
      <alignment horizontal="center" vertical="center" wrapText="1"/>
      <protection locked="0"/>
    </xf>
    <xf numFmtId="2" fontId="46" fillId="6" borderId="13" xfId="0" applyNumberFormat="1"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71" fillId="0" borderId="0" xfId="19"/>
    <xf numFmtId="0" fontId="271" fillId="5" borderId="0" xfId="19" applyFill="1"/>
    <xf numFmtId="0" fontId="272" fillId="0" borderId="1" xfId="20" applyFont="1" applyBorder="1" applyAlignment="1">
      <alignment horizontal="center" vertical="center"/>
    </xf>
    <xf numFmtId="0" fontId="272" fillId="0" borderId="1" xfId="20" applyFont="1" applyBorder="1" applyAlignment="1">
      <alignment horizontal="left" vertical="center" wrapText="1"/>
    </xf>
    <xf numFmtId="0" fontId="272" fillId="0" borderId="1" xfId="20" applyFont="1" applyBorder="1" applyAlignment="1">
      <alignment horizontal="left" vertical="center"/>
    </xf>
    <xf numFmtId="0" fontId="272" fillId="0" borderId="176" xfId="20" applyFont="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12" borderId="0" xfId="0" applyFont="1" applyFill="1" applyAlignment="1" applyProtection="1">
      <alignment horizontal="center" vertical="center"/>
      <protection locked="0"/>
    </xf>
  </cellXfs>
  <cellStyles count="21">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2" xfId="20"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295275</xdr:colOff>
      <xdr:row>0</xdr:row>
      <xdr:rowOff>0</xdr:rowOff>
    </xdr:from>
    <xdr:to>
      <xdr:col>26</xdr:col>
      <xdr:colOff>513380</xdr:colOff>
      <xdr:row>38</xdr:row>
      <xdr:rowOff>27757</xdr:rowOff>
    </xdr:to>
    <xdr:pic>
      <xdr:nvPicPr>
        <xdr:cNvPr id="2" name="图片 1">
          <a:extLst>
            <a:ext uri="{FF2B5EF4-FFF2-40B4-BE49-F238E27FC236}">
              <a16:creationId xmlns:a16="http://schemas.microsoft.com/office/drawing/2014/main" id="{10737B5E-270F-3856-E6EE-181E40B117BE}"/>
            </a:ext>
          </a:extLst>
        </xdr:cNvPr>
        <xdr:cNvPicPr>
          <a:picLocks noChangeAspect="1"/>
        </xdr:cNvPicPr>
      </xdr:nvPicPr>
      <xdr:blipFill>
        <a:blip xmlns:r="http://schemas.openxmlformats.org/officeDocument/2006/relationships" r:embed="rId1"/>
        <a:stretch>
          <a:fillRect/>
        </a:stretch>
      </xdr:blipFill>
      <xdr:spPr>
        <a:xfrm>
          <a:off x="9953625" y="0"/>
          <a:ext cx="7761905" cy="6542857"/>
        </a:xfrm>
        <a:prstGeom prst="rect">
          <a:avLst/>
        </a:prstGeom>
      </xdr:spPr>
    </xdr:pic>
    <xdr:clientData/>
  </xdr:twoCellAnchor>
  <xdr:twoCellAnchor editAs="oneCell">
    <xdr:from>
      <xdr:col>24</xdr:col>
      <xdr:colOff>76200</xdr:colOff>
      <xdr:row>38</xdr:row>
      <xdr:rowOff>161925</xdr:rowOff>
    </xdr:from>
    <xdr:to>
      <xdr:col>48</xdr:col>
      <xdr:colOff>255095</xdr:colOff>
      <xdr:row>85</xdr:row>
      <xdr:rowOff>84727</xdr:rowOff>
    </xdr:to>
    <xdr:pic>
      <xdr:nvPicPr>
        <xdr:cNvPr id="3" name="图片 2">
          <a:extLst>
            <a:ext uri="{FF2B5EF4-FFF2-40B4-BE49-F238E27FC236}">
              <a16:creationId xmlns:a16="http://schemas.microsoft.com/office/drawing/2014/main" id="{D054B13E-5537-95E4-9679-EC346757FC10}"/>
            </a:ext>
          </a:extLst>
        </xdr:cNvPr>
        <xdr:cNvPicPr>
          <a:picLocks noChangeAspect="1"/>
        </xdr:cNvPicPr>
      </xdr:nvPicPr>
      <xdr:blipFill>
        <a:blip xmlns:r="http://schemas.openxmlformats.org/officeDocument/2006/relationships" r:embed="rId2"/>
        <a:stretch>
          <a:fillRect/>
        </a:stretch>
      </xdr:blipFill>
      <xdr:spPr>
        <a:xfrm>
          <a:off x="15906750" y="6677025"/>
          <a:ext cx="16638095" cy="7980952"/>
        </a:xfrm>
        <a:prstGeom prst="rect">
          <a:avLst/>
        </a:prstGeom>
      </xdr:spPr>
    </xdr:pic>
    <xdr:clientData/>
  </xdr:twoCellAnchor>
  <xdr:twoCellAnchor editAs="oneCell">
    <xdr:from>
      <xdr:col>6</xdr:col>
      <xdr:colOff>552450</xdr:colOff>
      <xdr:row>14</xdr:row>
      <xdr:rowOff>38100</xdr:rowOff>
    </xdr:from>
    <xdr:to>
      <xdr:col>14</xdr:col>
      <xdr:colOff>589938</xdr:colOff>
      <xdr:row>23</xdr:row>
      <xdr:rowOff>133145</xdr:rowOff>
    </xdr:to>
    <xdr:pic>
      <xdr:nvPicPr>
        <xdr:cNvPr id="4" name="图片 3">
          <a:extLst>
            <a:ext uri="{FF2B5EF4-FFF2-40B4-BE49-F238E27FC236}">
              <a16:creationId xmlns:a16="http://schemas.microsoft.com/office/drawing/2014/main" id="{4C2F94A3-6987-6C72-59FF-45EC89E944C2}"/>
            </a:ext>
          </a:extLst>
        </xdr:cNvPr>
        <xdr:cNvPicPr>
          <a:picLocks noChangeAspect="1"/>
        </xdr:cNvPicPr>
      </xdr:nvPicPr>
      <xdr:blipFill>
        <a:blip xmlns:r="http://schemas.openxmlformats.org/officeDocument/2006/relationships" r:embed="rId3"/>
        <a:stretch>
          <a:fillRect/>
        </a:stretch>
      </xdr:blipFill>
      <xdr:spPr>
        <a:xfrm>
          <a:off x="4667250" y="2438400"/>
          <a:ext cx="4895238" cy="1638095"/>
        </a:xfrm>
        <a:prstGeom prst="rect">
          <a:avLst/>
        </a:prstGeom>
      </xdr:spPr>
    </xdr:pic>
    <xdr:clientData/>
  </xdr:twoCellAnchor>
  <xdr:twoCellAnchor editAs="oneCell">
    <xdr:from>
      <xdr:col>6</xdr:col>
      <xdr:colOff>209550</xdr:colOff>
      <xdr:row>38</xdr:row>
      <xdr:rowOff>95250</xdr:rowOff>
    </xdr:from>
    <xdr:to>
      <xdr:col>23</xdr:col>
      <xdr:colOff>674838</xdr:colOff>
      <xdr:row>82</xdr:row>
      <xdr:rowOff>37164</xdr:rowOff>
    </xdr:to>
    <xdr:pic>
      <xdr:nvPicPr>
        <xdr:cNvPr id="5" name="图片 4">
          <a:extLst>
            <a:ext uri="{FF2B5EF4-FFF2-40B4-BE49-F238E27FC236}">
              <a16:creationId xmlns:a16="http://schemas.microsoft.com/office/drawing/2014/main" id="{7D4C0BC7-72C1-FE4F-B50A-DE455637C950}"/>
            </a:ext>
          </a:extLst>
        </xdr:cNvPr>
        <xdr:cNvPicPr>
          <a:picLocks noChangeAspect="1"/>
        </xdr:cNvPicPr>
      </xdr:nvPicPr>
      <xdr:blipFill>
        <a:blip xmlns:r="http://schemas.openxmlformats.org/officeDocument/2006/relationships" r:embed="rId4"/>
        <a:stretch>
          <a:fillRect/>
        </a:stretch>
      </xdr:blipFill>
      <xdr:spPr>
        <a:xfrm>
          <a:off x="4324350" y="6610350"/>
          <a:ext cx="11495238" cy="7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38100</xdr:rowOff>
    </xdr:from>
    <xdr:to>
      <xdr:col>16</xdr:col>
      <xdr:colOff>285750</xdr:colOff>
      <xdr:row>26</xdr:row>
      <xdr:rowOff>154659</xdr:rowOff>
    </xdr:to>
    <xdr:pic>
      <xdr:nvPicPr>
        <xdr:cNvPr id="2" name="图片 1">
          <a:extLst>
            <a:ext uri="{FF2B5EF4-FFF2-40B4-BE49-F238E27FC236}">
              <a16:creationId xmlns:a16="http://schemas.microsoft.com/office/drawing/2014/main" id="{51C9A8F0-5E11-A6C8-6B5A-79D305F3CC63}"/>
            </a:ext>
          </a:extLst>
        </xdr:cNvPr>
        <xdr:cNvPicPr>
          <a:picLocks noChangeAspect="1"/>
        </xdr:cNvPicPr>
      </xdr:nvPicPr>
      <xdr:blipFill>
        <a:blip xmlns:r="http://schemas.openxmlformats.org/officeDocument/2006/relationships" r:embed="rId1"/>
        <a:stretch>
          <a:fillRect/>
        </a:stretch>
      </xdr:blipFill>
      <xdr:spPr>
        <a:xfrm>
          <a:off x="0" y="2200275"/>
          <a:ext cx="12334875" cy="2516859"/>
        </a:xfrm>
        <a:prstGeom prst="rect">
          <a:avLst/>
        </a:prstGeom>
      </xdr:spPr>
    </xdr:pic>
    <xdr:clientData/>
  </xdr:twoCellAnchor>
  <xdr:twoCellAnchor editAs="oneCell">
    <xdr:from>
      <xdr:col>0</xdr:col>
      <xdr:colOff>1</xdr:colOff>
      <xdr:row>27</xdr:row>
      <xdr:rowOff>0</xdr:rowOff>
    </xdr:from>
    <xdr:to>
      <xdr:col>16</xdr:col>
      <xdr:colOff>314326</xdr:colOff>
      <xdr:row>44</xdr:row>
      <xdr:rowOff>123468</xdr:rowOff>
    </xdr:to>
    <xdr:pic>
      <xdr:nvPicPr>
        <xdr:cNvPr id="3" name="图片 2">
          <a:extLst>
            <a:ext uri="{FF2B5EF4-FFF2-40B4-BE49-F238E27FC236}">
              <a16:creationId xmlns:a16="http://schemas.microsoft.com/office/drawing/2014/main" id="{E9482189-8C17-5386-B1DA-7F7BB9A595BE}"/>
            </a:ext>
          </a:extLst>
        </xdr:cNvPr>
        <xdr:cNvPicPr>
          <a:picLocks noChangeAspect="1"/>
        </xdr:cNvPicPr>
      </xdr:nvPicPr>
      <xdr:blipFill>
        <a:blip xmlns:r="http://schemas.openxmlformats.org/officeDocument/2006/relationships" r:embed="rId2"/>
        <a:stretch>
          <a:fillRect/>
        </a:stretch>
      </xdr:blipFill>
      <xdr:spPr>
        <a:xfrm>
          <a:off x="1" y="4733925"/>
          <a:ext cx="12363450" cy="3038118"/>
        </a:xfrm>
        <a:prstGeom prst="rect">
          <a:avLst/>
        </a:prstGeom>
      </xdr:spPr>
    </xdr:pic>
    <xdr:clientData/>
  </xdr:twoCellAnchor>
  <xdr:twoCellAnchor editAs="oneCell">
    <xdr:from>
      <xdr:col>0</xdr:col>
      <xdr:colOff>0</xdr:colOff>
      <xdr:row>45</xdr:row>
      <xdr:rowOff>0</xdr:rowOff>
    </xdr:from>
    <xdr:to>
      <xdr:col>16</xdr:col>
      <xdr:colOff>323850</xdr:colOff>
      <xdr:row>66</xdr:row>
      <xdr:rowOff>119207</xdr:rowOff>
    </xdr:to>
    <xdr:pic>
      <xdr:nvPicPr>
        <xdr:cNvPr id="4" name="图片 3">
          <a:extLst>
            <a:ext uri="{FF2B5EF4-FFF2-40B4-BE49-F238E27FC236}">
              <a16:creationId xmlns:a16="http://schemas.microsoft.com/office/drawing/2014/main" id="{04607BC1-710B-6C70-2209-4BDF65613A54}"/>
            </a:ext>
          </a:extLst>
        </xdr:cNvPr>
        <xdr:cNvPicPr>
          <a:picLocks noChangeAspect="1"/>
        </xdr:cNvPicPr>
      </xdr:nvPicPr>
      <xdr:blipFill>
        <a:blip xmlns:r="http://schemas.openxmlformats.org/officeDocument/2006/relationships" r:embed="rId3"/>
        <a:stretch>
          <a:fillRect/>
        </a:stretch>
      </xdr:blipFill>
      <xdr:spPr>
        <a:xfrm>
          <a:off x="0" y="7820025"/>
          <a:ext cx="12372975" cy="3719657"/>
        </a:xfrm>
        <a:prstGeom prst="rect">
          <a:avLst/>
        </a:prstGeom>
      </xdr:spPr>
    </xdr:pic>
    <xdr:clientData/>
  </xdr:twoCellAnchor>
  <xdr:twoCellAnchor editAs="oneCell">
    <xdr:from>
      <xdr:col>0</xdr:col>
      <xdr:colOff>1</xdr:colOff>
      <xdr:row>67</xdr:row>
      <xdr:rowOff>0</xdr:rowOff>
    </xdr:from>
    <xdr:to>
      <xdr:col>16</xdr:col>
      <xdr:colOff>314326</xdr:colOff>
      <xdr:row>79</xdr:row>
      <xdr:rowOff>66469</xdr:rowOff>
    </xdr:to>
    <xdr:pic>
      <xdr:nvPicPr>
        <xdr:cNvPr id="5" name="图片 4">
          <a:extLst>
            <a:ext uri="{FF2B5EF4-FFF2-40B4-BE49-F238E27FC236}">
              <a16:creationId xmlns:a16="http://schemas.microsoft.com/office/drawing/2014/main" id="{E10FE3E7-8F3A-13F0-0DE5-2C747DD2A00C}"/>
            </a:ext>
          </a:extLst>
        </xdr:cNvPr>
        <xdr:cNvPicPr>
          <a:picLocks noChangeAspect="1"/>
        </xdr:cNvPicPr>
      </xdr:nvPicPr>
      <xdr:blipFill>
        <a:blip xmlns:r="http://schemas.openxmlformats.org/officeDocument/2006/relationships" r:embed="rId4"/>
        <a:stretch>
          <a:fillRect/>
        </a:stretch>
      </xdr:blipFill>
      <xdr:spPr>
        <a:xfrm>
          <a:off x="1" y="11591925"/>
          <a:ext cx="12363450" cy="21238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估价对象为房地产，为所有。根据《国有土地使用证》[]，估价对象（分摊）出让国有建设用地使用权面积为8784.46平方米，建筑面积为71986.14平方米。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估价对象为房地产,属开发建设的，该项目尚在开发建设中。根据《国有土地使用证》[]，估价对象（分摊）出让国有建设用地使用权面积为8784.46平方米，规划建筑面积为71986.14平方米。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2025年6月11日（评估专业人员实地查勘之日）</v>
      </c>
    </row>
    <row r="13" spans="1:2">
      <c r="A13" s="1118" t="s">
        <v>529</v>
      </c>
      <c r="B13" s="1119"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57308</v>
      </c>
    </row>
    <row r="21" spans="1:2">
      <c r="A21" s="1118" t="s">
        <v>537</v>
      </c>
      <c r="B21" s="1119">
        <f ca="1">'预评函-2'!D7</f>
        <v>7961</v>
      </c>
    </row>
    <row r="22" spans="1:2">
      <c r="A22" s="1118" t="s">
        <v>538</v>
      </c>
      <c r="B22" s="1119" t="str">
        <f ca="1">'预评函-2'!D6</f>
        <v>伍亿柒仟叁佰零捌万元整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57308</v>
      </c>
    </row>
    <row r="31" spans="1:2">
      <c r="A31" s="1118" t="s">
        <v>576</v>
      </c>
      <c r="B31" s="1119">
        <f ca="1">'预评函-2'!D15</f>
        <v>7961</v>
      </c>
    </row>
    <row r="32" spans="1:2">
      <c r="A32" s="1118" t="s">
        <v>543</v>
      </c>
      <c r="B32" s="1119" t="str">
        <f ca="1">'预评函-2'!D14</f>
        <v>伍亿柒仟叁佰零捌万元整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71986.14</v>
      </c>
    </row>
    <row r="44" spans="1:2">
      <c r="A44" s="1118" t="s">
        <v>575</v>
      </c>
      <c r="B44" s="1119" t="str">
        <f>'预评函-3'!C2</f>
        <v>(分摊)土地面积</v>
      </c>
    </row>
    <row r="45" spans="1:2">
      <c r="A45" s="1118" t="s">
        <v>547</v>
      </c>
      <c r="B45" s="1119">
        <f>'预评函-3'!C4</f>
        <v>8784.4599999999991</v>
      </c>
    </row>
    <row r="46" spans="1:2">
      <c r="A46" s="1118" t="s">
        <v>573</v>
      </c>
      <c r="B46" s="1119" t="str">
        <f>'预评函-3'!D2</f>
        <v>出让国有建设用地使用权价值</v>
      </c>
    </row>
    <row r="47" spans="1:2">
      <c r="A47" s="1118" t="s">
        <v>548</v>
      </c>
      <c r="B47" s="1119">
        <f ca="1">'预评函-3'!D4</f>
        <v>12436</v>
      </c>
    </row>
    <row r="48" spans="1:2">
      <c r="A48" s="1118" t="s">
        <v>549</v>
      </c>
      <c r="B48" s="1119">
        <f ca="1">'预评函-3'!E4</f>
        <v>1728</v>
      </c>
    </row>
    <row r="49" spans="1:2">
      <c r="A49" s="1118" t="s">
        <v>550</v>
      </c>
      <c r="B49" s="1119" t="str">
        <f ca="1">'预评函-3'!D5</f>
        <v>壹亿贰仟肆佰叁拾陆万元整</v>
      </c>
    </row>
    <row r="50" spans="1:2">
      <c r="A50" s="1118" t="s">
        <v>574</v>
      </c>
      <c r="B50" s="1119" t="str">
        <f>'预评函-3'!F2</f>
        <v>在建建筑物价值</v>
      </c>
    </row>
    <row r="51" spans="1:2">
      <c r="A51" s="1118" t="s">
        <v>551</v>
      </c>
      <c r="B51" s="1119">
        <f ca="1">'预评函-3'!F4</f>
        <v>44872</v>
      </c>
    </row>
    <row r="52" spans="1:2">
      <c r="A52" s="1118" t="s">
        <v>552</v>
      </c>
      <c r="B52" s="1119">
        <f ca="1">'预评函-3'!G4</f>
        <v>6233</v>
      </c>
    </row>
    <row r="53" spans="1:2">
      <c r="A53" s="1118" t="s">
        <v>580</v>
      </c>
      <c r="B53" s="1119" t="str">
        <f ca="1">'预评函-3'!F5</f>
        <v>肆亿肆仟捌佰柒拾贰万元整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3333</v>
      </c>
    </row>
    <row r="8" spans="1:23">
      <c r="A8" s="1440" t="s">
        <v>1026</v>
      </c>
      <c r="B8" s="1440" t="s">
        <v>1027</v>
      </c>
      <c r="C8" s="1441" t="s">
        <v>319</v>
      </c>
      <c r="F8" s="1442" t="s">
        <v>1028</v>
      </c>
      <c r="H8" s="1442" t="s">
        <v>2568</v>
      </c>
      <c r="I8" s="1442" t="s">
        <v>3334</v>
      </c>
    </row>
    <row r="9" spans="1:23">
      <c r="A9" s="1440" t="s">
        <v>1029</v>
      </c>
      <c r="B9" s="1440" t="s">
        <v>1030</v>
      </c>
      <c r="C9" s="1441" t="s">
        <v>320</v>
      </c>
      <c r="F9" s="1442" t="s">
        <v>1031</v>
      </c>
      <c r="H9" s="1442"/>
      <c r="I9" s="1444" t="s">
        <v>3335</v>
      </c>
    </row>
    <row r="10" spans="1:23">
      <c r="A10" s="1440" t="s">
        <v>1032</v>
      </c>
      <c r="B10" s="1440" t="s">
        <v>1033</v>
      </c>
      <c r="C10" s="1441" t="s">
        <v>321</v>
      </c>
      <c r="F10" s="1442" t="s">
        <v>2569</v>
      </c>
      <c r="I10" s="1444" t="s">
        <v>3336</v>
      </c>
    </row>
    <row r="11" spans="1:23">
      <c r="A11" s="1440" t="s">
        <v>1034</v>
      </c>
      <c r="B11" s="1440" t="s">
        <v>1035</v>
      </c>
      <c r="C11" s="1441" t="s">
        <v>322</v>
      </c>
      <c r="F11" s="1442" t="s">
        <v>13</v>
      </c>
      <c r="I11" s="1444" t="s">
        <v>3337</v>
      </c>
    </row>
    <row r="12" spans="1:23">
      <c r="A12" s="1440" t="s">
        <v>1036</v>
      </c>
      <c r="B12" s="1440" t="s">
        <v>1037</v>
      </c>
      <c r="C12" s="1441" t="s">
        <v>323</v>
      </c>
      <c r="I12" s="1444" t="s">
        <v>3338</v>
      </c>
    </row>
    <row r="13" spans="1:23">
      <c r="A13" s="1440" t="s">
        <v>1038</v>
      </c>
      <c r="B13" s="1440" t="s">
        <v>1039</v>
      </c>
      <c r="C13" s="1441" t="s">
        <v>324</v>
      </c>
      <c r="I13" s="1444" t="s">
        <v>3339</v>
      </c>
    </row>
    <row r="14" spans="1:23">
      <c r="A14" s="1440" t="s">
        <v>1040</v>
      </c>
      <c r="B14" s="1440" t="s">
        <v>1041</v>
      </c>
      <c r="C14" s="1442" t="s">
        <v>13</v>
      </c>
      <c r="I14" s="1444" t="s">
        <v>3340</v>
      </c>
    </row>
    <row r="15" spans="1:23">
      <c r="A15" s="1440" t="s">
        <v>1042</v>
      </c>
      <c r="B15" s="1440" t="s">
        <v>1043</v>
      </c>
      <c r="C15" s="1441"/>
      <c r="I15" s="1444" t="s">
        <v>3341</v>
      </c>
    </row>
    <row r="16" spans="1:23">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6" t="s">
        <v>385</v>
      </c>
      <c r="C54" s="1444" t="s">
        <v>583</v>
      </c>
    </row>
    <row r="55" spans="1:4">
      <c r="A55" s="3235"/>
      <c r="B55" s="1446" t="s">
        <v>386</v>
      </c>
      <c r="C55" s="1444" t="s">
        <v>584</v>
      </c>
    </row>
    <row r="56" spans="1:4">
      <c r="A56" s="3235"/>
      <c r="B56" s="1446" t="s">
        <v>387</v>
      </c>
      <c r="C56" s="1444" t="s">
        <v>588</v>
      </c>
    </row>
    <row r="57" spans="1:4">
      <c r="A57" s="323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9" zoomScale="80" zoomScaleNormal="80" workbookViewId="0">
      <selection activeCell="H53" sqref="H53"/>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36" t="s">
        <v>2571</v>
      </c>
      <c r="J2" s="3236"/>
      <c r="K2" s="3236"/>
      <c r="L2" s="3236"/>
      <c r="M2" s="3236"/>
      <c r="N2" s="3236"/>
      <c r="O2" s="3236"/>
      <c r="P2" s="3236"/>
      <c r="Q2" s="3236"/>
      <c r="R2" s="3236"/>
    </row>
    <row r="3" spans="1:18">
      <c r="A3" s="2762" t="s">
        <v>2492</v>
      </c>
      <c r="B3" s="2763">
        <f>项目基本情况!D3</f>
        <v>45819</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1.52</v>
      </c>
      <c r="D5" s="2767">
        <f>IF(ISERROR(ROUND(POWER(1+E5,A5-C5)*(POWER(1+E5,C5)-1)/(POWER(1+E5,A5)-1),3)),0,ROUND(POWER(1+E5,A5-C5)*(POWER(1+E5,C5)-1)/(POWER(1+E5,A5)-1),4))</f>
        <v>7.3099999999999998E-2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11.53</v>
      </c>
      <c r="D6" s="2767">
        <f>IF(ISERROR(ROUND(POWER(1+E6,A6-C6)*(POWER(1+E6,C6)-1)/(POWER(1+E6,A6)-1),3)),0,ROUND(POWER(1+E6,A6-C6)*(POWER(1+E6,C6)-1)/(POWER(1+E6,A6)-1),4))</f>
        <v>0.4234</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31.54</v>
      </c>
      <c r="D7" s="2767">
        <f>IF(ISERROR(ROUND(POWER(1+E7,A7-C7)*(POWER(1+E7,C7)-1)/(POWER(1+E7,A7)-1),3)),0,ROUND(POWER(1+E7,A7-C7)*(POWER(1+E7,C7)-1)/(POWER(1+E7,A7)-1),4))</f>
        <v>0.75849999999999995</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3378</v>
      </c>
    </row>
    <row r="50" spans="1:4">
      <c r="A50" s="3144" t="s">
        <v>3379</v>
      </c>
      <c r="B50" s="3144" t="s">
        <v>3380</v>
      </c>
      <c r="C50" s="3144" t="s">
        <v>3381</v>
      </c>
      <c r="D50" s="3144" t="s">
        <v>3382</v>
      </c>
    </row>
    <row r="51" spans="1:4">
      <c r="A51" s="3144" t="s">
        <v>3383</v>
      </c>
      <c r="B51" s="2764">
        <f>B52+B53</f>
        <v>15000</v>
      </c>
      <c r="C51" s="3145">
        <f>D51/B51</f>
        <v>2666.6666666666665</v>
      </c>
      <c r="D51" s="2764">
        <f>D52+D53</f>
        <v>40000000</v>
      </c>
    </row>
    <row r="52" spans="1:4">
      <c r="A52" s="3146" t="s">
        <v>3384</v>
      </c>
      <c r="B52" s="3147">
        <v>10000</v>
      </c>
      <c r="C52" s="3147">
        <v>1500</v>
      </c>
      <c r="D52" s="3148">
        <f>C52*B52</f>
        <v>15000000</v>
      </c>
    </row>
    <row r="53" spans="1:4">
      <c r="A53" s="3146" t="s">
        <v>3385</v>
      </c>
      <c r="B53" s="3147">
        <v>5000</v>
      </c>
      <c r="C53" s="3147">
        <v>5000</v>
      </c>
      <c r="D53" s="3148">
        <f>C53*B53</f>
        <v>25000000</v>
      </c>
    </row>
    <row r="54" spans="1:4">
      <c r="A54" s="3144" t="s">
        <v>3386</v>
      </c>
      <c r="B54" s="2764">
        <f>B51</f>
        <v>15000</v>
      </c>
      <c r="C54" s="2770">
        <v>700</v>
      </c>
      <c r="D54" s="2764">
        <f t="shared" ref="D54:D55" si="5">C54*B54</f>
        <v>10500000</v>
      </c>
    </row>
    <row r="55" spans="1:4">
      <c r="A55" s="3144" t="s">
        <v>3387</v>
      </c>
      <c r="B55" s="2764">
        <f>B51</f>
        <v>15000</v>
      </c>
      <c r="C55" s="2770">
        <v>1500</v>
      </c>
      <c r="D55" s="2764">
        <f t="shared" si="5"/>
        <v>22500000</v>
      </c>
    </row>
    <row r="56" spans="1:4">
      <c r="A56" s="3144" t="s">
        <v>3388</v>
      </c>
      <c r="B56" s="2764">
        <f>B51</f>
        <v>15000</v>
      </c>
      <c r="C56" s="3149">
        <f>C51+C54+C55</f>
        <v>4866.6666666666661</v>
      </c>
      <c r="D56" s="2764">
        <f>D51+D54+D55</f>
        <v>73000000</v>
      </c>
    </row>
    <row r="58" spans="1:4">
      <c r="A58" s="3144" t="s">
        <v>3389</v>
      </c>
      <c r="B58" s="3150">
        <v>0.05</v>
      </c>
      <c r="C58" s="2764">
        <f>C56*(1+B58)</f>
        <v>5110</v>
      </c>
      <c r="D58" s="2764">
        <f>D56*B58</f>
        <v>3650000</v>
      </c>
    </row>
    <row r="60" spans="1:4">
      <c r="A60" s="3144" t="s">
        <v>3390</v>
      </c>
      <c r="B60" s="2770">
        <v>3500</v>
      </c>
      <c r="C60" s="2770">
        <f>C53</f>
        <v>5000</v>
      </c>
      <c r="D60" s="2764">
        <f>C60*B60</f>
        <v>17500000</v>
      </c>
    </row>
    <row r="62" spans="1:4">
      <c r="A62" s="3144" t="s">
        <v>3391</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44" t="str">
        <f>IF(B10="北京市","北京市",C10)&amp;F10&amp;IF(结果表!G1="在建","出让国有建设用地使用权及在建建筑物",IF(结果表!G1="土地","出让国有建设用地使用权",))&amp;B9&amp;"预评估"</f>
        <v>房地产抵押价值预评估</v>
      </c>
      <c r="C1" s="3245"/>
      <c r="D1" s="3245"/>
      <c r="E1" s="3245"/>
      <c r="F1" s="3245"/>
      <c r="G1" s="3245"/>
      <c r="H1" s="3245"/>
      <c r="I1" s="324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2170</v>
      </c>
      <c r="B3" s="2184">
        <v>45819</v>
      </c>
      <c r="C3" s="2185" t="s">
        <v>2171</v>
      </c>
      <c r="D3" s="2184">
        <v>45819</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3403</v>
      </c>
      <c r="C8" s="2200"/>
      <c r="D8" s="3247" t="s">
        <v>2177</v>
      </c>
      <c r="E8" s="2201" t="s">
        <v>3404</v>
      </c>
      <c r="F8" s="2202"/>
      <c r="G8" s="2441"/>
      <c r="H8" s="2441"/>
      <c r="I8" s="2441"/>
      <c r="J8" s="2244"/>
      <c r="K8" s="2399"/>
      <c r="L8" s="2398"/>
      <c r="M8" s="2398"/>
      <c r="N8" s="2244"/>
      <c r="O8" s="1669"/>
      <c r="P8" s="2244"/>
      <c r="Q8" s="2244"/>
      <c r="R8" s="2244"/>
    </row>
    <row r="9" spans="1:30" ht="13.5" thickBot="1">
      <c r="A9" s="2203" t="s">
        <v>2178</v>
      </c>
      <c r="B9" s="2204" t="s">
        <v>3404</v>
      </c>
      <c r="C9" s="2205"/>
      <c r="D9" s="3248"/>
      <c r="E9" s="2204" t="s">
        <v>43</v>
      </c>
      <c r="F9" s="2206"/>
      <c r="G9" s="2442"/>
      <c r="H9" s="2442"/>
      <c r="I9" s="2442"/>
      <c r="J9" s="2244"/>
      <c r="K9" s="2401"/>
      <c r="L9" s="2398"/>
      <c r="M9" s="2398"/>
      <c r="N9" s="2244"/>
      <c r="O9" s="1669"/>
      <c r="P9" s="2244"/>
      <c r="Q9" s="2244"/>
      <c r="R9" s="2244"/>
    </row>
    <row r="10" spans="1:30" ht="13.5" thickTop="1">
      <c r="A10" s="2207" t="s">
        <v>2179</v>
      </c>
      <c r="B10" s="2208" t="s">
        <v>3405</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3406</v>
      </c>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3323</v>
      </c>
      <c r="B13" s="2217" t="s">
        <v>2190</v>
      </c>
      <c r="C13" s="802"/>
      <c r="D13" s="802">
        <v>57922</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1"/>
      <c r="B15" s="2219" t="s">
        <v>2192</v>
      </c>
      <c r="C15" s="2220" t="str">
        <f>IF(A13="出让",IF(C13="","",ROUNDDOWN(MIN((C13-$D$3)/365,C14),2)),C14)</f>
        <v/>
      </c>
      <c r="D15" s="2220">
        <f>IF(A13="出让",IF(D13="","",ROUNDDOWN(MIN((D13-$D$3)/365,D14),2)),D14)</f>
        <v>33.15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54"/>
      <c r="C16" s="3255"/>
      <c r="D16" s="3256"/>
      <c r="E16" s="2221" t="s">
        <v>2194</v>
      </c>
      <c r="F16" s="3257"/>
      <c r="G16" s="3258"/>
      <c r="H16" s="3258"/>
      <c r="I16" s="3259"/>
      <c r="J16" s="2244"/>
      <c r="K16" s="2402"/>
      <c r="L16" s="1669"/>
      <c r="M16" s="1669"/>
      <c r="N16" s="2244"/>
      <c r="O16" s="1669"/>
      <c r="P16" s="2244"/>
      <c r="Q16" s="2244"/>
      <c r="R16" s="2244"/>
    </row>
    <row r="17" spans="1:28">
      <c r="A17" s="304" t="s">
        <v>2195</v>
      </c>
      <c r="B17" s="293" t="s">
        <v>2196</v>
      </c>
      <c r="C17" s="8">
        <f>'数据-汇总表'!E3</f>
        <v>71986.14</v>
      </c>
      <c r="D17" s="1255" t="s">
        <v>2197</v>
      </c>
      <c r="E17" s="3260" t="s">
        <v>2198</v>
      </c>
      <c r="F17" s="3261"/>
      <c r="G17" s="3261"/>
      <c r="H17" s="3261"/>
      <c r="I17" s="3262"/>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8784.4599999999991</v>
      </c>
      <c r="D18" s="1028" t="s">
        <v>2201</v>
      </c>
      <c r="E18" s="3263" t="s">
        <v>2202</v>
      </c>
      <c r="F18" s="3264"/>
      <c r="G18" s="3264"/>
      <c r="H18" s="3264"/>
      <c r="I18" s="3265"/>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50" t="s">
        <v>2206</v>
      </c>
      <c r="C20" s="3251"/>
      <c r="D20" s="3252" t="s">
        <v>2207</v>
      </c>
      <c r="E20" s="3253"/>
      <c r="F20" s="2429" t="s">
        <v>1056</v>
      </c>
      <c r="G20" s="2441"/>
      <c r="H20" s="2441"/>
      <c r="I20" s="2441"/>
      <c r="J20" s="2244"/>
      <c r="K20" s="324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4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4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8"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8"/>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8"/>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9"/>
      <c r="B30" s="293" t="s">
        <v>2218</v>
      </c>
      <c r="C30" s="3240"/>
      <c r="D30" s="3241"/>
      <c r="E30" s="2441"/>
      <c r="F30" s="2441"/>
      <c r="G30" s="2441"/>
      <c r="H30" s="2441"/>
      <c r="I30" s="2441"/>
      <c r="J30" s="2244"/>
      <c r="K30" s="2401"/>
      <c r="L30" s="2398"/>
      <c r="M30" s="2398"/>
      <c r="N30" s="2244"/>
      <c r="O30" s="1669"/>
      <c r="P30" s="2244"/>
      <c r="Q30" s="2244"/>
      <c r="R30" s="2244"/>
      <c r="S30" s="2244"/>
      <c r="T30" s="2244"/>
      <c r="U30" s="2244"/>
      <c r="V30" s="2244"/>
    </row>
    <row r="31" spans="1:28">
      <c r="A31" s="3242" t="s">
        <v>2219</v>
      </c>
      <c r="B31" s="2230"/>
      <c r="C31" s="11"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3"/>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3"/>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37" t="s">
        <v>2228</v>
      </c>
      <c r="T34" s="314" t="str">
        <f>NUMBERSTRING(7-K34,1)&amp;"通"</f>
        <v>七通</v>
      </c>
      <c r="U34" s="2244"/>
      <c r="V34" s="2244"/>
    </row>
    <row r="35" spans="1:30">
      <c r="A35" s="2235"/>
      <c r="B35" s="3237" t="s">
        <v>2229</v>
      </c>
      <c r="C35" s="3237"/>
      <c r="D35" s="3237"/>
      <c r="E35" s="3237"/>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7"/>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3193">
        <v>8784.4560000000001</v>
      </c>
      <c r="B3" s="10">
        <f>IF(C3="否",G5-AT5,G5)</f>
        <v>71986.14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1" t="s">
        <v>1071</v>
      </c>
      <c r="B5" s="1258"/>
      <c r="C5" s="1258"/>
      <c r="D5" s="1259"/>
      <c r="E5" s="12" t="s">
        <v>0</v>
      </c>
      <c r="F5" s="12">
        <f>SUM(F13:F587)</f>
        <v>0</v>
      </c>
      <c r="G5" s="12">
        <f>SUM(G13:G587)</f>
        <v>71986.14</v>
      </c>
      <c r="H5" s="12">
        <f t="shared" ref="H5:AT5" si="0">SUM(H13:H656)</f>
        <v>71986.14</v>
      </c>
      <c r="I5" s="12">
        <f t="shared" si="0"/>
        <v>71986.14</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71986.14</v>
      </c>
      <c r="BA5" s="14">
        <f t="shared" si="1"/>
        <v>71986.14</v>
      </c>
      <c r="BB5" s="14">
        <f t="shared" si="1"/>
        <v>71986.14</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2.75">
      <c r="A6" s="11" t="s">
        <v>1072</v>
      </c>
      <c r="B6" s="1473"/>
      <c r="C6" s="1473"/>
      <c r="D6" s="1474"/>
      <c r="E6" s="12">
        <f>H6+AC6+AT6</f>
        <v>8784.4599999999991</v>
      </c>
      <c r="F6" s="12" t="s">
        <v>0</v>
      </c>
      <c r="G6" s="12" t="s">
        <v>1</v>
      </c>
      <c r="H6" s="16">
        <f>SUMIF(I$12:AB$12,"总值",I6:AB6)</f>
        <v>8784.4599999999991</v>
      </c>
      <c r="I6" s="12">
        <f t="shared" ref="I6:AB6" si="2">ROUND($A$3*I5/$B$3,2)</f>
        <v>8784.4599999999991</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8784.4599999999991</v>
      </c>
      <c r="AZ6" s="12" t="s">
        <v>2</v>
      </c>
      <c r="BA6" s="12">
        <f>ROUND($AY$6*BA5/$AZ$5,2)</f>
        <v>8784.4599999999991</v>
      </c>
      <c r="BB6" s="12">
        <f>ROUND($AY$6*BB5/$AZ$5,2)</f>
        <v>8784.4599999999991</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2.75">
      <c r="A9" s="1481"/>
      <c r="B9" s="1481"/>
      <c r="C9" s="1481"/>
      <c r="D9" s="1481"/>
      <c r="E9" s="1481"/>
      <c r="F9" s="1481"/>
      <c r="G9" s="1006"/>
      <c r="H9" s="1489" t="s">
        <v>1091</v>
      </c>
      <c r="I9" s="1490" t="s">
        <v>3429</v>
      </c>
      <c r="J9" s="760"/>
      <c r="K9" s="1490"/>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2.75">
      <c r="A10" s="1481"/>
      <c r="B10" s="1481"/>
      <c r="C10" s="1481"/>
      <c r="D10" s="1481"/>
      <c r="E10" s="1481"/>
      <c r="F10" s="1481"/>
      <c r="G10" s="1006"/>
      <c r="H10" s="24"/>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f>K9</f>
        <v>0</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2.75">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2.75">
      <c r="A13" s="627"/>
      <c r="B13" s="627"/>
      <c r="C13" s="3162" t="s">
        <v>3426</v>
      </c>
      <c r="D13" s="1512" t="s">
        <v>3428</v>
      </c>
      <c r="E13" s="12">
        <f>IF($C$3="是",ROUND($A$3*G13/$B$3,2),ROUND($A$3*(G13-AT13)/$B$3,2))</f>
        <v>8784.4599999999991</v>
      </c>
      <c r="F13" s="28"/>
      <c r="G13" s="29">
        <f>H13+AC13+AT13</f>
        <v>71986.14</v>
      </c>
      <c r="H13" s="16">
        <f>SUMIF(I$12:AB$12,"总值",I13:AB13)</f>
        <v>71986.14</v>
      </c>
      <c r="I13" s="1513">
        <v>71986.14</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居然之家</v>
      </c>
      <c r="AY13" s="1259">
        <f>ROUND($AY$6*AZ13/$AZ$5,2)</f>
        <v>8784.4599999999991</v>
      </c>
      <c r="AZ13" s="12">
        <f>BA13+BL13</f>
        <v>71986.14</v>
      </c>
      <c r="BA13" s="12">
        <f>SUM(BB13:BK13)</f>
        <v>71986.14</v>
      </c>
      <c r="BB13" s="12">
        <f>IF($D13="是",I13-J13,0)</f>
        <v>71986.14</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2.75">
      <c r="A14" s="627"/>
      <c r="B14" s="627"/>
      <c r="C14" s="1461"/>
      <c r="D14" s="1512"/>
      <c r="E14" s="12">
        <f>IF($C$3="是",ROUND($A$3*G14/$B$3,2),ROUND($A$3*(G14-AT14)/$B$3,2))</f>
        <v>0</v>
      </c>
      <c r="F14" s="28"/>
      <c r="G14" s="29">
        <f>H14+AC14+AT14</f>
        <v>0</v>
      </c>
      <c r="H14" s="16">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f t="shared" si="6"/>
        <v>0</v>
      </c>
      <c r="AY14" s="125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2.75">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2.75">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2.75">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62"/>
  <sheetViews>
    <sheetView topLeftCell="A31" workbookViewId="0">
      <selection activeCell="D46" sqref="D46"/>
    </sheetView>
  </sheetViews>
  <sheetFormatPr defaultRowHeight="13.5"/>
  <cols>
    <col min="10" max="10" width="5.25" bestFit="1" customWidth="1"/>
    <col min="11" max="11" width="5.5" bestFit="1" customWidth="1"/>
    <col min="13" max="13" width="6.5" bestFit="1" customWidth="1"/>
    <col min="14" max="14" width="10.5" bestFit="1" customWidth="1"/>
  </cols>
  <sheetData>
    <row r="1" spans="1:14">
      <c r="A1" s="1404" t="s">
        <v>3407</v>
      </c>
      <c r="B1" s="1404" t="s">
        <v>3408</v>
      </c>
      <c r="C1" s="1404" t="s">
        <v>3409</v>
      </c>
      <c r="D1" s="1404" t="s">
        <v>3410</v>
      </c>
      <c r="E1" s="1404" t="s">
        <v>4077</v>
      </c>
      <c r="I1" s="1404" t="s">
        <v>3380</v>
      </c>
      <c r="J1" s="1404" t="s">
        <v>3512</v>
      </c>
      <c r="K1" s="1404" t="s">
        <v>654</v>
      </c>
      <c r="M1" s="1404" t="s">
        <v>3513</v>
      </c>
    </row>
    <row r="2" spans="1:14">
      <c r="A2">
        <v>101</v>
      </c>
      <c r="B2">
        <v>122</v>
      </c>
      <c r="C2">
        <v>14.888</v>
      </c>
      <c r="D2">
        <v>1</v>
      </c>
      <c r="E2" s="1404" t="s">
        <v>3412</v>
      </c>
      <c r="F2">
        <f>B2/C2</f>
        <v>8.1945190757657169</v>
      </c>
      <c r="H2" s="1404" t="s">
        <v>3412</v>
      </c>
      <c r="I2">
        <f>SUM(B2:B5)+SUM(B6:B19)/2+B20+B21+B22/7</f>
        <v>11271.704285714286</v>
      </c>
      <c r="J2">
        <v>1</v>
      </c>
      <c r="K2">
        <v>2.5</v>
      </c>
      <c r="L2">
        <f>K2*I2</f>
        <v>28179.260714285716</v>
      </c>
      <c r="M2">
        <v>12000</v>
      </c>
      <c r="N2" s="3187">
        <f>M2*I2</f>
        <v>135260451.42857143</v>
      </c>
    </row>
    <row r="3" spans="1:14">
      <c r="A3">
        <v>104</v>
      </c>
      <c r="B3">
        <v>253.02</v>
      </c>
      <c r="C3">
        <v>30.876000000000001</v>
      </c>
      <c r="D3">
        <v>1</v>
      </c>
      <c r="E3" s="1404" t="s">
        <v>3412</v>
      </c>
      <c r="F3">
        <f t="shared" ref="F3:F28" si="0">B3/C3</f>
        <v>8.1947143412359118</v>
      </c>
      <c r="H3" s="1404" t="s">
        <v>3415</v>
      </c>
      <c r="I3">
        <f>SUM(B6:B19)/2+B22/7+SUM(B23:B32)</f>
        <v>11696.084285714287</v>
      </c>
      <c r="J3">
        <v>0.7</v>
      </c>
      <c r="K3">
        <f>$K$2*J3</f>
        <v>1.75</v>
      </c>
      <c r="L3">
        <f t="shared" ref="L3:L8" si="1">K3*I3</f>
        <v>20468.147500000003</v>
      </c>
      <c r="M3">
        <f>$M$2*J3</f>
        <v>8400</v>
      </c>
      <c r="N3" s="3187">
        <f t="shared" ref="N3:N8" si="2">M3*I3</f>
        <v>98247108.000000015</v>
      </c>
    </row>
    <row r="4" spans="1:14">
      <c r="A4">
        <v>105</v>
      </c>
      <c r="B4">
        <v>121.5</v>
      </c>
      <c r="C4">
        <v>14.827</v>
      </c>
      <c r="D4">
        <v>1</v>
      </c>
      <c r="E4" s="1404" t="s">
        <v>3412</v>
      </c>
      <c r="F4">
        <f t="shared" si="0"/>
        <v>8.1945100155122415</v>
      </c>
      <c r="H4" s="1404" t="s">
        <v>3416</v>
      </c>
      <c r="I4">
        <f>SUM(B33:B38)+B22/7</f>
        <v>9694.1242857142861</v>
      </c>
      <c r="J4">
        <v>0.6</v>
      </c>
      <c r="K4">
        <f t="shared" ref="K4:K7" si="3">$K$2*J4</f>
        <v>1.5</v>
      </c>
      <c r="L4">
        <f t="shared" si="1"/>
        <v>14541.186428571429</v>
      </c>
      <c r="M4">
        <f t="shared" ref="M4:M8" si="4">$M$2*J4</f>
        <v>7200</v>
      </c>
      <c r="N4" s="3187">
        <f t="shared" si="2"/>
        <v>69797694.857142866</v>
      </c>
    </row>
    <row r="5" spans="1:14">
      <c r="A5">
        <v>106</v>
      </c>
      <c r="B5">
        <v>92.22</v>
      </c>
      <c r="C5">
        <v>11.254</v>
      </c>
      <c r="D5">
        <v>1</v>
      </c>
      <c r="E5" s="1404" t="s">
        <v>3412</v>
      </c>
      <c r="F5">
        <f t="shared" si="0"/>
        <v>8.1944197618624486</v>
      </c>
      <c r="H5" s="1404" t="s">
        <v>3417</v>
      </c>
      <c r="I5">
        <f>SUM(B39:B44)+B22/7</f>
        <v>9698.2942857142862</v>
      </c>
      <c r="J5">
        <v>0.5</v>
      </c>
      <c r="K5">
        <f t="shared" si="3"/>
        <v>1.25</v>
      </c>
      <c r="L5">
        <f t="shared" si="1"/>
        <v>12122.867857142857</v>
      </c>
      <c r="M5">
        <f t="shared" si="4"/>
        <v>6000</v>
      </c>
      <c r="N5" s="3187">
        <f t="shared" si="2"/>
        <v>58189765.714285716</v>
      </c>
    </row>
    <row r="6" spans="1:14">
      <c r="A6">
        <v>107</v>
      </c>
      <c r="B6">
        <v>159.54</v>
      </c>
      <c r="C6">
        <v>19.469000000000001</v>
      </c>
      <c r="D6">
        <v>1</v>
      </c>
      <c r="E6" s="1404" t="s">
        <v>3411</v>
      </c>
      <c r="F6">
        <f t="shared" si="0"/>
        <v>8.1945657198623447</v>
      </c>
      <c r="H6" s="1404" t="s">
        <v>3419</v>
      </c>
      <c r="I6">
        <f>SUM(B45:B51)+B22/7</f>
        <v>9633.5142857142873</v>
      </c>
      <c r="J6">
        <v>0.5</v>
      </c>
      <c r="K6">
        <f t="shared" si="3"/>
        <v>1.25</v>
      </c>
      <c r="L6">
        <f t="shared" si="1"/>
        <v>12041.892857142859</v>
      </c>
      <c r="M6">
        <f t="shared" si="4"/>
        <v>6000</v>
      </c>
      <c r="N6" s="3187">
        <f t="shared" si="2"/>
        <v>57801085.714285724</v>
      </c>
    </row>
    <row r="7" spans="1:14">
      <c r="A7">
        <v>108</v>
      </c>
      <c r="B7">
        <v>103.32</v>
      </c>
      <c r="C7">
        <v>12.608000000000001</v>
      </c>
      <c r="D7">
        <v>1</v>
      </c>
      <c r="E7" s="1404" t="s">
        <v>3411</v>
      </c>
      <c r="F7">
        <f t="shared" si="0"/>
        <v>8.1947969543147199</v>
      </c>
      <c r="H7" s="1404" t="s">
        <v>3421</v>
      </c>
      <c r="I7">
        <f>SUM(B52:B60)+B22/7</f>
        <v>9700.6842857142874</v>
      </c>
      <c r="J7">
        <v>0.5</v>
      </c>
      <c r="K7">
        <f t="shared" si="3"/>
        <v>1.25</v>
      </c>
      <c r="L7">
        <f t="shared" si="1"/>
        <v>12125.85535714286</v>
      </c>
      <c r="M7">
        <f t="shared" si="4"/>
        <v>6000</v>
      </c>
      <c r="N7" s="3187">
        <f t="shared" si="2"/>
        <v>58204105.714285724</v>
      </c>
    </row>
    <row r="8" spans="1:14">
      <c r="A8">
        <v>109</v>
      </c>
      <c r="B8">
        <v>103.32</v>
      </c>
      <c r="C8">
        <v>12.608000000000001</v>
      </c>
      <c r="D8">
        <v>1</v>
      </c>
      <c r="E8" s="1404" t="s">
        <v>3411</v>
      </c>
      <c r="F8">
        <f t="shared" si="0"/>
        <v>8.1947969543147199</v>
      </c>
      <c r="H8" s="1404" t="s">
        <v>3423</v>
      </c>
      <c r="I8">
        <f>B61+B22/7</f>
        <v>10291.734285714287</v>
      </c>
      <c r="J8">
        <v>0.5</v>
      </c>
      <c r="K8">
        <f>$K$2*J8</f>
        <v>1.25</v>
      </c>
      <c r="L8">
        <f t="shared" si="1"/>
        <v>12864.667857142858</v>
      </c>
      <c r="M8">
        <f t="shared" si="4"/>
        <v>6000</v>
      </c>
      <c r="N8" s="3187">
        <f t="shared" si="2"/>
        <v>61750405.714285716</v>
      </c>
    </row>
    <row r="9" spans="1:14">
      <c r="A9">
        <v>110</v>
      </c>
      <c r="B9">
        <v>149.94999999999999</v>
      </c>
      <c r="C9">
        <v>18.297999999999998</v>
      </c>
      <c r="D9">
        <v>1</v>
      </c>
      <c r="E9" s="1404" t="s">
        <v>3411</v>
      </c>
      <c r="F9">
        <f t="shared" si="0"/>
        <v>8.1948846868510223</v>
      </c>
      <c r="I9">
        <f>SUM(I2:I8)</f>
        <v>71986.140000000014</v>
      </c>
      <c r="K9">
        <f>ROUND(L9/I9,2)</f>
        <v>1.56</v>
      </c>
      <c r="L9">
        <f>SUM(L2:L8)</f>
        <v>112343.87857142859</v>
      </c>
      <c r="M9" s="3187">
        <f>N9/I9</f>
        <v>7491.0339287931965</v>
      </c>
      <c r="N9" s="3187">
        <f>SUM(N2:N8)</f>
        <v>539250617.14285719</v>
      </c>
    </row>
    <row r="10" spans="1:14">
      <c r="A10">
        <v>111</v>
      </c>
      <c r="B10">
        <v>175.88</v>
      </c>
      <c r="C10">
        <v>21.463000000000001</v>
      </c>
      <c r="D10">
        <v>1</v>
      </c>
      <c r="E10" s="1404" t="s">
        <v>3411</v>
      </c>
      <c r="F10">
        <f t="shared" si="0"/>
        <v>8.1945673950519495</v>
      </c>
      <c r="I10">
        <v>45598</v>
      </c>
    </row>
    <row r="11" spans="1:14">
      <c r="A11">
        <v>114</v>
      </c>
      <c r="B11">
        <v>308.60000000000002</v>
      </c>
      <c r="C11">
        <v>37.658000000000001</v>
      </c>
      <c r="D11">
        <v>1</v>
      </c>
      <c r="E11" s="1404" t="s">
        <v>3411</v>
      </c>
      <c r="F11">
        <f t="shared" si="0"/>
        <v>8.1948058845398055</v>
      </c>
      <c r="I11" s="3188">
        <f>I10/I9</f>
        <v>0.63342749034744728</v>
      </c>
    </row>
    <row r="12" spans="1:14">
      <c r="A12">
        <v>115</v>
      </c>
      <c r="B12">
        <v>241.82</v>
      </c>
      <c r="C12">
        <v>29.509</v>
      </c>
      <c r="D12">
        <v>1</v>
      </c>
      <c r="E12" s="1404" t="s">
        <v>3411</v>
      </c>
      <c r="F12">
        <f t="shared" si="0"/>
        <v>8.1947880307702725</v>
      </c>
    </row>
    <row r="13" spans="1:14">
      <c r="A13">
        <v>116</v>
      </c>
      <c r="B13">
        <v>292.08</v>
      </c>
      <c r="C13">
        <v>35.642000000000003</v>
      </c>
      <c r="D13">
        <v>1</v>
      </c>
      <c r="E13" s="1404" t="s">
        <v>3411</v>
      </c>
      <c r="F13">
        <f t="shared" si="0"/>
        <v>8.1948263284888601</v>
      </c>
    </row>
    <row r="14" spans="1:14">
      <c r="A14">
        <v>117</v>
      </c>
      <c r="B14">
        <v>165.79</v>
      </c>
      <c r="C14">
        <v>20.231000000000002</v>
      </c>
      <c r="D14">
        <v>1</v>
      </c>
      <c r="E14" s="1404" t="s">
        <v>3411</v>
      </c>
      <c r="F14">
        <f t="shared" si="0"/>
        <v>8.1948494884088756</v>
      </c>
    </row>
    <row r="15" spans="1:14">
      <c r="A15">
        <v>118</v>
      </c>
      <c r="B15">
        <v>228.37</v>
      </c>
      <c r="C15">
        <v>27.867999999999999</v>
      </c>
      <c r="D15">
        <v>1</v>
      </c>
      <c r="E15" s="1404" t="s">
        <v>3411</v>
      </c>
      <c r="F15">
        <f t="shared" si="0"/>
        <v>8.1947036026984357</v>
      </c>
    </row>
    <row r="16" spans="1:14">
      <c r="A16">
        <v>120</v>
      </c>
      <c r="B16">
        <v>186.71</v>
      </c>
      <c r="C16">
        <v>22.783999999999999</v>
      </c>
      <c r="D16">
        <v>1</v>
      </c>
      <c r="E16" s="1404" t="s">
        <v>3411</v>
      </c>
      <c r="F16">
        <f t="shared" si="0"/>
        <v>8.1947858146067425</v>
      </c>
    </row>
    <row r="17" spans="1:6">
      <c r="A17">
        <v>121</v>
      </c>
      <c r="B17">
        <v>200.06</v>
      </c>
      <c r="C17">
        <v>24.413</v>
      </c>
      <c r="D17">
        <v>1</v>
      </c>
      <c r="E17" s="1404" t="s">
        <v>3411</v>
      </c>
      <c r="F17">
        <f t="shared" si="0"/>
        <v>8.1948142383156508</v>
      </c>
    </row>
    <row r="18" spans="1:6">
      <c r="A18">
        <v>122</v>
      </c>
      <c r="B18">
        <v>163.72</v>
      </c>
      <c r="C18">
        <v>19.978999999999999</v>
      </c>
      <c r="D18">
        <v>1</v>
      </c>
      <c r="E18" s="1404" t="s">
        <v>3411</v>
      </c>
      <c r="F18">
        <f t="shared" si="0"/>
        <v>8.1946043345512791</v>
      </c>
    </row>
    <row r="19" spans="1:6">
      <c r="A19">
        <v>123</v>
      </c>
      <c r="B19">
        <v>313.36</v>
      </c>
      <c r="C19">
        <v>38.238999999999997</v>
      </c>
      <c r="D19">
        <v>1</v>
      </c>
      <c r="E19" s="1404" t="s">
        <v>3411</v>
      </c>
      <c r="F19">
        <f t="shared" si="0"/>
        <v>8.1947749679646442</v>
      </c>
    </row>
    <row r="20" spans="1:6">
      <c r="A20">
        <v>124</v>
      </c>
      <c r="B20">
        <v>135.77000000000001</v>
      </c>
      <c r="C20">
        <v>16.568000000000001</v>
      </c>
      <c r="D20">
        <v>1</v>
      </c>
      <c r="E20" s="1404" t="s">
        <v>3412</v>
      </c>
      <c r="F20">
        <f t="shared" si="0"/>
        <v>8.1947126991791404</v>
      </c>
    </row>
    <row r="21" spans="1:6">
      <c r="A21">
        <v>130</v>
      </c>
      <c r="B21">
        <v>46.29</v>
      </c>
      <c r="C21">
        <v>5.649</v>
      </c>
      <c r="D21">
        <v>1</v>
      </c>
      <c r="F21">
        <f t="shared" si="0"/>
        <v>8.1943706850770042</v>
      </c>
    </row>
    <row r="22" spans="1:6">
      <c r="A22">
        <v>131</v>
      </c>
      <c r="B22">
        <v>63732.51</v>
      </c>
      <c r="C22">
        <v>7777.2669999999998</v>
      </c>
      <c r="D22" t="s">
        <v>3413</v>
      </c>
      <c r="E22" s="1404" t="s">
        <v>3414</v>
      </c>
      <c r="F22">
        <f t="shared" si="0"/>
        <v>8.1947180159817066</v>
      </c>
    </row>
    <row r="23" spans="1:6">
      <c r="A23">
        <v>201</v>
      </c>
      <c r="B23">
        <v>100.22</v>
      </c>
      <c r="C23">
        <v>12.23</v>
      </c>
      <c r="D23">
        <v>2</v>
      </c>
      <c r="E23" s="1404" t="s">
        <v>3415</v>
      </c>
      <c r="F23">
        <f t="shared" si="0"/>
        <v>8.1946034341782497</v>
      </c>
    </row>
    <row r="24" spans="1:6">
      <c r="A24">
        <v>202</v>
      </c>
      <c r="B24">
        <v>406.22</v>
      </c>
      <c r="C24">
        <v>49.570999999999998</v>
      </c>
      <c r="D24">
        <v>2</v>
      </c>
      <c r="E24" s="1404" t="s">
        <v>3415</v>
      </c>
      <c r="F24">
        <f t="shared" si="0"/>
        <v>8.1947106170946729</v>
      </c>
    </row>
    <row r="25" spans="1:6">
      <c r="A25">
        <v>203</v>
      </c>
      <c r="B25">
        <v>29.53</v>
      </c>
      <c r="C25">
        <v>3.6040000000000001</v>
      </c>
      <c r="D25">
        <v>2</v>
      </c>
      <c r="E25" s="1404" t="s">
        <v>3415</v>
      </c>
      <c r="F25">
        <f t="shared" si="0"/>
        <v>8.1936736958934517</v>
      </c>
    </row>
    <row r="26" spans="1:6">
      <c r="A26">
        <v>204</v>
      </c>
      <c r="B26">
        <v>105.39</v>
      </c>
      <c r="C26">
        <v>12.861000000000001</v>
      </c>
      <c r="D26">
        <v>2</v>
      </c>
      <c r="E26" s="1404" t="s">
        <v>3415</v>
      </c>
      <c r="F26">
        <f t="shared" si="0"/>
        <v>8.1945416375087472</v>
      </c>
    </row>
    <row r="27" spans="1:6">
      <c r="A27">
        <v>205</v>
      </c>
      <c r="B27">
        <v>96.35</v>
      </c>
      <c r="C27">
        <v>11.757999999999999</v>
      </c>
      <c r="D27">
        <v>2</v>
      </c>
      <c r="E27" s="1404" t="s">
        <v>3415</v>
      </c>
      <c r="F27">
        <f t="shared" si="0"/>
        <v>8.1944208198673252</v>
      </c>
    </row>
    <row r="28" spans="1:6">
      <c r="A28">
        <v>206</v>
      </c>
      <c r="B28">
        <v>93.19</v>
      </c>
      <c r="C28">
        <v>11.372</v>
      </c>
      <c r="D28">
        <v>2</v>
      </c>
      <c r="E28" s="1404" t="s">
        <v>3415</v>
      </c>
      <c r="F28">
        <f t="shared" si="0"/>
        <v>8.1946887091100944</v>
      </c>
    </row>
    <row r="29" spans="1:6">
      <c r="A29">
        <v>207</v>
      </c>
      <c r="B29">
        <v>93.19</v>
      </c>
      <c r="C29">
        <v>11.372</v>
      </c>
      <c r="D29">
        <v>2</v>
      </c>
      <c r="E29" s="1404" t="s">
        <v>3415</v>
      </c>
      <c r="F29">
        <f t="shared" ref="F29:F30" si="5">B29/C29</f>
        <v>8.1946887091100944</v>
      </c>
    </row>
    <row r="30" spans="1:6">
      <c r="A30">
        <v>208</v>
      </c>
      <c r="B30">
        <v>93.19</v>
      </c>
      <c r="C30">
        <v>11.372</v>
      </c>
      <c r="D30">
        <v>2</v>
      </c>
      <c r="E30" s="1404" t="s">
        <v>3415</v>
      </c>
      <c r="F30">
        <f t="shared" si="5"/>
        <v>8.1946887091100944</v>
      </c>
    </row>
    <row r="31" spans="1:6">
      <c r="A31">
        <v>209</v>
      </c>
      <c r="B31">
        <v>93.19</v>
      </c>
      <c r="C31">
        <v>11.372</v>
      </c>
      <c r="D31">
        <v>2</v>
      </c>
      <c r="E31" s="1404" t="s">
        <v>3415</v>
      </c>
      <c r="F31">
        <f t="shared" ref="F31:F35" si="6">B31/C31</f>
        <v>8.1946887091100944</v>
      </c>
    </row>
    <row r="32" spans="1:6">
      <c r="A32">
        <v>210</v>
      </c>
      <c r="B32">
        <v>84.71</v>
      </c>
      <c r="C32">
        <v>10.337</v>
      </c>
      <c r="D32">
        <v>2</v>
      </c>
      <c r="E32" s="1404" t="s">
        <v>3415</v>
      </c>
      <c r="F32">
        <f t="shared" si="6"/>
        <v>8.1948340911289534</v>
      </c>
    </row>
    <row r="33" spans="1:6">
      <c r="A33">
        <v>301</v>
      </c>
      <c r="B33">
        <v>105.19</v>
      </c>
      <c r="C33">
        <v>12.836</v>
      </c>
      <c r="D33">
        <v>3</v>
      </c>
      <c r="E33" s="1404" t="s">
        <v>3416</v>
      </c>
      <c r="F33">
        <f t="shared" si="6"/>
        <v>8.1949205359925212</v>
      </c>
    </row>
    <row r="34" spans="1:6">
      <c r="A34">
        <v>302</v>
      </c>
      <c r="B34">
        <v>111.53</v>
      </c>
      <c r="C34">
        <v>13.61</v>
      </c>
      <c r="D34">
        <v>3</v>
      </c>
      <c r="E34" s="1404" t="s">
        <v>3416</v>
      </c>
      <c r="F34">
        <f t="shared" si="6"/>
        <v>8.1947097722263038</v>
      </c>
    </row>
    <row r="35" spans="1:6">
      <c r="A35">
        <v>303</v>
      </c>
      <c r="B35">
        <v>93.19</v>
      </c>
      <c r="C35">
        <v>11.372</v>
      </c>
      <c r="D35">
        <v>3</v>
      </c>
      <c r="E35" s="1404" t="s">
        <v>3416</v>
      </c>
      <c r="F35">
        <f t="shared" si="6"/>
        <v>8.1946887091100944</v>
      </c>
    </row>
    <row r="36" spans="1:6">
      <c r="A36">
        <v>304</v>
      </c>
      <c r="B36">
        <v>93.19</v>
      </c>
      <c r="C36">
        <v>11.372</v>
      </c>
      <c r="D36">
        <v>3</v>
      </c>
      <c r="E36" s="1404" t="s">
        <v>3416</v>
      </c>
      <c r="F36">
        <f t="shared" ref="F36:F41" si="7">B36/C36</f>
        <v>8.1946887091100944</v>
      </c>
    </row>
    <row r="37" spans="1:6">
      <c r="A37">
        <v>305</v>
      </c>
      <c r="B37">
        <v>93.19</v>
      </c>
      <c r="C37">
        <v>11.372</v>
      </c>
      <c r="D37">
        <v>3</v>
      </c>
      <c r="E37" s="1404" t="s">
        <v>3416</v>
      </c>
      <c r="F37">
        <f t="shared" si="7"/>
        <v>8.1946887091100944</v>
      </c>
    </row>
    <row r="38" spans="1:6">
      <c r="A38">
        <v>306</v>
      </c>
      <c r="B38">
        <v>93.19</v>
      </c>
      <c r="C38">
        <v>11.372</v>
      </c>
      <c r="D38">
        <v>3</v>
      </c>
      <c r="E38" s="1404" t="s">
        <v>3416</v>
      </c>
      <c r="F38">
        <f t="shared" si="7"/>
        <v>8.1946887091100944</v>
      </c>
    </row>
    <row r="39" spans="1:6">
      <c r="A39">
        <v>401</v>
      </c>
      <c r="B39">
        <v>109.36</v>
      </c>
      <c r="C39">
        <v>13.345000000000001</v>
      </c>
      <c r="D39">
        <v>4</v>
      </c>
      <c r="E39" s="1404" t="s">
        <v>3418</v>
      </c>
      <c r="F39">
        <f t="shared" si="7"/>
        <v>8.1948295241663534</v>
      </c>
    </row>
    <row r="40" spans="1:6">
      <c r="A40">
        <v>402</v>
      </c>
      <c r="B40">
        <v>111.53</v>
      </c>
      <c r="C40">
        <v>13.61</v>
      </c>
      <c r="D40">
        <v>4</v>
      </c>
      <c r="E40" s="1404" t="s">
        <v>3418</v>
      </c>
      <c r="F40">
        <f t="shared" si="7"/>
        <v>8.1947097722263038</v>
      </c>
    </row>
    <row r="41" spans="1:6">
      <c r="A41">
        <v>403</v>
      </c>
      <c r="B41">
        <v>93.19</v>
      </c>
      <c r="C41">
        <v>11.372</v>
      </c>
      <c r="D41">
        <v>4</v>
      </c>
      <c r="E41" s="1404" t="s">
        <v>3418</v>
      </c>
      <c r="F41">
        <f t="shared" si="7"/>
        <v>8.1946887091100944</v>
      </c>
    </row>
    <row r="42" spans="1:6">
      <c r="A42">
        <v>404</v>
      </c>
      <c r="B42">
        <v>93.19</v>
      </c>
      <c r="C42">
        <v>11.372</v>
      </c>
      <c r="D42">
        <v>4</v>
      </c>
      <c r="E42" s="1404" t="s">
        <v>3418</v>
      </c>
      <c r="F42">
        <f t="shared" ref="F42" si="8">B42/C42</f>
        <v>8.1946887091100944</v>
      </c>
    </row>
    <row r="43" spans="1:6">
      <c r="A43">
        <v>405</v>
      </c>
      <c r="B43">
        <v>93.19</v>
      </c>
      <c r="C43">
        <v>11.372</v>
      </c>
      <c r="D43">
        <v>4</v>
      </c>
      <c r="E43" s="1404" t="s">
        <v>3418</v>
      </c>
      <c r="F43">
        <f t="shared" ref="F43:F47" si="9">B43/C43</f>
        <v>8.1946887091100944</v>
      </c>
    </row>
    <row r="44" spans="1:6">
      <c r="A44">
        <v>406</v>
      </c>
      <c r="B44">
        <v>93.19</v>
      </c>
      <c r="C44">
        <v>11.372</v>
      </c>
      <c r="D44">
        <v>4</v>
      </c>
      <c r="E44" s="1404" t="s">
        <v>3418</v>
      </c>
      <c r="F44">
        <f t="shared" si="9"/>
        <v>8.1946887091100944</v>
      </c>
    </row>
    <row r="45" spans="1:6">
      <c r="A45">
        <v>501</v>
      </c>
      <c r="B45">
        <v>34.619999999999997</v>
      </c>
      <c r="C45">
        <v>4.2249999999999996</v>
      </c>
      <c r="D45">
        <v>5</v>
      </c>
      <c r="E45" s="1404" t="s">
        <v>3420</v>
      </c>
      <c r="F45">
        <f t="shared" si="9"/>
        <v>8.1940828402366872</v>
      </c>
    </row>
    <row r="46" spans="1:6">
      <c r="A46">
        <v>502</v>
      </c>
      <c r="B46">
        <v>101.5</v>
      </c>
      <c r="C46">
        <v>12.385999999999999</v>
      </c>
      <c r="D46">
        <v>5</v>
      </c>
      <c r="E46" s="1404" t="s">
        <v>3420</v>
      </c>
      <c r="F46">
        <f t="shared" si="9"/>
        <v>8.1947359922493135</v>
      </c>
    </row>
    <row r="47" spans="1:6">
      <c r="A47">
        <v>503</v>
      </c>
      <c r="B47">
        <v>93.19</v>
      </c>
      <c r="C47">
        <v>11.372</v>
      </c>
      <c r="D47">
        <v>5</v>
      </c>
      <c r="E47" s="1404" t="s">
        <v>3420</v>
      </c>
      <c r="F47">
        <f t="shared" si="9"/>
        <v>8.1946887091100944</v>
      </c>
    </row>
    <row r="48" spans="1:6">
      <c r="A48">
        <v>504</v>
      </c>
      <c r="B48">
        <v>93.19</v>
      </c>
      <c r="C48">
        <v>11.372</v>
      </c>
      <c r="D48">
        <v>5</v>
      </c>
      <c r="E48" s="1404" t="s">
        <v>3420</v>
      </c>
      <c r="F48">
        <f t="shared" ref="F48:F53" si="10">B48/C48</f>
        <v>8.1946887091100944</v>
      </c>
    </row>
    <row r="49" spans="1:6">
      <c r="A49">
        <v>505</v>
      </c>
      <c r="B49">
        <v>93.19</v>
      </c>
      <c r="C49">
        <v>11.372</v>
      </c>
      <c r="D49">
        <v>5</v>
      </c>
      <c r="E49" s="1404" t="s">
        <v>3420</v>
      </c>
      <c r="F49">
        <f t="shared" si="10"/>
        <v>8.1946887091100944</v>
      </c>
    </row>
    <row r="50" spans="1:6">
      <c r="A50">
        <v>506</v>
      </c>
      <c r="B50">
        <v>93.19</v>
      </c>
      <c r="C50">
        <v>11.372</v>
      </c>
      <c r="D50">
        <v>5</v>
      </c>
      <c r="E50" s="1404" t="s">
        <v>3420</v>
      </c>
      <c r="F50">
        <f t="shared" si="10"/>
        <v>8.1946887091100944</v>
      </c>
    </row>
    <row r="51" spans="1:6">
      <c r="A51">
        <v>508</v>
      </c>
      <c r="B51">
        <v>19.989999999999998</v>
      </c>
      <c r="C51">
        <v>2.4390000000000001</v>
      </c>
      <c r="D51">
        <v>5</v>
      </c>
      <c r="E51" s="1404" t="s">
        <v>3420</v>
      </c>
      <c r="F51">
        <f t="shared" si="10"/>
        <v>8.1959819598195978</v>
      </c>
    </row>
    <row r="52" spans="1:6">
      <c r="A52">
        <v>601</v>
      </c>
      <c r="B52">
        <v>46.08</v>
      </c>
      <c r="C52">
        <v>5.6230000000000002</v>
      </c>
      <c r="D52">
        <v>6</v>
      </c>
      <c r="E52" s="1404" t="s">
        <v>3422</v>
      </c>
      <c r="F52">
        <f t="shared" si="10"/>
        <v>8.1949137471100837</v>
      </c>
    </row>
    <row r="53" spans="1:6">
      <c r="A53">
        <v>602</v>
      </c>
      <c r="B53">
        <v>93.19</v>
      </c>
      <c r="C53">
        <v>11.372</v>
      </c>
      <c r="D53">
        <v>6</v>
      </c>
      <c r="E53" s="1404" t="s">
        <v>3422</v>
      </c>
      <c r="F53">
        <f t="shared" si="10"/>
        <v>8.1946887091100944</v>
      </c>
    </row>
    <row r="54" spans="1:6">
      <c r="A54">
        <v>603</v>
      </c>
      <c r="B54">
        <v>93.19</v>
      </c>
      <c r="C54">
        <v>11.372</v>
      </c>
      <c r="D54">
        <v>6</v>
      </c>
      <c r="E54" s="1404" t="s">
        <v>3422</v>
      </c>
      <c r="F54">
        <f t="shared" ref="F54:F61" si="11">B54/C54</f>
        <v>8.1946887091100944</v>
      </c>
    </row>
    <row r="55" spans="1:6">
      <c r="A55">
        <v>604</v>
      </c>
      <c r="B55">
        <v>93.19</v>
      </c>
      <c r="C55">
        <v>11.372</v>
      </c>
      <c r="D55">
        <v>6</v>
      </c>
      <c r="E55" s="1404" t="s">
        <v>3422</v>
      </c>
      <c r="F55">
        <f t="shared" si="11"/>
        <v>8.1946887091100944</v>
      </c>
    </row>
    <row r="56" spans="1:6">
      <c r="A56">
        <v>605</v>
      </c>
      <c r="B56">
        <v>93.19</v>
      </c>
      <c r="C56">
        <v>11.372</v>
      </c>
      <c r="D56">
        <v>6</v>
      </c>
      <c r="E56" s="1404" t="s">
        <v>3422</v>
      </c>
      <c r="F56">
        <f t="shared" si="11"/>
        <v>8.1946887091100944</v>
      </c>
    </row>
    <row r="57" spans="1:6">
      <c r="A57">
        <v>606</v>
      </c>
      <c r="B57">
        <v>93.19</v>
      </c>
      <c r="C57">
        <v>11.372</v>
      </c>
      <c r="D57">
        <v>6</v>
      </c>
      <c r="E57" s="1404" t="s">
        <v>3422</v>
      </c>
      <c r="F57">
        <f t="shared" si="11"/>
        <v>8.1946887091100944</v>
      </c>
    </row>
    <row r="58" spans="1:6">
      <c r="A58">
        <v>607</v>
      </c>
      <c r="B58">
        <v>22.75</v>
      </c>
      <c r="C58">
        <v>2.7759999999999998</v>
      </c>
      <c r="D58">
        <v>6</v>
      </c>
      <c r="E58" s="1404" t="s">
        <v>3422</v>
      </c>
      <c r="F58">
        <f t="shared" si="11"/>
        <v>8.1952449567723349</v>
      </c>
    </row>
    <row r="59" spans="1:6">
      <c r="A59">
        <v>608</v>
      </c>
      <c r="B59">
        <v>41.27</v>
      </c>
      <c r="C59">
        <v>5.0359999999999996</v>
      </c>
      <c r="D59">
        <v>6</v>
      </c>
      <c r="E59" s="1404" t="s">
        <v>3422</v>
      </c>
      <c r="F59">
        <f t="shared" si="11"/>
        <v>8.1949960285941241</v>
      </c>
    </row>
    <row r="60" spans="1:6">
      <c r="A60">
        <v>610</v>
      </c>
      <c r="B60">
        <v>19.989999999999998</v>
      </c>
      <c r="C60">
        <v>2.4390000000000001</v>
      </c>
      <c r="D60">
        <v>6</v>
      </c>
      <c r="E60" s="1404" t="s">
        <v>3422</v>
      </c>
      <c r="F60">
        <f t="shared" si="11"/>
        <v>8.1959819598195978</v>
      </c>
    </row>
    <row r="61" spans="1:6">
      <c r="A61">
        <v>704</v>
      </c>
      <c r="B61">
        <v>1187.0899999999999</v>
      </c>
      <c r="C61">
        <v>144.86000000000001</v>
      </c>
      <c r="D61">
        <v>7</v>
      </c>
      <c r="E61" s="1404" t="s">
        <v>3424</v>
      </c>
      <c r="F61">
        <f t="shared" si="11"/>
        <v>8.1947397487229043</v>
      </c>
    </row>
    <row r="62" spans="1:6">
      <c r="B62">
        <f>SUM(B2:B61)</f>
        <v>71986.140000000072</v>
      </c>
      <c r="C62">
        <f>SUM(C2:C61)</f>
        <v>8784.4559999999874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62"/>
  <sheetViews>
    <sheetView topLeftCell="A43" workbookViewId="0">
      <selection activeCell="K73" sqref="K73"/>
    </sheetView>
  </sheetViews>
  <sheetFormatPr defaultRowHeight="13.5"/>
  <cols>
    <col min="1" max="1" width="5.25" bestFit="1" customWidth="1"/>
    <col min="2" max="2" width="19" customWidth="1"/>
    <col min="5" max="5" width="13" bestFit="1" customWidth="1"/>
    <col min="7" max="7" width="16.5" customWidth="1"/>
  </cols>
  <sheetData>
    <row r="1" spans="1:7">
      <c r="A1" s="1428" t="s">
        <v>4078</v>
      </c>
      <c r="B1" s="1428" t="s">
        <v>4079</v>
      </c>
      <c r="C1" s="1428" t="s">
        <v>3407</v>
      </c>
      <c r="D1" s="1428" t="s">
        <v>3408</v>
      </c>
      <c r="E1" s="1428" t="s">
        <v>3409</v>
      </c>
      <c r="F1" s="1428" t="s">
        <v>4081</v>
      </c>
      <c r="G1" s="1428" t="s">
        <v>4082</v>
      </c>
    </row>
    <row r="2" spans="1:7">
      <c r="A2" s="3189">
        <v>1</v>
      </c>
      <c r="B2" s="3190" t="s">
        <v>4080</v>
      </c>
      <c r="C2" s="3189">
        <v>101</v>
      </c>
      <c r="D2" s="3189">
        <v>122</v>
      </c>
      <c r="E2" s="3189">
        <v>14.888</v>
      </c>
      <c r="F2" s="1428" t="s">
        <v>3412</v>
      </c>
      <c r="G2" s="3191" t="s">
        <v>4083</v>
      </c>
    </row>
    <row r="3" spans="1:7">
      <c r="A3" s="3189">
        <v>2</v>
      </c>
      <c r="B3" s="3190" t="s">
        <v>4080</v>
      </c>
      <c r="C3" s="3189">
        <v>104</v>
      </c>
      <c r="D3" s="3189">
        <v>253.02</v>
      </c>
      <c r="E3" s="3189">
        <v>30.876000000000001</v>
      </c>
      <c r="F3" s="1428" t="s">
        <v>3412</v>
      </c>
      <c r="G3" s="3191" t="s">
        <v>4084</v>
      </c>
    </row>
    <row r="4" spans="1:7">
      <c r="A4" s="3189">
        <v>3</v>
      </c>
      <c r="B4" s="3190" t="s">
        <v>4080</v>
      </c>
      <c r="C4" s="3189">
        <v>105</v>
      </c>
      <c r="D4" s="3189">
        <v>121.5</v>
      </c>
      <c r="E4" s="3189">
        <v>14.827</v>
      </c>
      <c r="F4" s="1428" t="s">
        <v>3412</v>
      </c>
      <c r="G4" s="3191" t="s">
        <v>4085</v>
      </c>
    </row>
    <row r="5" spans="1:7">
      <c r="A5" s="3189">
        <v>4</v>
      </c>
      <c r="B5" s="3190" t="s">
        <v>4080</v>
      </c>
      <c r="C5" s="3189">
        <v>106</v>
      </c>
      <c r="D5" s="3189">
        <v>92.22</v>
      </c>
      <c r="E5" s="3189">
        <v>11.254</v>
      </c>
      <c r="F5" s="1428" t="s">
        <v>3412</v>
      </c>
      <c r="G5" s="3191" t="s">
        <v>4086</v>
      </c>
    </row>
    <row r="6" spans="1:7">
      <c r="A6" s="3189">
        <v>5</v>
      </c>
      <c r="B6" s="3190" t="s">
        <v>4080</v>
      </c>
      <c r="C6" s="3189">
        <v>107</v>
      </c>
      <c r="D6" s="3189">
        <v>159.54</v>
      </c>
      <c r="E6" s="3189">
        <v>19.469000000000001</v>
      </c>
      <c r="F6" s="1428" t="s">
        <v>3411</v>
      </c>
      <c r="G6" s="3191" t="s">
        <v>4087</v>
      </c>
    </row>
    <row r="7" spans="1:7">
      <c r="A7" s="3189">
        <v>6</v>
      </c>
      <c r="B7" s="3190" t="s">
        <v>4080</v>
      </c>
      <c r="C7" s="3189">
        <v>108</v>
      </c>
      <c r="D7" s="3189">
        <v>103.32</v>
      </c>
      <c r="E7" s="3189">
        <v>12.608000000000001</v>
      </c>
      <c r="F7" s="1428" t="s">
        <v>3411</v>
      </c>
      <c r="G7" s="3191" t="s">
        <v>4088</v>
      </c>
    </row>
    <row r="8" spans="1:7">
      <c r="A8" s="3189">
        <v>7</v>
      </c>
      <c r="B8" s="3190" t="s">
        <v>4080</v>
      </c>
      <c r="C8" s="3189">
        <v>109</v>
      </c>
      <c r="D8" s="3189">
        <v>103.32</v>
      </c>
      <c r="E8" s="3189">
        <v>12.608000000000001</v>
      </c>
      <c r="F8" s="1428" t="s">
        <v>3411</v>
      </c>
      <c r="G8" s="3191" t="s">
        <v>4089</v>
      </c>
    </row>
    <row r="9" spans="1:7">
      <c r="A9" s="3189">
        <v>8</v>
      </c>
      <c r="B9" s="3190" t="s">
        <v>4080</v>
      </c>
      <c r="C9" s="3189">
        <v>110</v>
      </c>
      <c r="D9" s="3189">
        <v>149.94999999999999</v>
      </c>
      <c r="E9" s="3189">
        <v>18.297999999999998</v>
      </c>
      <c r="F9" s="1428" t="s">
        <v>3411</v>
      </c>
      <c r="G9" s="3191" t="s">
        <v>4090</v>
      </c>
    </row>
    <row r="10" spans="1:7">
      <c r="A10" s="3189">
        <v>9</v>
      </c>
      <c r="B10" s="3190" t="s">
        <v>4080</v>
      </c>
      <c r="C10" s="3189">
        <v>111</v>
      </c>
      <c r="D10" s="3189">
        <v>175.88</v>
      </c>
      <c r="E10" s="3189">
        <v>21.463000000000001</v>
      </c>
      <c r="F10" s="1428" t="s">
        <v>3411</v>
      </c>
      <c r="G10" s="3191" t="s">
        <v>4091</v>
      </c>
    </row>
    <row r="11" spans="1:7">
      <c r="A11" s="3189">
        <v>10</v>
      </c>
      <c r="B11" s="3190" t="s">
        <v>4080</v>
      </c>
      <c r="C11" s="3189">
        <v>114</v>
      </c>
      <c r="D11" s="3189">
        <v>308.60000000000002</v>
      </c>
      <c r="E11" s="3189">
        <v>37.658000000000001</v>
      </c>
      <c r="F11" s="1428" t="s">
        <v>3411</v>
      </c>
      <c r="G11" s="3191" t="s">
        <v>4092</v>
      </c>
    </row>
    <row r="12" spans="1:7">
      <c r="A12" s="3189">
        <v>11</v>
      </c>
      <c r="B12" s="3190" t="s">
        <v>4080</v>
      </c>
      <c r="C12" s="3189">
        <v>115</v>
      </c>
      <c r="D12" s="3189">
        <v>241.82</v>
      </c>
      <c r="E12" s="3189">
        <v>29.509</v>
      </c>
      <c r="F12" s="1428" t="s">
        <v>3411</v>
      </c>
      <c r="G12" s="3191" t="s">
        <v>4093</v>
      </c>
    </row>
    <row r="13" spans="1:7">
      <c r="A13" s="3189">
        <v>12</v>
      </c>
      <c r="B13" s="3190" t="s">
        <v>4080</v>
      </c>
      <c r="C13" s="3189">
        <v>116</v>
      </c>
      <c r="D13" s="3189">
        <v>292.08</v>
      </c>
      <c r="E13" s="3189">
        <v>35.642000000000003</v>
      </c>
      <c r="F13" s="1428" t="s">
        <v>3411</v>
      </c>
      <c r="G13" s="3191" t="s">
        <v>4094</v>
      </c>
    </row>
    <row r="14" spans="1:7">
      <c r="A14" s="3189">
        <v>13</v>
      </c>
      <c r="B14" s="3190" t="s">
        <v>4080</v>
      </c>
      <c r="C14" s="3189">
        <v>117</v>
      </c>
      <c r="D14" s="3189">
        <v>165.79</v>
      </c>
      <c r="E14" s="3189">
        <v>20.231000000000002</v>
      </c>
      <c r="F14" s="1428" t="s">
        <v>3411</v>
      </c>
      <c r="G14" s="3191" t="s">
        <v>4095</v>
      </c>
    </row>
    <row r="15" spans="1:7">
      <c r="A15" s="3189">
        <v>14</v>
      </c>
      <c r="B15" s="3190" t="s">
        <v>4080</v>
      </c>
      <c r="C15" s="3189">
        <v>118</v>
      </c>
      <c r="D15" s="3189">
        <v>228.37</v>
      </c>
      <c r="E15" s="3189">
        <v>27.867999999999999</v>
      </c>
      <c r="F15" s="1428" t="s">
        <v>3411</v>
      </c>
      <c r="G15" s="3191" t="s">
        <v>4096</v>
      </c>
    </row>
    <row r="16" spans="1:7">
      <c r="A16" s="3189">
        <v>15</v>
      </c>
      <c r="B16" s="3190" t="s">
        <v>4080</v>
      </c>
      <c r="C16" s="3189">
        <v>120</v>
      </c>
      <c r="D16" s="3189">
        <v>186.71</v>
      </c>
      <c r="E16" s="3189">
        <v>22.783999999999999</v>
      </c>
      <c r="F16" s="1428" t="s">
        <v>3411</v>
      </c>
      <c r="G16" s="3191" t="s">
        <v>4097</v>
      </c>
    </row>
    <row r="17" spans="1:7">
      <c r="A17" s="3189">
        <v>16</v>
      </c>
      <c r="B17" s="3190" t="s">
        <v>4080</v>
      </c>
      <c r="C17" s="3189">
        <v>121</v>
      </c>
      <c r="D17" s="3189">
        <v>200.06</v>
      </c>
      <c r="E17" s="3189">
        <v>24.413</v>
      </c>
      <c r="F17" s="1428" t="s">
        <v>3411</v>
      </c>
      <c r="G17" s="3191" t="s">
        <v>4098</v>
      </c>
    </row>
    <row r="18" spans="1:7">
      <c r="A18" s="3189">
        <v>17</v>
      </c>
      <c r="B18" s="3190" t="s">
        <v>4080</v>
      </c>
      <c r="C18" s="3189">
        <v>122</v>
      </c>
      <c r="D18" s="3189">
        <v>163.72</v>
      </c>
      <c r="E18" s="3189">
        <v>19.978999999999999</v>
      </c>
      <c r="F18" s="1428" t="s">
        <v>3411</v>
      </c>
      <c r="G18" s="3191" t="s">
        <v>4099</v>
      </c>
    </row>
    <row r="19" spans="1:7">
      <c r="A19" s="3189">
        <v>18</v>
      </c>
      <c r="B19" s="3190" t="s">
        <v>4080</v>
      </c>
      <c r="C19" s="3189">
        <v>123</v>
      </c>
      <c r="D19" s="3189">
        <v>313.36</v>
      </c>
      <c r="E19" s="3189">
        <v>38.238999999999997</v>
      </c>
      <c r="F19" s="1428" t="s">
        <v>3411</v>
      </c>
      <c r="G19" s="3191" t="s">
        <v>4100</v>
      </c>
    </row>
    <row r="20" spans="1:7">
      <c r="A20" s="3189">
        <v>19</v>
      </c>
      <c r="B20" s="3190" t="s">
        <v>4080</v>
      </c>
      <c r="C20" s="3189">
        <v>124</v>
      </c>
      <c r="D20" s="3189">
        <v>135.77000000000001</v>
      </c>
      <c r="E20" s="3189">
        <v>16.568000000000001</v>
      </c>
      <c r="F20" s="1428" t="s">
        <v>3412</v>
      </c>
      <c r="G20" s="3191" t="s">
        <v>4101</v>
      </c>
    </row>
    <row r="21" spans="1:7">
      <c r="A21" s="3189">
        <v>20</v>
      </c>
      <c r="B21" s="3190" t="s">
        <v>4080</v>
      </c>
      <c r="C21" s="3189">
        <v>130</v>
      </c>
      <c r="D21" s="3189">
        <v>46.29</v>
      </c>
      <c r="E21" s="3189">
        <v>5.649</v>
      </c>
      <c r="F21" s="1428" t="s">
        <v>3412</v>
      </c>
      <c r="G21" s="3191" t="s">
        <v>4102</v>
      </c>
    </row>
    <row r="22" spans="1:7">
      <c r="A22" s="3189">
        <v>21</v>
      </c>
      <c r="B22" s="3190" t="s">
        <v>4080</v>
      </c>
      <c r="C22" s="3189">
        <v>131</v>
      </c>
      <c r="D22" s="3189">
        <v>63732.51</v>
      </c>
      <c r="E22" s="3189">
        <v>7777.2669999999998</v>
      </c>
      <c r="F22" s="1428" t="s">
        <v>3414</v>
      </c>
      <c r="G22" s="3191" t="s">
        <v>4103</v>
      </c>
    </row>
    <row r="23" spans="1:7">
      <c r="A23" s="3189">
        <v>22</v>
      </c>
      <c r="B23" s="3190" t="s">
        <v>4080</v>
      </c>
      <c r="C23" s="3189">
        <v>201</v>
      </c>
      <c r="D23" s="3189">
        <v>100.22</v>
      </c>
      <c r="E23" s="3189">
        <v>12.23</v>
      </c>
      <c r="F23" s="1428" t="s">
        <v>3415</v>
      </c>
      <c r="G23" s="3191" t="s">
        <v>4104</v>
      </c>
    </row>
    <row r="24" spans="1:7">
      <c r="A24" s="3189">
        <v>23</v>
      </c>
      <c r="B24" s="3190" t="s">
        <v>4080</v>
      </c>
      <c r="C24" s="3189">
        <v>202</v>
      </c>
      <c r="D24" s="3189">
        <v>406.22</v>
      </c>
      <c r="E24" s="3189">
        <v>49.570999999999998</v>
      </c>
      <c r="F24" s="1428" t="s">
        <v>3415</v>
      </c>
      <c r="G24" s="3191" t="s">
        <v>4105</v>
      </c>
    </row>
    <row r="25" spans="1:7">
      <c r="A25" s="3189">
        <v>24</v>
      </c>
      <c r="B25" s="3190" t="s">
        <v>4080</v>
      </c>
      <c r="C25" s="3189">
        <v>203</v>
      </c>
      <c r="D25" s="3189">
        <v>29.53</v>
      </c>
      <c r="E25" s="3189">
        <v>3.6040000000000001</v>
      </c>
      <c r="F25" s="1428" t="s">
        <v>3415</v>
      </c>
      <c r="G25" s="3191" t="s">
        <v>4106</v>
      </c>
    </row>
    <row r="26" spans="1:7">
      <c r="A26" s="3189">
        <v>25</v>
      </c>
      <c r="B26" s="3190" t="s">
        <v>4080</v>
      </c>
      <c r="C26" s="3189">
        <v>204</v>
      </c>
      <c r="D26" s="3189">
        <v>105.39</v>
      </c>
      <c r="E26" s="3189">
        <v>12.861000000000001</v>
      </c>
      <c r="F26" s="1428" t="s">
        <v>3415</v>
      </c>
      <c r="G26" s="3191" t="s">
        <v>4107</v>
      </c>
    </row>
    <row r="27" spans="1:7">
      <c r="A27" s="3189">
        <v>26</v>
      </c>
      <c r="B27" s="3190" t="s">
        <v>4080</v>
      </c>
      <c r="C27" s="3189">
        <v>205</v>
      </c>
      <c r="D27" s="3189">
        <v>96.35</v>
      </c>
      <c r="E27" s="3189">
        <v>11.757999999999999</v>
      </c>
      <c r="F27" s="1428" t="s">
        <v>3415</v>
      </c>
      <c r="G27" s="3191" t="s">
        <v>4108</v>
      </c>
    </row>
    <row r="28" spans="1:7">
      <c r="A28" s="3189">
        <v>27</v>
      </c>
      <c r="B28" s="3190" t="s">
        <v>4080</v>
      </c>
      <c r="C28" s="3189">
        <v>206</v>
      </c>
      <c r="D28" s="3189">
        <v>93.19</v>
      </c>
      <c r="E28" s="3189">
        <v>11.372</v>
      </c>
      <c r="F28" s="1428" t="s">
        <v>3415</v>
      </c>
      <c r="G28" s="3191" t="s">
        <v>4109</v>
      </c>
    </row>
    <row r="29" spans="1:7">
      <c r="A29" s="3189">
        <v>28</v>
      </c>
      <c r="B29" s="3190" t="s">
        <v>4080</v>
      </c>
      <c r="C29" s="3189">
        <v>207</v>
      </c>
      <c r="D29" s="3189">
        <v>93.19</v>
      </c>
      <c r="E29" s="3189">
        <v>11.372</v>
      </c>
      <c r="F29" s="1428" t="s">
        <v>3415</v>
      </c>
      <c r="G29" s="3191" t="s">
        <v>4110</v>
      </c>
    </row>
    <row r="30" spans="1:7">
      <c r="A30" s="3189">
        <v>29</v>
      </c>
      <c r="B30" s="3190" t="s">
        <v>4080</v>
      </c>
      <c r="C30" s="3189">
        <v>208</v>
      </c>
      <c r="D30" s="3189">
        <v>93.19</v>
      </c>
      <c r="E30" s="3189">
        <v>11.372</v>
      </c>
      <c r="F30" s="1428" t="s">
        <v>3415</v>
      </c>
      <c r="G30" s="3191" t="s">
        <v>4111</v>
      </c>
    </row>
    <row r="31" spans="1:7">
      <c r="A31" s="3189">
        <v>30</v>
      </c>
      <c r="B31" s="3190" t="s">
        <v>4080</v>
      </c>
      <c r="C31" s="3189">
        <v>209</v>
      </c>
      <c r="D31" s="3189">
        <v>93.19</v>
      </c>
      <c r="E31" s="3189">
        <v>11.372</v>
      </c>
      <c r="F31" s="1428" t="s">
        <v>3415</v>
      </c>
      <c r="G31" s="3191" t="s">
        <v>4112</v>
      </c>
    </row>
    <row r="32" spans="1:7">
      <c r="A32" s="3189">
        <v>31</v>
      </c>
      <c r="B32" s="3190" t="s">
        <v>4080</v>
      </c>
      <c r="C32" s="3189">
        <v>210</v>
      </c>
      <c r="D32" s="3189">
        <v>84.71</v>
      </c>
      <c r="E32" s="3189">
        <v>10.337</v>
      </c>
      <c r="F32" s="1428" t="s">
        <v>3415</v>
      </c>
      <c r="G32" s="3191" t="s">
        <v>4113</v>
      </c>
    </row>
    <row r="33" spans="1:7">
      <c r="A33" s="3189">
        <v>32</v>
      </c>
      <c r="B33" s="3190" t="s">
        <v>4080</v>
      </c>
      <c r="C33" s="3189">
        <v>301</v>
      </c>
      <c r="D33" s="3189">
        <v>105.19</v>
      </c>
      <c r="E33" s="3189">
        <v>12.836</v>
      </c>
      <c r="F33" s="1428" t="s">
        <v>3416</v>
      </c>
      <c r="G33" s="3191" t="s">
        <v>4114</v>
      </c>
    </row>
    <row r="34" spans="1:7">
      <c r="A34" s="3189">
        <v>33</v>
      </c>
      <c r="B34" s="3190" t="s">
        <v>4080</v>
      </c>
      <c r="C34" s="3189">
        <v>302</v>
      </c>
      <c r="D34" s="3189">
        <v>111.53</v>
      </c>
      <c r="E34" s="3189">
        <v>13.61</v>
      </c>
      <c r="F34" s="1428" t="s">
        <v>3416</v>
      </c>
      <c r="G34" s="3191" t="s">
        <v>4106</v>
      </c>
    </row>
    <row r="35" spans="1:7">
      <c r="A35" s="3189">
        <v>34</v>
      </c>
      <c r="B35" s="3190" t="s">
        <v>4080</v>
      </c>
      <c r="C35" s="3189">
        <v>303</v>
      </c>
      <c r="D35" s="3189">
        <v>93.19</v>
      </c>
      <c r="E35" s="3189">
        <v>11.372</v>
      </c>
      <c r="F35" s="1428" t="s">
        <v>3416</v>
      </c>
      <c r="G35" s="3191" t="s">
        <v>4115</v>
      </c>
    </row>
    <row r="36" spans="1:7">
      <c r="A36" s="3189">
        <v>35</v>
      </c>
      <c r="B36" s="3190" t="s">
        <v>4080</v>
      </c>
      <c r="C36" s="3189">
        <v>304</v>
      </c>
      <c r="D36" s="3189">
        <v>93.19</v>
      </c>
      <c r="E36" s="3189">
        <v>11.372</v>
      </c>
      <c r="F36" s="1428" t="s">
        <v>3416</v>
      </c>
      <c r="G36" s="3191" t="s">
        <v>4116</v>
      </c>
    </row>
    <row r="37" spans="1:7">
      <c r="A37" s="3189">
        <v>36</v>
      </c>
      <c r="B37" s="3190" t="s">
        <v>4080</v>
      </c>
      <c r="C37" s="3189">
        <v>305</v>
      </c>
      <c r="D37" s="3189">
        <v>93.19</v>
      </c>
      <c r="E37" s="3189">
        <v>11.372</v>
      </c>
      <c r="F37" s="1428" t="s">
        <v>3416</v>
      </c>
      <c r="G37" s="3191" t="s">
        <v>4117</v>
      </c>
    </row>
    <row r="38" spans="1:7">
      <c r="A38" s="3189">
        <v>37</v>
      </c>
      <c r="B38" s="3190" t="s">
        <v>4080</v>
      </c>
      <c r="C38" s="3189">
        <v>306</v>
      </c>
      <c r="D38" s="3189">
        <v>93.19</v>
      </c>
      <c r="E38" s="3189">
        <v>11.372</v>
      </c>
      <c r="F38" s="1428" t="s">
        <v>3416</v>
      </c>
      <c r="G38" s="3191" t="s">
        <v>4118</v>
      </c>
    </row>
    <row r="39" spans="1:7">
      <c r="A39" s="3189">
        <v>38</v>
      </c>
      <c r="B39" s="3190" t="s">
        <v>4080</v>
      </c>
      <c r="C39" s="3189">
        <v>401</v>
      </c>
      <c r="D39" s="3189">
        <v>109.36</v>
      </c>
      <c r="E39" s="3189">
        <v>13.345000000000001</v>
      </c>
      <c r="F39" s="1428" t="s">
        <v>3418</v>
      </c>
      <c r="G39" s="3191" t="s">
        <v>4119</v>
      </c>
    </row>
    <row r="40" spans="1:7">
      <c r="A40" s="3189">
        <v>39</v>
      </c>
      <c r="B40" s="3190" t="s">
        <v>4080</v>
      </c>
      <c r="C40" s="3189">
        <v>402</v>
      </c>
      <c r="D40" s="3189">
        <v>111.53</v>
      </c>
      <c r="E40" s="3189">
        <v>13.61</v>
      </c>
      <c r="F40" s="1428" t="s">
        <v>3418</v>
      </c>
      <c r="G40" s="3191" t="s">
        <v>4120</v>
      </c>
    </row>
    <row r="41" spans="1:7">
      <c r="A41" s="3189">
        <v>40</v>
      </c>
      <c r="B41" s="3190" t="s">
        <v>4080</v>
      </c>
      <c r="C41" s="3189">
        <v>403</v>
      </c>
      <c r="D41" s="3189">
        <v>93.19</v>
      </c>
      <c r="E41" s="3189">
        <v>11.372</v>
      </c>
      <c r="F41" s="1428" t="s">
        <v>3418</v>
      </c>
      <c r="G41" s="3191" t="s">
        <v>4121</v>
      </c>
    </row>
    <row r="42" spans="1:7">
      <c r="A42" s="3189">
        <v>41</v>
      </c>
      <c r="B42" s="3190" t="s">
        <v>4080</v>
      </c>
      <c r="C42" s="3189">
        <v>404</v>
      </c>
      <c r="D42" s="3189">
        <v>93.19</v>
      </c>
      <c r="E42" s="3189">
        <v>11.372</v>
      </c>
      <c r="F42" s="1428" t="s">
        <v>3418</v>
      </c>
      <c r="G42" s="3191" t="s">
        <v>4122</v>
      </c>
    </row>
    <row r="43" spans="1:7">
      <c r="A43" s="3189">
        <v>42</v>
      </c>
      <c r="B43" s="3190" t="s">
        <v>4080</v>
      </c>
      <c r="C43" s="3189">
        <v>405</v>
      </c>
      <c r="D43" s="3189">
        <v>93.19</v>
      </c>
      <c r="E43" s="3189">
        <v>11.372</v>
      </c>
      <c r="F43" s="1428" t="s">
        <v>3418</v>
      </c>
      <c r="G43" s="3191" t="s">
        <v>4123</v>
      </c>
    </row>
    <row r="44" spans="1:7">
      <c r="A44" s="3189">
        <v>43</v>
      </c>
      <c r="B44" s="3190" t="s">
        <v>4080</v>
      </c>
      <c r="C44" s="3189">
        <v>406</v>
      </c>
      <c r="D44" s="3189">
        <v>93.19</v>
      </c>
      <c r="E44" s="3189">
        <v>11.372</v>
      </c>
      <c r="F44" s="1428" t="s">
        <v>3418</v>
      </c>
      <c r="G44" s="3191" t="s">
        <v>4124</v>
      </c>
    </row>
    <row r="45" spans="1:7">
      <c r="A45" s="3189">
        <v>44</v>
      </c>
      <c r="B45" s="3190" t="s">
        <v>4080</v>
      </c>
      <c r="C45" s="3189">
        <v>501</v>
      </c>
      <c r="D45" s="3189">
        <v>34.619999999999997</v>
      </c>
      <c r="E45" s="3189">
        <v>4.2249999999999996</v>
      </c>
      <c r="F45" s="1428" t="s">
        <v>3420</v>
      </c>
      <c r="G45" s="3191" t="s">
        <v>4125</v>
      </c>
    </row>
    <row r="46" spans="1:7">
      <c r="A46" s="3189">
        <v>45</v>
      </c>
      <c r="B46" s="3190" t="s">
        <v>4080</v>
      </c>
      <c r="C46" s="3189">
        <v>502</v>
      </c>
      <c r="D46" s="3189">
        <v>101.5</v>
      </c>
      <c r="E46" s="3189">
        <v>12.385999999999999</v>
      </c>
      <c r="F46" s="1428" t="s">
        <v>3420</v>
      </c>
      <c r="G46" s="3191" t="s">
        <v>4126</v>
      </c>
    </row>
    <row r="47" spans="1:7">
      <c r="A47" s="3189">
        <v>46</v>
      </c>
      <c r="B47" s="3190" t="s">
        <v>4080</v>
      </c>
      <c r="C47" s="3189">
        <v>503</v>
      </c>
      <c r="D47" s="3189">
        <v>93.19</v>
      </c>
      <c r="E47" s="3189">
        <v>11.372</v>
      </c>
      <c r="F47" s="1428" t="s">
        <v>3420</v>
      </c>
      <c r="G47" s="3191" t="s">
        <v>4127</v>
      </c>
    </row>
    <row r="48" spans="1:7">
      <c r="A48" s="3189">
        <v>47</v>
      </c>
      <c r="B48" s="3190" t="s">
        <v>4080</v>
      </c>
      <c r="C48" s="3189">
        <v>504</v>
      </c>
      <c r="D48" s="3189">
        <v>93.19</v>
      </c>
      <c r="E48" s="3189">
        <v>11.372</v>
      </c>
      <c r="F48" s="1428" t="s">
        <v>3420</v>
      </c>
      <c r="G48" s="3191" t="s">
        <v>4128</v>
      </c>
    </row>
    <row r="49" spans="1:7">
      <c r="A49" s="3189">
        <v>48</v>
      </c>
      <c r="B49" s="3190" t="s">
        <v>4080</v>
      </c>
      <c r="C49" s="3189">
        <v>505</v>
      </c>
      <c r="D49" s="3189">
        <v>93.19</v>
      </c>
      <c r="E49" s="3189">
        <v>11.372</v>
      </c>
      <c r="F49" s="1428" t="s">
        <v>3420</v>
      </c>
      <c r="G49" s="3191" t="s">
        <v>4129</v>
      </c>
    </row>
    <row r="50" spans="1:7">
      <c r="A50" s="3189">
        <v>49</v>
      </c>
      <c r="B50" s="3190" t="s">
        <v>4080</v>
      </c>
      <c r="C50" s="3189">
        <v>506</v>
      </c>
      <c r="D50" s="3189">
        <v>93.19</v>
      </c>
      <c r="E50" s="3189">
        <v>11.372</v>
      </c>
      <c r="F50" s="1428" t="s">
        <v>3420</v>
      </c>
      <c r="G50" s="3191" t="s">
        <v>4130</v>
      </c>
    </row>
    <row r="51" spans="1:7">
      <c r="A51" s="3189">
        <v>50</v>
      </c>
      <c r="B51" s="3190" t="s">
        <v>4080</v>
      </c>
      <c r="C51" s="3189">
        <v>508</v>
      </c>
      <c r="D51" s="3189">
        <v>19.989999999999998</v>
      </c>
      <c r="E51" s="3189">
        <v>2.4390000000000001</v>
      </c>
      <c r="F51" s="1428" t="s">
        <v>3420</v>
      </c>
      <c r="G51" s="3191" t="s">
        <v>4131</v>
      </c>
    </row>
    <row r="52" spans="1:7">
      <c r="A52" s="3189">
        <v>51</v>
      </c>
      <c r="B52" s="3190" t="s">
        <v>4080</v>
      </c>
      <c r="C52" s="3189">
        <v>601</v>
      </c>
      <c r="D52" s="3189">
        <v>46.08</v>
      </c>
      <c r="E52" s="3189">
        <v>5.6230000000000002</v>
      </c>
      <c r="F52" s="1428" t="s">
        <v>3422</v>
      </c>
      <c r="G52" s="3191" t="s">
        <v>4132</v>
      </c>
    </row>
    <row r="53" spans="1:7">
      <c r="A53" s="3189">
        <v>52</v>
      </c>
      <c r="B53" s="3190" t="s">
        <v>4080</v>
      </c>
      <c r="C53" s="3189">
        <v>602</v>
      </c>
      <c r="D53" s="3189">
        <v>93.19</v>
      </c>
      <c r="E53" s="3189">
        <v>11.372</v>
      </c>
      <c r="F53" s="1428" t="s">
        <v>3422</v>
      </c>
      <c r="G53" s="3191" t="s">
        <v>4133</v>
      </c>
    </row>
    <row r="54" spans="1:7">
      <c r="A54" s="3189">
        <v>53</v>
      </c>
      <c r="B54" s="3190" t="s">
        <v>4080</v>
      </c>
      <c r="C54" s="3189">
        <v>603</v>
      </c>
      <c r="D54" s="3189">
        <v>93.19</v>
      </c>
      <c r="E54" s="3189">
        <v>11.372</v>
      </c>
      <c r="F54" s="1428" t="s">
        <v>3422</v>
      </c>
      <c r="G54" s="3191" t="s">
        <v>4134</v>
      </c>
    </row>
    <row r="55" spans="1:7">
      <c r="A55" s="3189">
        <v>54</v>
      </c>
      <c r="B55" s="3190" t="s">
        <v>4080</v>
      </c>
      <c r="C55" s="3189">
        <v>604</v>
      </c>
      <c r="D55" s="3189">
        <v>93.19</v>
      </c>
      <c r="E55" s="3189">
        <v>11.372</v>
      </c>
      <c r="F55" s="1428" t="s">
        <v>3422</v>
      </c>
      <c r="G55" s="3191" t="s">
        <v>4135</v>
      </c>
    </row>
    <row r="56" spans="1:7">
      <c r="A56" s="3189">
        <v>55</v>
      </c>
      <c r="B56" s="3190" t="s">
        <v>4080</v>
      </c>
      <c r="C56" s="3189">
        <v>605</v>
      </c>
      <c r="D56" s="3189">
        <v>93.19</v>
      </c>
      <c r="E56" s="3189">
        <v>11.372</v>
      </c>
      <c r="F56" s="1428" t="s">
        <v>3422</v>
      </c>
      <c r="G56" s="3191" t="s">
        <v>4136</v>
      </c>
    </row>
    <row r="57" spans="1:7">
      <c r="A57" s="3189">
        <v>56</v>
      </c>
      <c r="B57" s="3190" t="s">
        <v>4080</v>
      </c>
      <c r="C57" s="3189">
        <v>606</v>
      </c>
      <c r="D57" s="3189">
        <v>93.19</v>
      </c>
      <c r="E57" s="3189">
        <v>11.372</v>
      </c>
      <c r="F57" s="1428" t="s">
        <v>3422</v>
      </c>
      <c r="G57" s="3191" t="s">
        <v>4137</v>
      </c>
    </row>
    <row r="58" spans="1:7">
      <c r="A58" s="3189">
        <v>57</v>
      </c>
      <c r="B58" s="3190" t="s">
        <v>4080</v>
      </c>
      <c r="C58" s="3189">
        <v>607</v>
      </c>
      <c r="D58" s="3189">
        <v>22.75</v>
      </c>
      <c r="E58" s="3189">
        <v>2.7759999999999998</v>
      </c>
      <c r="F58" s="1428" t="s">
        <v>3422</v>
      </c>
      <c r="G58" s="3191" t="s">
        <v>4138</v>
      </c>
    </row>
    <row r="59" spans="1:7">
      <c r="A59" s="3189">
        <v>58</v>
      </c>
      <c r="B59" s="3190" t="s">
        <v>4080</v>
      </c>
      <c r="C59" s="3189">
        <v>608</v>
      </c>
      <c r="D59" s="3189">
        <v>41.27</v>
      </c>
      <c r="E59" s="3189">
        <v>5.0359999999999996</v>
      </c>
      <c r="F59" s="1428" t="s">
        <v>3422</v>
      </c>
      <c r="G59" s="3191" t="s">
        <v>4139</v>
      </c>
    </row>
    <row r="60" spans="1:7">
      <c r="A60" s="3189">
        <v>59</v>
      </c>
      <c r="B60" s="3190" t="s">
        <v>4080</v>
      </c>
      <c r="C60" s="3189">
        <v>610</v>
      </c>
      <c r="D60" s="3189">
        <v>19.989999999999998</v>
      </c>
      <c r="E60" s="3189">
        <v>2.4390000000000001</v>
      </c>
      <c r="F60" s="1428" t="s">
        <v>3422</v>
      </c>
      <c r="G60" s="3191" t="s">
        <v>4140</v>
      </c>
    </row>
    <row r="61" spans="1:7">
      <c r="A61" s="3189">
        <v>60</v>
      </c>
      <c r="B61" s="3190" t="s">
        <v>4080</v>
      </c>
      <c r="C61" s="3189">
        <v>704</v>
      </c>
      <c r="D61" s="3189">
        <v>1187.0899999999999</v>
      </c>
      <c r="E61" s="3189">
        <v>144.86000000000001</v>
      </c>
      <c r="F61" s="1428" t="s">
        <v>3424</v>
      </c>
      <c r="G61" s="3191" t="s">
        <v>4141</v>
      </c>
    </row>
    <row r="62" spans="1:7">
      <c r="A62" s="1428" t="s">
        <v>2583</v>
      </c>
      <c r="B62" s="3189"/>
      <c r="C62" s="3189"/>
      <c r="D62" s="3189">
        <f>SUM(D2:D61)</f>
        <v>71986.140000000072</v>
      </c>
      <c r="E62" s="3189">
        <f>SUM(E2:E61)</f>
        <v>8784.4559999999874</v>
      </c>
      <c r="F62" s="1428"/>
      <c r="G62" s="3192"/>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topLeftCell="A22" zoomScaleNormal="100" zoomScaleSheetLayoutView="100" workbookViewId="0">
      <selection activeCell="G23" sqref="G2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75" t="s">
        <v>1131</v>
      </c>
      <c r="B2" s="3275"/>
      <c r="C2" s="3275"/>
      <c r="D2" s="747" t="s">
        <v>1107</v>
      </c>
      <c r="E2" s="1522" t="s">
        <v>1108</v>
      </c>
      <c r="F2" s="2438"/>
      <c r="G2" s="2431"/>
      <c r="H2" s="2432"/>
      <c r="I2" s="2145" t="s">
        <v>1132</v>
      </c>
      <c r="J2" s="2438"/>
      <c r="K2" s="2438"/>
      <c r="L2" s="2438"/>
      <c r="M2" s="2438"/>
      <c r="N2" s="2439"/>
      <c r="O2" s="2438"/>
      <c r="P2" s="2438"/>
    </row>
    <row r="3" spans="1:16" ht="15.75" thickBot="1">
      <c r="A3" s="3276" t="s">
        <v>1105</v>
      </c>
      <c r="B3" s="3276"/>
      <c r="C3" s="3276"/>
      <c r="D3" s="3194">
        <f>'数据-基础表'!AY6</f>
        <v>8784.4599999999991</v>
      </c>
      <c r="E3" s="40">
        <f>'数据-基础表'!AZ5</f>
        <v>71986.14</v>
      </c>
      <c r="F3" s="2438"/>
      <c r="G3" s="41"/>
      <c r="H3" s="42" t="s">
        <v>1106</v>
      </c>
      <c r="I3" s="801">
        <f>ROUND('数据-基础表'!B3/'数据-基础表'!A3,2)</f>
        <v>8.19</v>
      </c>
      <c r="J3" s="2438"/>
      <c r="K3" s="2438"/>
      <c r="L3" s="2438"/>
      <c r="M3" s="2438"/>
      <c r="N3" s="2439"/>
      <c r="O3" s="2438"/>
      <c r="P3" s="2438"/>
    </row>
    <row r="4" spans="1:16" ht="15">
      <c r="A4" s="3277"/>
      <c r="B4" s="3278"/>
      <c r="C4" s="3279"/>
      <c r="D4" s="1523" t="s">
        <v>1107</v>
      </c>
      <c r="E4" s="1524" t="s">
        <v>1108</v>
      </c>
      <c r="F4" s="2438"/>
      <c r="G4" s="2433" t="s">
        <v>1133</v>
      </c>
      <c r="H4" s="42" t="s">
        <v>1113</v>
      </c>
      <c r="I4" s="801">
        <f>ROUND(SUMIF('数据-基础表'!I9:AS9,"地上",'数据-基础表'!I5:AS5)/'数据-基础表'!A3,2)</f>
        <v>8.19</v>
      </c>
      <c r="J4" s="2438"/>
      <c r="K4" s="2438"/>
      <c r="L4" s="2438"/>
      <c r="M4" s="2438"/>
      <c r="N4" s="2439"/>
      <c r="O4" s="2438"/>
      <c r="P4" s="2438"/>
    </row>
    <row r="5" spans="1:16">
      <c r="A5" s="41" t="s">
        <v>1109</v>
      </c>
      <c r="B5" s="3280" t="s">
        <v>1110</v>
      </c>
      <c r="C5" s="3280"/>
      <c r="D5" s="42">
        <f>ROUND($D$3*E5/$E$3,2)</f>
        <v>0</v>
      </c>
      <c r="E5" s="43">
        <f>SUMIF('数据-基础表'!$11:$11,"住宅",'数据-基础表'!$5:$5)</f>
        <v>0</v>
      </c>
      <c r="F5" s="2438"/>
      <c r="G5" s="41"/>
      <c r="H5" s="42" t="s">
        <v>1106</v>
      </c>
      <c r="I5" s="801">
        <f>ROUND(E31/D31,2)</f>
        <v>8.19</v>
      </c>
      <c r="J5" s="2438"/>
      <c r="K5" s="2438"/>
      <c r="L5" s="2438"/>
      <c r="M5" s="2438"/>
      <c r="N5" s="2438"/>
      <c r="O5" s="2438"/>
      <c r="P5" s="2438"/>
    </row>
    <row r="6" spans="1:16" ht="15" thickBot="1">
      <c r="A6" s="1526"/>
      <c r="B6" s="3280" t="s">
        <v>1111</v>
      </c>
      <c r="C6" s="3280"/>
      <c r="D6" s="42">
        <f>ROUND($D$3*E6/$E$3,2)</f>
        <v>8784.4599999999991</v>
      </c>
      <c r="E6" s="43">
        <f>E3-E5</f>
        <v>71986.14</v>
      </c>
      <c r="F6" s="2438"/>
      <c r="G6" s="1528" t="s">
        <v>1112</v>
      </c>
      <c r="H6" s="44" t="s">
        <v>1113</v>
      </c>
      <c r="I6" s="2434">
        <f>ROUND(F31/D31,2)</f>
        <v>8.19</v>
      </c>
      <c r="J6" s="2438"/>
      <c r="K6" s="2438"/>
      <c r="L6" s="2438"/>
      <c r="M6" s="2438"/>
      <c r="N6" s="2438"/>
      <c r="O6" s="2438"/>
      <c r="P6" s="2438"/>
    </row>
    <row r="7" spans="1:16" ht="15.75" thickBot="1">
      <c r="A7" s="3272"/>
      <c r="B7" s="3273"/>
      <c r="C7" s="3274"/>
      <c r="D7" s="1523" t="s">
        <v>1107</v>
      </c>
      <c r="E7" s="1527" t="s">
        <v>1114</v>
      </c>
      <c r="F7" s="2438"/>
      <c r="G7" s="2435" t="s">
        <v>1115</v>
      </c>
      <c r="H7" s="94"/>
      <c r="I7" s="2436"/>
      <c r="J7" s="2438"/>
      <c r="K7" s="2438"/>
      <c r="L7" s="2438"/>
      <c r="M7" s="2438"/>
      <c r="N7" s="2438"/>
      <c r="O7" s="2438"/>
      <c r="P7" s="2438"/>
    </row>
    <row r="8" spans="1:16">
      <c r="A8" s="41" t="s">
        <v>1116</v>
      </c>
      <c r="B8" s="44" t="s">
        <v>1117</v>
      </c>
      <c r="C8" s="42" t="s">
        <v>1118</v>
      </c>
      <c r="D8" s="42">
        <f t="shared" ref="D8:D15" si="0">ROUND($D$3*E8/$E$3,2)</f>
        <v>8784.4599999999991</v>
      </c>
      <c r="E8" s="45">
        <f>SUMIF('数据-基础表'!BB10:BK10,"地上",'数据-基础表'!BB5:BK5)</f>
        <v>71986.14</v>
      </c>
      <c r="F8" s="2438"/>
      <c r="G8" s="2438"/>
      <c r="H8" s="2438"/>
      <c r="I8" s="2438"/>
      <c r="J8" s="2438"/>
      <c r="K8" s="2438"/>
      <c r="L8" s="2438"/>
      <c r="M8" s="2438"/>
      <c r="N8" s="2438"/>
      <c r="O8" s="2438"/>
      <c r="P8" s="2438"/>
    </row>
    <row r="9" spans="1:16">
      <c r="A9" s="1528"/>
      <c r="B9" s="1529"/>
      <c r="C9" s="42" t="s">
        <v>1119</v>
      </c>
      <c r="D9" s="42">
        <f t="shared" si="0"/>
        <v>0</v>
      </c>
      <c r="E9" s="46">
        <v>0</v>
      </c>
      <c r="F9" s="2438"/>
      <c r="G9" s="2438"/>
      <c r="H9" s="2438"/>
      <c r="I9" s="2438"/>
      <c r="J9" s="2438"/>
      <c r="K9" s="2438"/>
      <c r="L9" s="2438"/>
      <c r="M9" s="2438"/>
      <c r="N9" s="2438"/>
      <c r="O9" s="2438"/>
      <c r="P9" s="2438"/>
    </row>
    <row r="10" spans="1:16">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4" t="s">
        <v>1123</v>
      </c>
      <c r="D16" s="44">
        <f>SUM(D8:D15)</f>
        <v>8784.4599999999991</v>
      </c>
      <c r="E16" s="47">
        <f>SUM(E8:E15)</f>
        <v>71986.14</v>
      </c>
      <c r="F16" s="2438"/>
      <c r="G16" s="2438"/>
      <c r="H16" s="1530" t="s">
        <v>1135</v>
      </c>
      <c r="I16" s="1531"/>
      <c r="J16" s="1070"/>
      <c r="K16" s="3269" t="s">
        <v>1135</v>
      </c>
      <c r="L16" s="3270"/>
      <c r="M16" s="3270"/>
      <c r="N16" s="3270"/>
      <c r="O16" s="3270"/>
      <c r="P16" s="3271"/>
    </row>
    <row r="17" spans="1:19" ht="15">
      <c r="A17" s="1532" t="s">
        <v>1136</v>
      </c>
      <c r="B17" s="1533" t="s">
        <v>1137</v>
      </c>
      <c r="C17" s="1534" t="s">
        <v>1138</v>
      </c>
      <c r="D17" s="1535" t="s">
        <v>1126</v>
      </c>
      <c r="E17" s="1536" t="s">
        <v>1127</v>
      </c>
      <c r="F17" s="1537"/>
      <c r="G17" s="1538"/>
      <c r="H17" s="1539" t="s">
        <v>1139</v>
      </c>
      <c r="I17" s="1540" t="s">
        <v>1124</v>
      </c>
      <c r="J17" s="1070"/>
      <c r="K17" s="3266" t="s">
        <v>1140</v>
      </c>
      <c r="L17" s="3267"/>
      <c r="M17" s="3268"/>
      <c r="N17" s="3266" t="s">
        <v>1141</v>
      </c>
      <c r="O17" s="3267"/>
      <c r="P17" s="3268"/>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c r="A19" s="1548"/>
      <c r="B19" s="44" t="s">
        <v>1125</v>
      </c>
      <c r="C19" s="3115" t="str">
        <f>'数据-基础表'!C13</f>
        <v>居然之家</v>
      </c>
      <c r="D19" s="42">
        <f>ROUND($D$3*E19/$E$3,2)</f>
        <v>8784.4599999999991</v>
      </c>
      <c r="E19" s="50">
        <f t="shared" ref="E19:E26" si="1">SUM(F19:G19)</f>
        <v>71986.14</v>
      </c>
      <c r="F19" s="2557">
        <f>'数据-基础表'!I13</f>
        <v>71986.14</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8784.4599999999991</v>
      </c>
      <c r="S19" s="50">
        <f t="shared" si="5"/>
        <v>71986.14</v>
      </c>
    </row>
    <row r="20" spans="1:19">
      <c r="A20" s="1548"/>
      <c r="B20" s="44" t="s">
        <v>1153</v>
      </c>
      <c r="C20" s="3115"/>
      <c r="D20" s="42">
        <f t="shared" ref="D20:D26" si="6">ROUND($D$3*E20/$E$3,2)</f>
        <v>0</v>
      </c>
      <c r="E20" s="50">
        <f t="shared" si="1"/>
        <v>0</v>
      </c>
      <c r="F20" s="2557"/>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0</v>
      </c>
    </row>
    <row r="21" spans="1:19">
      <c r="A21" s="1548"/>
      <c r="B21" s="44" t="s">
        <v>1153</v>
      </c>
      <c r="C21" s="3115"/>
      <c r="D21" s="42">
        <f t="shared" si="6"/>
        <v>0</v>
      </c>
      <c r="E21" s="50">
        <f t="shared" si="1"/>
        <v>0</v>
      </c>
      <c r="F21" s="2557"/>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c r="A22" s="1548"/>
      <c r="B22" s="44" t="s">
        <v>1153</v>
      </c>
      <c r="C22" s="3116"/>
      <c r="D22" s="42">
        <f t="shared" si="6"/>
        <v>0</v>
      </c>
      <c r="E22" s="50">
        <f t="shared" si="1"/>
        <v>0</v>
      </c>
      <c r="F22" s="2558"/>
      <c r="G22" s="2559"/>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c r="A23" s="1548"/>
      <c r="B23" s="44" t="s">
        <v>1153</v>
      </c>
      <c r="C23" s="3116"/>
      <c r="D23" s="42">
        <f>ROUND($D$3*E23/$E$3,2)</f>
        <v>0</v>
      </c>
      <c r="E23" s="50">
        <f>SUM(F23:G23)</f>
        <v>0</v>
      </c>
      <c r="F23" s="2558"/>
      <c r="G23" s="2559"/>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c r="A24" s="1548"/>
      <c r="B24" s="44" t="s">
        <v>1153</v>
      </c>
      <c r="C24" s="3116"/>
      <c r="D24" s="42">
        <f>ROUND($D$3*E24/$E$3,2)</f>
        <v>0</v>
      </c>
      <c r="E24" s="50">
        <f>SUM(F24:G24)</f>
        <v>0</v>
      </c>
      <c r="F24" s="2558"/>
      <c r="G24" s="2559"/>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c r="A25" s="1548"/>
      <c r="B25" s="44" t="s">
        <v>1153</v>
      </c>
      <c r="C25" s="3116"/>
      <c r="D25" s="42">
        <f t="shared" si="6"/>
        <v>0</v>
      </c>
      <c r="E25" s="50">
        <f t="shared" si="1"/>
        <v>0</v>
      </c>
      <c r="F25" s="2558"/>
      <c r="G25" s="2559"/>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c r="A26" s="1548"/>
      <c r="B26" s="44" t="s">
        <v>1153</v>
      </c>
      <c r="C26" s="52"/>
      <c r="D26" s="42">
        <f t="shared" si="6"/>
        <v>0</v>
      </c>
      <c r="E26" s="50">
        <f t="shared" si="1"/>
        <v>0</v>
      </c>
      <c r="F26" s="2558"/>
      <c r="G26" s="2559"/>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75" thickBot="1">
      <c r="A27" s="1548"/>
      <c r="B27" s="42"/>
      <c r="C27" s="1553" t="s">
        <v>1154</v>
      </c>
      <c r="D27" s="1071">
        <f>SUM(D19:D26)</f>
        <v>8784.4599999999991</v>
      </c>
      <c r="E27" s="1072">
        <f>IF(SUM(E19:E26)='数据-基础表'!BA5,SUM(E19:E26),IF(F27="地上面积有误","面积有误","地下面积有误"))</f>
        <v>71986.14</v>
      </c>
      <c r="F27" s="1071">
        <f>IF(SUM(F19:F26)=E8,SUM(F19:F26),"地上面积有误")</f>
        <v>71986.14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8784.4599999999991</v>
      </c>
      <c r="S27" s="42">
        <f>IF(SUM(S19:S26)=$E$3,SUM(S19:S26),SUM(S19:S26)&amp;"误差"&amp;ROUND(SUM(S19:S26)-E3,2))</f>
        <v>71986.14</v>
      </c>
    </row>
    <row r="28" spans="1:19">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ht="15">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8784.4599999999991</v>
      </c>
      <c r="E31" s="642">
        <f>E27+E30</f>
        <v>71986.14</v>
      </c>
      <c r="F31" s="643">
        <f>F27+F30</f>
        <v>71986.14</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8.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45819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3430</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居然之家</v>
      </c>
      <c r="B6" s="1586" t="str">
        <f>IF(A6=0,"","经营性")</f>
        <v>经营性</v>
      </c>
      <c r="C6" s="1587" t="s">
        <v>673</v>
      </c>
      <c r="D6" s="804">
        <f>SUMIF(项目基本情况!C$12:I$12,C6,项目基本情况!C$14:I$14)</f>
        <v>40</v>
      </c>
      <c r="E6" s="803">
        <f>IF(B6="","",SUMIF(项目基本情况!C$12:I$12,C6,项目基本情况!C$13:I$13))</f>
        <v>57922</v>
      </c>
      <c r="F6" s="60">
        <f>SUMIF(项目基本情况!C$12:I$12,C6,项目基本情况!C$15:I$15)</f>
        <v>33.15</v>
      </c>
      <c r="G6" s="61">
        <f>IF(ISERROR(ROUND(POWER(1+H6,D6-F6)*(POWER(1+H6,F6)-1)/(POWER(1+H6,D6)-1),3)),0,ROUND(POWER(1+H6,D6-F6)*(POWER(1+H6,F6)-1)/(POWER(1+H6,D6)-1),3))</f>
        <v>0.93400000000000005</v>
      </c>
      <c r="H6" s="690">
        <v>0.05</v>
      </c>
      <c r="I6" s="690">
        <v>5.5E-2</v>
      </c>
      <c r="J6" s="62">
        <v>7.0000000000000007E-2</v>
      </c>
      <c r="K6" s="969">
        <f>SUMIF('数据-汇总表'!C$19:C$33,A6,'数据-汇总表'!E$19:E$33)</f>
        <v>71986.14</v>
      </c>
      <c r="L6" s="691">
        <v>5000</v>
      </c>
      <c r="M6" s="63">
        <f t="shared" ref="M6:M14" si="0">ROUND(K6*L6/10000,0)</f>
        <v>35993</v>
      </c>
      <c r="N6" s="689">
        <f>ROUND(1-(2025-2021)/60,2)</f>
        <v>0.93</v>
      </c>
      <c r="O6" s="63" t="str">
        <f>IF($N$5="成新度","——",ROUND(M6*N6,0))</f>
        <v>——</v>
      </c>
      <c r="P6" s="64" t="str">
        <f>IF($N$5="成新度","——",M6-O6)</f>
        <v>——</v>
      </c>
      <c r="Q6" s="692">
        <v>0.15</v>
      </c>
      <c r="R6" s="65">
        <f ca="1">SUMIF('数据-汇总表'!C$19:C$33,A6,'数据-汇总表'!R$19:R$27)</f>
        <v>8784.4599999999991</v>
      </c>
      <c r="S6" s="48">
        <f>IF('数据-汇总表'!$I$17="按面积比例",SUMIF('数据-汇总表'!C$19:C$33,A6,'数据-汇总表'!K$19:K$33),SUMIF('数据-汇总表'!C$19:C$33,A6,'数据-汇总表'!N$19:N$33))</f>
        <v>0</v>
      </c>
      <c r="T6" s="1091">
        <f>ROUND($L$14*S6/10000,0)</f>
        <v>0</v>
      </c>
      <c r="U6" s="3126">
        <v>1.5</v>
      </c>
      <c r="V6" s="66">
        <v>1.4999999999999999E-2</v>
      </c>
      <c r="W6" s="66">
        <v>0.1</v>
      </c>
      <c r="X6" s="978"/>
      <c r="Y6" s="67">
        <f>N6</f>
        <v>0.93</v>
      </c>
      <c r="Z6" s="68"/>
      <c r="AA6" s="62"/>
      <c r="AB6" s="62"/>
      <c r="AC6" s="978"/>
      <c r="AD6" s="69"/>
      <c r="AE6" s="979">
        <f ca="1">IF(AN6="",0,SUMIF(INDIRECT("'"&amp;AN6&amp;"'"&amp;"!E:E"),$AE$5,INDIRECT("'"&amp;AN6&amp;"'"&amp;"!F:F")))</f>
        <v>33.15</v>
      </c>
      <c r="AF6" s="73"/>
      <c r="AG6" s="129">
        <f>IF(AF6="",0,AE6-AF6)</f>
        <v>0</v>
      </c>
      <c r="AH6" s="70"/>
      <c r="AI6" s="72">
        <v>365</v>
      </c>
      <c r="AJ6" s="73"/>
      <c r="AK6" s="74">
        <v>2E-3</v>
      </c>
      <c r="AL6" s="75">
        <v>1E-3</v>
      </c>
      <c r="AM6" s="76">
        <v>0.01</v>
      </c>
      <c r="AN6" s="1588" t="s">
        <v>3431</v>
      </c>
      <c r="AO6" s="49">
        <f ca="1">SUMIF(INDIRECT("'"&amp;AN6&amp;"'"&amp;"!A:A"),"总价",INDIRECT("'"&amp;AN6&amp;"'"&amp;"!B:B"))</f>
        <v>51485</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0</v>
      </c>
      <c r="L7" s="691"/>
      <c r="M7" s="63">
        <f t="shared" si="0"/>
        <v>0</v>
      </c>
      <c r="N7" s="689"/>
      <c r="O7" s="63" t="str">
        <f t="shared" ref="O7:O14" si="3">IF($N$5="成新度","——",ROUND(M7*N7,0))</f>
        <v>——</v>
      </c>
      <c r="P7" s="64" t="str">
        <f t="shared" ref="P7:P14" si="4">IF($N$5="成新度","——",M7-O7)</f>
        <v>——</v>
      </c>
      <c r="Q7" s="692"/>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6"/>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8"/>
      <c r="AO7" s="49" t="e">
        <f t="shared" ref="AO7:AO13" ca="1" si="8">SUMIF(INDIRECT("'"&amp;AN7&amp;"'"&amp;"!A:A"),"总价",INDIRECT("'"&amp;AN7&amp;"'"&amp;"!B:B"))</f>
        <v>#REF!</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7"/>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6"/>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6"/>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6"/>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6"/>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8"/>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0.93400000000000005</v>
      </c>
      <c r="H16" s="83">
        <f>ROUND(SUMPRODUCT(H6:H13,K6:K13)/SUMPRODUCT((H6:H13&gt;0)*(K6:K13)),3)</f>
        <v>0.05</v>
      </c>
      <c r="I16" s="84"/>
      <c r="J16" s="84"/>
      <c r="K16" s="85">
        <f>SUM(K6:K15)</f>
        <v>71986.14</v>
      </c>
      <c r="L16" s="86">
        <f>ROUND(M16*10000/SUM(K6:K14),0)</f>
        <v>5000</v>
      </c>
      <c r="M16" s="86">
        <f>SUM(M6:M14)</f>
        <v>35993</v>
      </c>
      <c r="N16" s="87">
        <f>ROUND(SUMPRODUCT(M6:M14,N6:N14)/M16,3)</f>
        <v>0.93</v>
      </c>
      <c r="O16" s="86">
        <f>SUM(O6:O14)</f>
        <v>0</v>
      </c>
      <c r="P16" s="86">
        <f>SUM(P6:P14)</f>
        <v>0</v>
      </c>
      <c r="Q16" s="88">
        <f>ROUND(SUMPRODUCT(Q6:Q13,K6:K13)/SUMPRODUCT((Q6:Q13&gt;0)*(K6:K13)),2)</f>
        <v>0.15</v>
      </c>
      <c r="R16" s="973">
        <f ca="1">SUM(R6:R13)</f>
        <v>8784.4599999999991</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2.5</v>
      </c>
      <c r="C20" s="2561" t="s">
        <v>2291</v>
      </c>
      <c r="D20" s="2451"/>
      <c r="E20" s="2438"/>
      <c r="F20" s="2438"/>
      <c r="G20" s="2438"/>
      <c r="H20" s="2438"/>
      <c r="I20" s="2438"/>
      <c r="J20" s="2438"/>
      <c r="K20" s="2449"/>
      <c r="L20" s="2449"/>
      <c r="M20" s="2448"/>
      <c r="N20" s="2448"/>
      <c r="O20" s="2448"/>
      <c r="P20" s="2448"/>
      <c r="Q20" s="2448"/>
      <c r="R20" s="2448"/>
      <c r="S20" s="2448"/>
      <c r="T20" s="2448"/>
      <c r="U20" s="3164" t="s">
        <v>3514</v>
      </c>
      <c r="V20" s="3164" t="s">
        <v>3515</v>
      </c>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f>B20</f>
        <v>2.5</v>
      </c>
      <c r="C21" s="2438"/>
      <c r="D21" s="2451"/>
      <c r="E21" s="2438"/>
      <c r="F21" s="2438"/>
      <c r="G21" s="2438"/>
      <c r="H21" s="2438"/>
      <c r="I21" s="2438"/>
      <c r="J21" s="2438"/>
      <c r="K21" s="2449"/>
      <c r="L21" s="2449"/>
      <c r="M21" s="2448"/>
      <c r="N21" s="2448"/>
      <c r="O21" s="2448"/>
      <c r="P21" s="2448"/>
      <c r="Q21" s="2448"/>
      <c r="R21" s="2448"/>
      <c r="S21" s="2448"/>
      <c r="T21" s="2448"/>
      <c r="U21" s="2448">
        <v>35110000</v>
      </c>
      <c r="V21" s="2448">
        <f>ROUND(U21/365/K16,2)</f>
        <v>1.34</v>
      </c>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55</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55</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396</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3374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0.02</v>
      </c>
      <c r="C36" s="2564" t="s">
        <v>3392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4" t="s">
        <v>3375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0.03</v>
      </c>
      <c r="C38" s="2564" t="s">
        <v>3376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3377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v>0</v>
      </c>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24</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144</v>
      </c>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v>24</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81" t="s">
        <v>2277</v>
      </c>
      <c r="B1" s="3282"/>
      <c r="C1" s="3282"/>
      <c r="D1" s="3282"/>
      <c r="E1" s="3282"/>
      <c r="F1" s="3282"/>
      <c r="G1" s="328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5"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5"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D28" sqref="D28"/>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71986.14</v>
      </c>
      <c r="C1" s="2461"/>
      <c r="D1" s="2461"/>
      <c r="E1" s="2461"/>
      <c r="F1" s="2461"/>
      <c r="G1" s="2462"/>
      <c r="H1" s="2462"/>
      <c r="I1" s="2462"/>
      <c r="J1" s="2462"/>
      <c r="K1" s="2462"/>
    </row>
    <row r="2" spans="1:11" ht="16.5">
      <c r="A2" s="2299" t="s">
        <v>653</v>
      </c>
      <c r="B2" s="2299">
        <f>SUM(C14:C23)</f>
        <v>8784.4599999999991</v>
      </c>
      <c r="C2" s="2461"/>
      <c r="D2" s="2461"/>
      <c r="E2" s="2461"/>
      <c r="F2" s="2461"/>
      <c r="G2" s="2462"/>
      <c r="H2" s="2462"/>
      <c r="I2" s="2462"/>
      <c r="J2" s="2462"/>
      <c r="K2" s="2462"/>
    </row>
    <row r="3" spans="1:11" ht="16.5">
      <c r="A3" s="2299" t="s">
        <v>662</v>
      </c>
      <c r="B3" s="2301">
        <f>项目基本情况!D3</f>
        <v>45819</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57308</v>
      </c>
      <c r="C5" s="2299">
        <f ca="1">IF(B5=D14,结果表!H102,ROUND(B5*10000/$B$1,0))</f>
        <v>7961</v>
      </c>
      <c r="D5" s="2299">
        <f ca="1">ROUND(B5*10000/$B$2,0)</f>
        <v>65238</v>
      </c>
      <c r="E5" s="2461"/>
      <c r="F5" s="2462"/>
      <c r="G5" s="2462"/>
      <c r="H5" s="2462"/>
      <c r="I5" s="2462"/>
      <c r="J5" s="2462"/>
      <c r="K5" s="2462"/>
    </row>
    <row r="6" spans="1:11" ht="16.5">
      <c r="A6" s="2299" t="s">
        <v>656</v>
      </c>
      <c r="B6" s="2299">
        <f ca="1">SUM(G14:G23)</f>
        <v>57308</v>
      </c>
      <c r="C6" s="2299">
        <f ca="1">IF(B6=G14,结果表!H108,ROUND(B6*10000/$B$1,0))</f>
        <v>7961</v>
      </c>
      <c r="D6" s="2299">
        <f ca="1">ROUND(B6*10000/$B$2,0)</f>
        <v>65238</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3347</v>
      </c>
      <c r="D10" s="2299" t="s">
        <v>3348</v>
      </c>
      <c r="E10" s="3136"/>
      <c r="F10" s="3140" t="s">
        <v>3349</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71986.14</v>
      </c>
      <c r="C14" s="2305">
        <f>'数据-汇总表'!D3</f>
        <v>8784.4599999999991</v>
      </c>
      <c r="D14" s="2305">
        <f ca="1">结果表!G19</f>
        <v>57308</v>
      </c>
      <c r="E14" s="2305">
        <f ca="1">ROUND(D14*10000/B14,0)</f>
        <v>7961</v>
      </c>
      <c r="F14" s="2305">
        <f ca="1">ROUND(D14*10000/C14,0)</f>
        <v>65238</v>
      </c>
      <c r="G14" s="2305">
        <f ca="1">D14</f>
        <v>57308</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5" t="str">
        <f>项目基本情况!B1</f>
        <v>房地产抵押价值预评估</v>
      </c>
      <c r="C37" s="3195"/>
      <c r="D37" s="3195"/>
      <c r="E37" s="3195"/>
      <c r="F37" s="3195"/>
      <c r="G37" s="3195"/>
      <c r="H37" s="3195"/>
      <c r="I37" s="319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Normal="100" zoomScaleSheetLayoutView="100" zoomScalePageLayoutView="80" workbookViewId="0">
      <selection activeCell="K18" sqref="K18"/>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3425</v>
      </c>
      <c r="D1" s="645"/>
      <c r="E1" s="645"/>
      <c r="F1" s="1620" t="s">
        <v>1263</v>
      </c>
      <c r="G1" s="1452" t="s">
        <v>3438</v>
      </c>
      <c r="H1" s="1620" t="str">
        <f>IF(G1="现房","——","估价对象范围")</f>
        <v>——</v>
      </c>
      <c r="I1" s="1621" t="s">
        <v>3439</v>
      </c>
    </row>
    <row r="2" spans="1:12" ht="21.75" customHeight="1" thickBot="1">
      <c r="A2" s="3317" t="str">
        <f>项目基本情况!S2</f>
        <v>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23" t="s">
        <v>1265</v>
      </c>
      <c r="B4" s="1624" t="s">
        <v>1266</v>
      </c>
      <c r="C4" s="1625" t="s">
        <v>3437</v>
      </c>
      <c r="D4" s="1625" t="s">
        <v>3431</v>
      </c>
      <c r="E4" s="3323" t="s">
        <v>1267</v>
      </c>
      <c r="F4" s="3324"/>
      <c r="G4" s="3324"/>
      <c r="H4" s="3324"/>
      <c r="I4" s="3325"/>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7" t="s">
        <v>1268</v>
      </c>
      <c r="B5" s="3284">
        <v>25</v>
      </c>
      <c r="C5" s="3300"/>
      <c r="D5" s="3320"/>
      <c r="E5" s="122" t="s">
        <v>1269</v>
      </c>
      <c r="F5" s="1626"/>
      <c r="G5" s="1626"/>
      <c r="H5" s="1626"/>
      <c r="I5" s="1280"/>
    </row>
    <row r="6" spans="1:12" ht="12.75">
      <c r="A6" s="3297"/>
      <c r="B6" s="3284"/>
      <c r="C6" s="3301"/>
      <c r="D6" s="3320"/>
      <c r="E6" s="122" t="s">
        <v>1270</v>
      </c>
      <c r="F6" s="1626"/>
      <c r="G6" s="1626"/>
      <c r="H6" s="1626"/>
      <c r="I6" s="1280"/>
    </row>
    <row r="7" spans="1:12" ht="12.75">
      <c r="A7" s="3297"/>
      <c r="B7" s="3284"/>
      <c r="C7" s="3302"/>
      <c r="D7" s="3320"/>
      <c r="E7" s="122" t="s">
        <v>1271</v>
      </c>
      <c r="F7" s="1626"/>
      <c r="G7" s="1626"/>
      <c r="H7" s="1626"/>
      <c r="I7" s="1280"/>
    </row>
    <row r="8" spans="1:12" ht="12.75">
      <c r="A8" s="3297" t="s">
        <v>1272</v>
      </c>
      <c r="B8" s="3284">
        <v>15</v>
      </c>
      <c r="C8" s="3300"/>
      <c r="D8" s="3320"/>
      <c r="E8" s="122" t="s">
        <v>1273</v>
      </c>
      <c r="F8" s="1626"/>
      <c r="G8" s="1626"/>
      <c r="H8" s="1626"/>
      <c r="I8" s="1280"/>
    </row>
    <row r="9" spans="1:12" ht="12.75">
      <c r="A9" s="3297"/>
      <c r="B9" s="3284"/>
      <c r="C9" s="3302"/>
      <c r="D9" s="3320"/>
      <c r="E9" s="122" t="s">
        <v>1274</v>
      </c>
      <c r="F9" s="1626"/>
      <c r="G9" s="1626"/>
      <c r="H9" s="1626"/>
      <c r="I9" s="1280"/>
    </row>
    <row r="10" spans="1:12" ht="12.75">
      <c r="A10" s="3297" t="s">
        <v>1275</v>
      </c>
      <c r="B10" s="3284">
        <v>15</v>
      </c>
      <c r="C10" s="3300"/>
      <c r="D10" s="3320"/>
      <c r="E10" s="122" t="s">
        <v>1276</v>
      </c>
      <c r="F10" s="1626"/>
      <c r="G10" s="1626"/>
      <c r="H10" s="1626"/>
      <c r="I10" s="1280"/>
    </row>
    <row r="11" spans="1:12" ht="12.75">
      <c r="A11" s="3297"/>
      <c r="B11" s="3284"/>
      <c r="C11" s="3302"/>
      <c r="D11" s="3320"/>
      <c r="E11" s="122" t="s">
        <v>1277</v>
      </c>
      <c r="F11" s="1626"/>
      <c r="G11" s="1626"/>
      <c r="H11" s="1626"/>
      <c r="I11" s="1280"/>
    </row>
    <row r="12" spans="1:12" ht="12.75">
      <c r="A12" s="3297" t="s">
        <v>1278</v>
      </c>
      <c r="B12" s="3284">
        <v>15</v>
      </c>
      <c r="C12" s="3300"/>
      <c r="D12" s="3320"/>
      <c r="E12" s="122" t="s">
        <v>1279</v>
      </c>
      <c r="F12" s="1626"/>
      <c r="G12" s="1626"/>
      <c r="H12" s="1626"/>
      <c r="I12" s="1280"/>
    </row>
    <row r="13" spans="1:12" ht="12.75">
      <c r="A13" s="3297"/>
      <c r="B13" s="3284"/>
      <c r="C13" s="3302"/>
      <c r="D13" s="3320"/>
      <c r="E13" s="122" t="s">
        <v>1280</v>
      </c>
      <c r="F13" s="1626"/>
      <c r="G13" s="1626"/>
      <c r="H13" s="1626"/>
      <c r="I13" s="1280"/>
    </row>
    <row r="14" spans="1:12" ht="12.75">
      <c r="A14" s="3297" t="s">
        <v>1281</v>
      </c>
      <c r="B14" s="3284">
        <v>30</v>
      </c>
      <c r="C14" s="3300">
        <v>5</v>
      </c>
      <c r="D14" s="3320">
        <v>5</v>
      </c>
      <c r="E14" s="122" t="s">
        <v>1282</v>
      </c>
      <c r="F14" s="1626"/>
      <c r="G14" s="1626"/>
      <c r="H14" s="1626"/>
      <c r="I14" s="1280"/>
    </row>
    <row r="15" spans="1:12" ht="12.75">
      <c r="A15" s="3297"/>
      <c r="B15" s="3284"/>
      <c r="C15" s="3301"/>
      <c r="D15" s="3320"/>
      <c r="E15" s="122" t="s">
        <v>1283</v>
      </c>
      <c r="F15" s="1626"/>
      <c r="G15" s="1626"/>
      <c r="H15" s="1626"/>
      <c r="I15" s="1280"/>
    </row>
    <row r="16" spans="1:12" ht="12.75">
      <c r="A16" s="3297"/>
      <c r="B16" s="3284"/>
      <c r="C16" s="3302"/>
      <c r="D16" s="3320"/>
      <c r="E16" s="122" t="s">
        <v>1284</v>
      </c>
      <c r="F16" s="1626"/>
      <c r="G16" s="1626"/>
      <c r="H16" s="1626"/>
      <c r="I16" s="1280"/>
    </row>
    <row r="17" spans="1:36" ht="15">
      <c r="A17" s="1627" t="s">
        <v>1285</v>
      </c>
      <c r="B17" s="53"/>
      <c r="C17" s="123">
        <f>SUM(C5:C16)</f>
        <v>5</v>
      </c>
      <c r="D17" s="123">
        <f>SUM(D5:D16)</f>
        <v>5</v>
      </c>
      <c r="E17" s="120"/>
      <c r="F17" s="120"/>
      <c r="G17" s="120"/>
      <c r="H17" s="120"/>
      <c r="I17" s="120"/>
      <c r="K17" s="293"/>
      <c r="L17" s="293" t="s">
        <v>1286</v>
      </c>
      <c r="M17" s="293" t="s">
        <v>1287</v>
      </c>
    </row>
    <row r="18" spans="1:36" ht="31.9" customHeight="1" thickBot="1">
      <c r="A18" s="1628" t="s">
        <v>1288</v>
      </c>
      <c r="B18" s="1541"/>
      <c r="C18" s="124">
        <f>ROUND(C17/SUM(C17:D17),2)</f>
        <v>0.5</v>
      </c>
      <c r="D18" s="124">
        <f>1-C18</f>
        <v>0.5</v>
      </c>
      <c r="E18" s="3307" t="s">
        <v>2131</v>
      </c>
      <c r="F18" s="3308"/>
      <c r="G18" s="3308"/>
      <c r="H18" s="3308"/>
      <c r="I18" s="3308"/>
      <c r="K18" s="293" t="s">
        <v>1289</v>
      </c>
      <c r="L18" s="293">
        <f>IF(C1="",'数据-汇总表'!E3,SUMIF(项目类型,C1,'数据-汇总表'!E17:E26)+SUMIF(项目类型,C1,'数据-汇总表'!I17:I26))</f>
        <v>71986.14</v>
      </c>
      <c r="M18" s="293">
        <f>IF(C1="",'数据-汇总表'!E3,SUMIF(项目类型,C1,'数据-汇总表'!E17:E26))</f>
        <v>71986.14</v>
      </c>
    </row>
    <row r="19" spans="1:36" ht="15">
      <c r="A19" s="1629" t="s">
        <v>1290</v>
      </c>
      <c r="B19" s="1630" t="s">
        <v>1291</v>
      </c>
      <c r="C19" s="125">
        <f ca="1">SUMIF(INDIRECT("'"&amp;C4&amp;"'"&amp;"!A:A"),结果表!B19,INDIRECT("'"&amp;C4&amp;"'"&amp;"!B:B"))</f>
        <v>63130</v>
      </c>
      <c r="D19" s="126">
        <f ca="1">SUMIF(INDIRECT("'"&amp;D4&amp;"'"&amp;"!A:A"),结果表!B19,INDIRECT("'"&amp;D4&amp;"'"&amp;"!B:B"))</f>
        <v>51485</v>
      </c>
      <c r="E19" s="1629" t="s">
        <v>1292</v>
      </c>
      <c r="F19" s="1630" t="s">
        <v>1291</v>
      </c>
      <c r="G19" s="127">
        <f ca="1">ROUND(C19*$C$18+D19*$D$18,0)</f>
        <v>57308</v>
      </c>
      <c r="H19" s="1631" t="s">
        <v>1293</v>
      </c>
      <c r="I19" s="120"/>
      <c r="K19" s="293" t="s">
        <v>1294</v>
      </c>
      <c r="L19" s="293">
        <f>IF(C1="",'数据-汇总表'!D3,SUMIF(项目类型,C1,'数据-汇总表'!D17:D26)+SUMIF(项目类型,C1,'数据-汇总表'!H17:H27))</f>
        <v>8784.4599999999991</v>
      </c>
      <c r="M19" s="293">
        <f>IF(C1="",'数据-汇总表'!D3,SUMIF(项目类型,C1,'数据-汇总表'!D17:D26))</f>
        <v>8784.4599999999991</v>
      </c>
    </row>
    <row r="20" spans="1:36" ht="15">
      <c r="A20" s="1632"/>
      <c r="B20" s="42" t="s">
        <v>1295</v>
      </c>
      <c r="C20" s="128">
        <f ca="1">SUMIF(INDIRECT("'"&amp;C4&amp;"'"&amp;"!A:A"),结果表!B20,INDIRECT("'"&amp;C4&amp;"'"&amp;"!B:B"))</f>
        <v>8770</v>
      </c>
      <c r="D20" s="129">
        <f ca="1">SUMIF(INDIRECT("'"&amp;D4&amp;"'"&amp;"!A:A"),结果表!B20,INDIRECT("'"&amp;D4&amp;"'"&amp;"!B:B"))</f>
        <v>7152</v>
      </c>
      <c r="E20" s="1632"/>
      <c r="F20" s="42" t="s">
        <v>1295</v>
      </c>
      <c r="G20" s="130">
        <f ca="1">ROUND(C20*$C$18+D20*$D$18,0)</f>
        <v>7961</v>
      </c>
      <c r="H20" s="759" t="s">
        <v>1296</v>
      </c>
      <c r="I20" s="120"/>
    </row>
    <row r="21" spans="1:36" ht="15" customHeight="1" thickBot="1">
      <c r="A21" s="448"/>
      <c r="B21" s="92" t="s">
        <v>1297</v>
      </c>
      <c r="C21" s="677">
        <f ca="1">ROUND(C19*10000/L19,0)</f>
        <v>71866</v>
      </c>
      <c r="D21" s="678">
        <f ca="1">ROUND(D19*10000/L19,0)</f>
        <v>58609</v>
      </c>
      <c r="E21" s="448"/>
      <c r="F21" s="92" t="s">
        <v>1297</v>
      </c>
      <c r="G21" s="131">
        <f ca="1">ROUND(G19*10000/L19,0)</f>
        <v>65238</v>
      </c>
      <c r="H21" s="1633" t="s">
        <v>1296</v>
      </c>
      <c r="I21" s="120"/>
    </row>
    <row r="22" spans="1:36" ht="15" thickBot="1">
      <c r="A22" s="1563" t="s">
        <v>1298</v>
      </c>
      <c r="B22" s="1634"/>
      <c r="C22" s="1635"/>
      <c r="D22" s="679">
        <f ca="1">IF(C19&lt;D19,D19/C19-1,C19/D19-1)</f>
        <v>0.22618238321841311</v>
      </c>
      <c r="E22" s="120"/>
      <c r="F22" s="120"/>
      <c r="G22" s="120"/>
      <c r="H22" s="120"/>
      <c r="I22" s="120"/>
    </row>
    <row r="23" spans="1:36" ht="13.5" thickBot="1">
      <c r="A23" s="645"/>
      <c r="B23" s="645"/>
      <c r="C23" s="645"/>
      <c r="D23" s="645"/>
      <c r="E23" s="120"/>
      <c r="F23" s="120"/>
      <c r="G23" s="120"/>
      <c r="H23" s="120"/>
      <c r="I23" s="120"/>
    </row>
    <row r="24" spans="1:36" ht="14.25">
      <c r="A24" s="3291" t="s">
        <v>1299</v>
      </c>
      <c r="B24" s="1630" t="s">
        <v>1291</v>
      </c>
      <c r="C24" s="127">
        <f>IF(B30=0,0,D30)</f>
        <v>0</v>
      </c>
      <c r="D24" s="1636"/>
      <c r="E24" s="120"/>
      <c r="F24" s="120"/>
      <c r="G24" s="120"/>
      <c r="H24" s="120"/>
      <c r="I24" s="120"/>
    </row>
    <row r="25" spans="1:36" ht="14.25">
      <c r="A25" s="3292"/>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57308</v>
      </c>
      <c r="D32" s="1640" t="s">
        <v>3440</v>
      </c>
      <c r="E32" s="120"/>
      <c r="F32" s="120"/>
      <c r="G32" s="120"/>
      <c r="H32" s="120"/>
      <c r="I32" s="120"/>
    </row>
    <row r="33" spans="1:15" ht="15">
      <c r="A33" s="739" t="s">
        <v>1306</v>
      </c>
      <c r="B33" s="122"/>
      <c r="C33" s="1641" t="s">
        <v>3441</v>
      </c>
      <c r="D33" s="1642" t="s">
        <v>3437</v>
      </c>
      <c r="E33" s="1643" t="s">
        <v>1307</v>
      </c>
      <c r="F33" s="1644" t="str">
        <f>IF(D32="楼面单价","取值（单价）","取值（总价）")</f>
        <v>取值（总价）</v>
      </c>
      <c r="G33" s="120"/>
      <c r="H33" s="120"/>
      <c r="I33" s="120"/>
    </row>
    <row r="34" spans="1:15" ht="15">
      <c r="A34" s="1645"/>
      <c r="B34" s="1646" t="s">
        <v>1308</v>
      </c>
      <c r="C34" s="139">
        <f ca="1">IF(C33="自定义",F34,C32-C35)</f>
        <v>12436</v>
      </c>
      <c r="D34" s="807">
        <f ca="1">IF(C33="自定义",ROUND(C34/C32,3),IF(C33="收益比率",SUMIF(INDIRECT("'"&amp;D33&amp;"'"&amp;"!b:b"),"土地收益比率",INDIRECT("'"&amp;D33&amp;"'"&amp;"!c:c")),SUMIF(INDIRECT("'"&amp;D33&amp;"'"&amp;"!b:b"),"土地成本比率",INDIRECT("'"&amp;D33&amp;"'"&amp;"!c:c"))))</f>
        <v>0.21699999999999997</v>
      </c>
      <c r="E34" s="1647" t="s">
        <v>1309</v>
      </c>
      <c r="F34" s="1242"/>
      <c r="G34" s="120"/>
      <c r="H34" s="120"/>
      <c r="I34" s="120"/>
    </row>
    <row r="35" spans="1:15" ht="15.75" thickBot="1">
      <c r="A35" s="1648"/>
      <c r="B35" s="1649" t="s">
        <v>1310</v>
      </c>
      <c r="C35" s="1089">
        <f ca="1">IF(C33="自定义",F35,ROUND(C32*D35,0))</f>
        <v>44872</v>
      </c>
      <c r="D35" s="1090">
        <f ca="1">IF(C33="自定义",ROUND(C35/C32,3),IF(C33="收益比率",SUMIF(INDIRECT("'"&amp;D33&amp;"'"&amp;"!b:b"),"建筑物收益比率",INDIRECT("'"&amp;D33&amp;"'"&amp;"!c:c")),SUMIF(INDIRECT("'"&amp;D33&amp;"'"&amp;"!b:b"),"建筑物成本比率",INDIRECT("'"&amp;D33&amp;"'"&amp;"!c:c"))))</f>
        <v>0.78300000000000003</v>
      </c>
      <c r="E35" s="1650" t="s">
        <v>1311</v>
      </c>
      <c r="F35" s="145"/>
      <c r="G35" s="120"/>
      <c r="H35" s="120"/>
      <c r="I35" s="120"/>
    </row>
    <row r="36" spans="1:15" ht="15.75" thickBot="1">
      <c r="A36" s="3311" t="s">
        <v>1312</v>
      </c>
      <c r="B36" s="1651" t="s">
        <v>1313</v>
      </c>
      <c r="C36" s="136"/>
      <c r="D36" s="1652"/>
      <c r="E36" s="1566"/>
      <c r="F36" s="1653"/>
      <c r="G36" s="120"/>
      <c r="H36" s="120"/>
      <c r="I36" s="120"/>
    </row>
    <row r="37" spans="1:15" ht="15.75" thickBot="1">
      <c r="A37" s="3312"/>
      <c r="B37" s="1554" t="s">
        <v>1314</v>
      </c>
      <c r="C37" s="138"/>
      <c r="D37" s="1070"/>
      <c r="E37" s="1070"/>
      <c r="F37" s="1653"/>
      <c r="G37" s="120"/>
      <c r="H37" s="120"/>
      <c r="I37" s="120"/>
    </row>
    <row r="38" spans="1:15" ht="15.75" thickBot="1">
      <c r="A38" s="3313"/>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88" t="s">
        <v>1326</v>
      </c>
      <c r="B45" s="3289"/>
      <c r="C45" s="3290"/>
      <c r="D45" s="146">
        <f ca="1">ROUND(H101*F45,0)</f>
        <v>57308</v>
      </c>
      <c r="E45" s="147" t="s">
        <v>1327</v>
      </c>
      <c r="F45" s="148">
        <v>1</v>
      </c>
      <c r="G45" s="149" t="s">
        <v>1328</v>
      </c>
      <c r="H45" s="120"/>
      <c r="I45" s="120"/>
      <c r="J45" s="3366" t="s">
        <v>1329</v>
      </c>
      <c r="K45" s="3366"/>
      <c r="L45" s="3366"/>
      <c r="M45" s="3366"/>
      <c r="N45" s="3366"/>
      <c r="O45" s="3366"/>
    </row>
    <row r="46" spans="1:15" ht="14.25" customHeight="1">
      <c r="A46" s="3285" t="s">
        <v>1330</v>
      </c>
      <c r="B46" s="3286"/>
      <c r="C46" s="3286"/>
      <c r="D46" s="3286"/>
      <c r="E46" s="3286"/>
      <c r="F46" s="3286"/>
      <c r="G46" s="3287"/>
      <c r="H46" s="1667"/>
      <c r="I46" s="150"/>
      <c r="J46" s="2309">
        <v>1</v>
      </c>
      <c r="K46" s="3347" t="s">
        <v>1331</v>
      </c>
      <c r="L46" s="3347"/>
      <c r="M46" s="3367"/>
      <c r="N46" s="3367"/>
      <c r="O46" s="3367"/>
    </row>
    <row r="47" spans="1:15" ht="12" customHeight="1">
      <c r="A47" s="151" t="s">
        <v>1332</v>
      </c>
      <c r="B47" s="152"/>
      <c r="C47" s="153"/>
      <c r="D47" s="1023" t="s">
        <v>1333</v>
      </c>
      <c r="E47" s="293" t="s">
        <v>1334</v>
      </c>
      <c r="F47" s="154" t="s">
        <v>1335</v>
      </c>
      <c r="G47" s="2332" t="s">
        <v>1336</v>
      </c>
      <c r="H47" s="2333"/>
      <c r="I47" s="150"/>
      <c r="J47" s="2309">
        <v>2</v>
      </c>
      <c r="K47" s="3347" t="s">
        <v>1337</v>
      </c>
      <c r="L47" s="3347"/>
      <c r="M47" s="3368">
        <f>'数据-取费表'!B2</f>
        <v>45819</v>
      </c>
      <c r="N47" s="3368"/>
      <c r="O47" s="3368"/>
    </row>
    <row r="48" spans="1:15" ht="25.5">
      <c r="A48" s="3316" t="s">
        <v>1338</v>
      </c>
      <c r="B48" s="3299"/>
      <c r="C48" s="3299"/>
      <c r="D48" s="11"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47" t="s">
        <v>1340</v>
      </c>
      <c r="L48" s="3347"/>
      <c r="M48" s="3369">
        <f ca="1">H101</f>
        <v>57308</v>
      </c>
      <c r="N48" s="3369"/>
      <c r="O48" s="3369"/>
    </row>
    <row r="49" spans="1:35" ht="25.5" customHeight="1">
      <c r="A49" s="2151" t="s">
        <v>1341</v>
      </c>
      <c r="B49" s="3283" t="s">
        <v>1342</v>
      </c>
      <c r="C49" s="3283"/>
      <c r="D49" s="1477">
        <v>0</v>
      </c>
      <c r="E49" s="315" t="s">
        <v>1343</v>
      </c>
      <c r="F49" s="2232" t="s">
        <v>28</v>
      </c>
      <c r="G49" s="3353"/>
      <c r="H49" s="2133" t="s">
        <v>2134</v>
      </c>
      <c r="I49" s="2134"/>
      <c r="J49" s="2309">
        <v>4</v>
      </c>
      <c r="K49" s="3347" t="str">
        <f>IF(项目基本情况!E8="房地产抵押价值","房地产抵押价值","抵押担保权已注销时的房地产抵押价值")</f>
        <v>房地产抵押价值</v>
      </c>
      <c r="L49" s="3347"/>
      <c r="M49" s="3369">
        <f ca="1">IF(项目基本情况!E8="房地产抵押价值",H107,H109)</f>
        <v>57308</v>
      </c>
      <c r="N49" s="3369"/>
      <c r="O49" s="3369"/>
    </row>
    <row r="50" spans="1:35" ht="25.5" customHeight="1">
      <c r="A50" s="2337"/>
      <c r="B50" s="3283" t="s">
        <v>1344</v>
      </c>
      <c r="C50" s="3283"/>
      <c r="D50" s="2188"/>
      <c r="E50" s="322"/>
      <c r="F50" s="2232"/>
      <c r="G50" s="3354"/>
      <c r="H50" s="2135" t="s">
        <v>2135</v>
      </c>
      <c r="I50" s="2134"/>
      <c r="J50" s="3366" t="s">
        <v>1345</v>
      </c>
      <c r="K50" s="3366"/>
      <c r="L50" s="3366"/>
      <c r="M50" s="3366"/>
      <c r="N50" s="3366"/>
      <c r="O50" s="3366"/>
    </row>
    <row r="51" spans="1:35" ht="20.45" customHeight="1">
      <c r="A51" s="2338"/>
      <c r="B51" s="3283" t="s">
        <v>1346</v>
      </c>
      <c r="C51" s="3283"/>
      <c r="D51" s="1023"/>
      <c r="E51" s="318"/>
      <c r="F51" s="2232"/>
      <c r="G51" s="3355"/>
      <c r="H51" s="2135" t="s">
        <v>2136</v>
      </c>
      <c r="I51" s="2134"/>
      <c r="J51" s="2310" t="s">
        <v>1347</v>
      </c>
      <c r="K51" s="3347" t="s">
        <v>1348</v>
      </c>
      <c r="L51" s="3347"/>
      <c r="M51" s="2310" t="s">
        <v>1349</v>
      </c>
      <c r="N51" s="2310" t="s">
        <v>1350</v>
      </c>
      <c r="O51" s="2310" t="s">
        <v>1351</v>
      </c>
    </row>
    <row r="52" spans="1:35" ht="24" customHeight="1">
      <c r="A52" s="2152" t="s">
        <v>1352</v>
      </c>
      <c r="B52" s="3283" t="s">
        <v>1353</v>
      </c>
      <c r="C52" s="3283"/>
      <c r="D52" s="1023">
        <f ca="1">ROUND(D45*'数据-取费表'!B41/(1+'数据-取费表'!C42),0)</f>
        <v>3056</v>
      </c>
      <c r="E52" s="1255" t="s">
        <v>1354</v>
      </c>
      <c r="F52" s="2339">
        <f>'数据-取费表'!B41</f>
        <v>5.6000000000000001E-2</v>
      </c>
      <c r="G52" s="2340"/>
      <c r="H52" s="2330"/>
      <c r="I52" s="1668"/>
      <c r="J52" s="2309">
        <v>1</v>
      </c>
      <c r="K52" s="3348" t="s">
        <v>1355</v>
      </c>
      <c r="L52" s="3348"/>
      <c r="M52" s="2311" t="b">
        <f>D48</f>
        <v>0</v>
      </c>
      <c r="N52" s="2309" t="str">
        <f>E48</f>
        <v>销售额×税（费）率</v>
      </c>
      <c r="O52" s="2312">
        <f>F48</f>
        <v>5.6000000000000001E-2</v>
      </c>
    </row>
    <row r="53" spans="1:35" ht="12" customHeight="1">
      <c r="A53" s="2152" t="s">
        <v>1356</v>
      </c>
      <c r="B53" s="3309" t="s">
        <v>2282</v>
      </c>
      <c r="C53" s="3310"/>
      <c r="D53" s="1023">
        <f ca="1">ROUND(D45*'数据-取费表'!B41/(1+'数据-取费表'!C42),0)</f>
        <v>3056</v>
      </c>
      <c r="E53" s="1255" t="s">
        <v>1354</v>
      </c>
      <c r="F53" s="2339">
        <f>'数据-取费表'!B41</f>
        <v>5.6000000000000001E-2</v>
      </c>
      <c r="G53" s="2340"/>
      <c r="H53" s="2330"/>
      <c r="I53" s="1668"/>
      <c r="J53" s="2309">
        <v>2</v>
      </c>
      <c r="K53" s="3348" t="s">
        <v>1357</v>
      </c>
      <c r="L53" s="3348"/>
      <c r="M53" s="2311">
        <f t="shared" ref="M53:O54" ca="1" si="0">D55</f>
        <v>29</v>
      </c>
      <c r="N53" s="2309" t="str">
        <f t="shared" si="0"/>
        <v>销售额×税（费）率</v>
      </c>
      <c r="O53" s="2312" t="str">
        <f t="shared" si="0"/>
        <v>免征</v>
      </c>
    </row>
    <row r="54" spans="1:35" ht="12" customHeight="1">
      <c r="A54" s="2152" t="s">
        <v>1358</v>
      </c>
      <c r="B54" s="3309" t="s">
        <v>2283</v>
      </c>
      <c r="C54" s="3310"/>
      <c r="D54" s="1023">
        <f ca="1">C68</f>
        <v>3056</v>
      </c>
      <c r="E54" s="318" t="s">
        <v>1359</v>
      </c>
      <c r="F54" s="2339">
        <f>'数据-取费表'!B41</f>
        <v>5.6000000000000001E-2</v>
      </c>
      <c r="G54" s="2340"/>
      <c r="H54" s="2341"/>
      <c r="I54" s="1668"/>
      <c r="J54" s="2309">
        <v>3</v>
      </c>
      <c r="K54" s="3348" t="s">
        <v>1360</v>
      </c>
      <c r="L54" s="3348"/>
      <c r="M54" s="2311">
        <f t="shared" ca="1" si="0"/>
        <v>32437</v>
      </c>
      <c r="N54" s="2309" t="str">
        <f t="shared" si="0"/>
        <v>增值额×税（费）率</v>
      </c>
      <c r="O54" s="2313" t="str">
        <f t="shared" si="0"/>
        <v>免征</v>
      </c>
    </row>
    <row r="55" spans="1:35" ht="24" customHeight="1">
      <c r="A55" s="3298" t="s">
        <v>1361</v>
      </c>
      <c r="B55" s="3299"/>
      <c r="C55" s="3299"/>
      <c r="D55" s="11">
        <f ca="1">IF(H55="个人住宅",0,ROUND(D45*I55,0))</f>
        <v>29</v>
      </c>
      <c r="E55" s="1255" t="s">
        <v>1362</v>
      </c>
      <c r="F55" s="2339" t="str">
        <f>IF(H55="正常",I55,"免征")</f>
        <v>免征</v>
      </c>
      <c r="G55" s="2340"/>
      <c r="H55" s="2336"/>
      <c r="I55" s="156">
        <f>'数据-取费表'!B49</f>
        <v>5.0000000000000001E-4</v>
      </c>
      <c r="J55" s="2309">
        <f>IF(H59="非个人房产","",4)</f>
        <v>4</v>
      </c>
      <c r="K55" s="3348" t="str">
        <f>IF(H59="非个人房产","——","个人所得税")</f>
        <v>个人所得税</v>
      </c>
      <c r="L55" s="3348"/>
      <c r="M55" s="2314">
        <f ca="1">D59</f>
        <v>546</v>
      </c>
      <c r="N55" s="1882" t="str">
        <f>E59</f>
        <v>差额计税</v>
      </c>
      <c r="O55" s="2315">
        <f>F59</f>
        <v>0.01</v>
      </c>
    </row>
    <row r="56" spans="1:35" ht="24.75">
      <c r="A56" s="3298" t="s">
        <v>1363</v>
      </c>
      <c r="B56" s="3299"/>
      <c r="C56" s="3299"/>
      <c r="D56" s="11">
        <f ca="1">IF(H56="个人住宅",D57,D58)</f>
        <v>32437</v>
      </c>
      <c r="E56" s="1255" t="s">
        <v>1364</v>
      </c>
      <c r="F56" s="2339" t="str">
        <f>IF(H56="正常",F58,"免征")</f>
        <v>免征</v>
      </c>
      <c r="G56" s="2342" t="s">
        <v>1365</v>
      </c>
      <c r="H56" s="2343"/>
      <c r="I56" s="1669"/>
      <c r="J56" s="2309" t="str">
        <f>IF(项目基本情况!K6="上海银行",IF(J55="",4,J55+1),"")</f>
        <v/>
      </c>
      <c r="K56" s="3371" t="str">
        <f>IF(项目基本情况!K6="上海银行","其他处置费用","")</f>
        <v/>
      </c>
      <c r="L56" s="3372"/>
      <c r="M56" s="2311" t="str">
        <f>IF(项目基本情况!K6="上海银行",M69,"")</f>
        <v/>
      </c>
      <c r="N56" s="3371" t="str">
        <f>IF(项目基本情况!K6="上海银行","包含处置中涉及的律师、诉讼、拍卖、评估等费用","")</f>
        <v/>
      </c>
      <c r="O56" s="3374"/>
    </row>
    <row r="57" spans="1:35" ht="12.75">
      <c r="A57" s="2152" t="s">
        <v>1341</v>
      </c>
      <c r="B57" s="3309" t="s">
        <v>1366</v>
      </c>
      <c r="C57" s="3310"/>
      <c r="D57" s="1477">
        <v>0</v>
      </c>
      <c r="E57" s="315" t="s">
        <v>1343</v>
      </c>
      <c r="F57" s="293"/>
      <c r="G57" s="2340"/>
      <c r="H57" s="2344"/>
      <c r="I57" s="1669"/>
      <c r="J57" s="3348">
        <f>IF(AND(J55="",J56=""),4,IF(项目基本情况!K6="上海银行",结果表!J56+1,结果表!J55+1))</f>
        <v>5</v>
      </c>
      <c r="K57" s="3348" t="s">
        <v>1367</v>
      </c>
      <c r="L57" s="2316" t="s">
        <v>1368</v>
      </c>
      <c r="M57" s="2317"/>
      <c r="N57" s="2318">
        <f ca="1">SUMIF(M52:M56,"&lt;9e307")</f>
        <v>33012</v>
      </c>
      <c r="O57" s="2319"/>
      <c r="P57" s="2464">
        <f ca="1">N57/M49</f>
        <v>0.57604522928735957</v>
      </c>
    </row>
    <row r="58" spans="1:35" ht="24.75">
      <c r="A58" s="2152" t="s">
        <v>1352</v>
      </c>
      <c r="B58" s="3309" t="s">
        <v>1369</v>
      </c>
      <c r="C58" s="3283"/>
      <c r="D58" s="11">
        <f ca="1">IF(H58="转让取得",C81,C97)</f>
        <v>32437</v>
      </c>
      <c r="E58" s="1255" t="s">
        <v>1364</v>
      </c>
      <c r="F58" s="293" t="s">
        <v>28</v>
      </c>
      <c r="G58" s="2340"/>
      <c r="H58" s="2343"/>
      <c r="I58" s="1669"/>
      <c r="J58" s="3348"/>
      <c r="K58" s="3348"/>
      <c r="L58" s="2316" t="s">
        <v>1370</v>
      </c>
      <c r="M58" s="2320"/>
      <c r="N58" s="2321" t="str">
        <f ca="1">NUMBERSTRING(INT(N57*10000),2)&amp;"元整"</f>
        <v>叁亿叁仟零壹拾贰万元整</v>
      </c>
      <c r="O58" s="2322"/>
    </row>
    <row r="59" spans="1:35" ht="24.75" thickBot="1">
      <c r="A59" s="3351" t="s">
        <v>1371</v>
      </c>
      <c r="B59" s="3352"/>
      <c r="C59" s="3352"/>
      <c r="D59" s="2345">
        <f ca="1">IF(H59="非个人房产","——",IF(H59="个人住宅（满五唯一有凭证）",0,IF(H59="个人其他（无凭证）",ROUND(D45*F59,0),ROUND(C67*F59,0))))</f>
        <v>546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49">
        <f>J57+1</f>
        <v>6</v>
      </c>
      <c r="K59" s="3348" t="s">
        <v>1372</v>
      </c>
      <c r="L59" s="2309" t="s">
        <v>1368</v>
      </c>
      <c r="M59" s="2323"/>
      <c r="N59" s="2324">
        <f ca="1">M49-N57</f>
        <v>24296</v>
      </c>
      <c r="O59" s="2325"/>
    </row>
    <row r="60" spans="1:35" ht="12" customHeight="1">
      <c r="A60" s="1670"/>
      <c r="B60" s="645"/>
      <c r="C60" s="645"/>
      <c r="D60" s="645"/>
      <c r="E60" s="1465"/>
      <c r="F60" s="1669"/>
      <c r="G60" s="1669"/>
      <c r="H60" s="150"/>
      <c r="I60" s="120"/>
      <c r="J60" s="3350"/>
      <c r="K60" s="3348"/>
      <c r="L60" s="2316" t="s">
        <v>1370</v>
      </c>
      <c r="M60" s="2320"/>
      <c r="N60" s="2321" t="str">
        <f ca="1">NUMBERSTRING(INT(N59*10000),2)&amp;"元整"</f>
        <v>贰亿肆仟贰佰玖拾陆万元整</v>
      </c>
      <c r="O60" s="2322"/>
    </row>
    <row r="61" spans="1:35" ht="13.5" thickBot="1">
      <c r="A61" s="3296" t="s">
        <v>1373</v>
      </c>
      <c r="B61" s="3296"/>
      <c r="C61" s="3296"/>
      <c r="D61" s="3296"/>
      <c r="E61" s="3296"/>
      <c r="F61" s="1669"/>
      <c r="G61" s="1669"/>
      <c r="H61" s="150"/>
      <c r="I61" s="120"/>
      <c r="J61" s="2309">
        <f>J59+1</f>
        <v>7</v>
      </c>
      <c r="K61" s="3348" t="s">
        <v>1374</v>
      </c>
      <c r="L61" s="3348"/>
      <c r="M61" s="2326"/>
      <c r="N61" s="2327">
        <f ca="1">ROUND(N59*10000/'数据-汇总表'!E3,0)</f>
        <v>3375</v>
      </c>
      <c r="O61" s="2328"/>
    </row>
    <row r="62" spans="1:35" ht="12.75">
      <c r="A62" s="3314" t="s">
        <v>1375</v>
      </c>
      <c r="B62" s="3315"/>
      <c r="C62" s="1864"/>
      <c r="D62" s="1864" t="s">
        <v>1376</v>
      </c>
      <c r="E62" s="157" t="s">
        <v>1377</v>
      </c>
      <c r="F62" s="1669"/>
      <c r="G62" s="1669"/>
      <c r="H62" s="150"/>
      <c r="I62" s="120"/>
    </row>
    <row r="63" spans="1:35" ht="12.75">
      <c r="A63" s="164" t="s">
        <v>330</v>
      </c>
      <c r="B63" s="158" t="s">
        <v>1378</v>
      </c>
      <c r="C63" s="2349">
        <f ca="1">ROUND((C64+C65)/(1+'数据-取费表'!C42),0)</f>
        <v>54579</v>
      </c>
      <c r="D63" s="158"/>
      <c r="E63" s="159"/>
      <c r="F63" s="1669"/>
      <c r="G63" s="1669"/>
      <c r="H63" s="150"/>
      <c r="I63" s="120"/>
      <c r="J63" s="3373" t="s">
        <v>1379</v>
      </c>
      <c r="K63" s="1244" t="s">
        <v>1380</v>
      </c>
      <c r="L63" s="1244">
        <f ca="1">IF(M49&gt;10000,M49*0.5%,IF(AND(M49&gt;1000,M49&lt;=10000),M49*1%,IF(AND(M49&gt;100,M49&lt;=1000),M49*3%,IF(AND(M49&gt;10,M49&lt;=100),M49*5%,M49*8%))))</f>
        <v>286.54000000000002</v>
      </c>
      <c r="M63" s="293">
        <f ca="1">ROUND(L63,1)</f>
        <v>286.5</v>
      </c>
      <c r="N63" s="2329"/>
      <c r="Z63" s="1622"/>
      <c r="AI63" s="1560"/>
    </row>
    <row r="64" spans="1:35" ht="14.25" customHeight="1">
      <c r="A64" s="160" t="s">
        <v>325</v>
      </c>
      <c r="B64" s="161" t="s">
        <v>1381</v>
      </c>
      <c r="C64" s="2350">
        <f ca="1">D45</f>
        <v>57308</v>
      </c>
      <c r="D64" s="161" t="s">
        <v>26</v>
      </c>
      <c r="E64" s="163"/>
      <c r="F64" s="1669"/>
      <c r="G64" s="1669"/>
      <c r="H64" s="150"/>
      <c r="I64" s="120"/>
      <c r="J64" s="3373"/>
      <c r="K64" s="1244" t="s">
        <v>1382</v>
      </c>
      <c r="L64" s="1244">
        <f ca="1">IF(M49&gt;2000,M49*0.5%,IF(AND(M49&gt;1000,M49&lt;=2000),M49*0.6%,IF(AND(M49&gt;500,M49&lt;=1000),M49*0.7%,IF(AND(M49&gt;200,M49&lt;=500),M49*0.8%,IF(AND(M49&gt;100,M49&lt;=200),M49*0.9%,IF(AND(M49&gt;50,M49&lt;=100),M49*1%,IF(AND(M49&gt;20,M49&lt;=50),M49*1.5%,IF(AND(M49&gt;10,M49&lt;=20),M49*2%,IF(AND(M49&gt;1,M49&lt;=10),M49*2.5%)))))))))</f>
        <v>286.54000000000002</v>
      </c>
      <c r="M64" s="293">
        <f t="shared" ref="M64:M65" ca="1" si="1">ROUND(L64,1)</f>
        <v>286.5</v>
      </c>
      <c r="N64" s="2330" t="s">
        <v>1383</v>
      </c>
      <c r="Z64" s="1622"/>
      <c r="AI64" s="1560"/>
    </row>
    <row r="65" spans="1:35" ht="14.25" customHeight="1">
      <c r="A65" s="160" t="s">
        <v>326</v>
      </c>
      <c r="B65" s="161" t="s">
        <v>1384</v>
      </c>
      <c r="C65" s="2351"/>
      <c r="D65" s="161"/>
      <c r="E65" s="163"/>
      <c r="F65" s="1669"/>
      <c r="G65" s="1669"/>
      <c r="H65" s="150"/>
      <c r="I65" s="120"/>
      <c r="J65" s="3373"/>
      <c r="K65" s="1244" t="s">
        <v>1385</v>
      </c>
      <c r="L65" s="1244">
        <f ca="1">IF(M49&gt;1000,M49*0.1%,IF(AND(M49&gt;500,M49&lt;=1000),M49*0.5%,IF(AND(M49&gt;50,M49&lt;=500),M49*1%,IF(AND(M49&gt;1,M49&lt;=50),M49*1.5%))))</f>
        <v>57.308</v>
      </c>
      <c r="M65" s="293">
        <f t="shared" ca="1" si="1"/>
        <v>57.3</v>
      </c>
      <c r="N65" s="2330" t="s">
        <v>1383</v>
      </c>
      <c r="Z65" s="1622"/>
      <c r="AI65" s="1560"/>
    </row>
    <row r="66" spans="1:35" ht="14.25" customHeight="1">
      <c r="A66" s="164" t="s">
        <v>327</v>
      </c>
      <c r="B66" s="165" t="s">
        <v>1386</v>
      </c>
      <c r="C66" s="2352"/>
      <c r="D66" s="165" t="s">
        <v>26</v>
      </c>
      <c r="E66" s="1250" t="s">
        <v>671</v>
      </c>
      <c r="F66" s="1669"/>
      <c r="G66" s="1669"/>
      <c r="H66" s="150"/>
      <c r="I66" s="120"/>
      <c r="J66" s="3373"/>
      <c r="K66" s="1244" t="s">
        <v>1387</v>
      </c>
      <c r="L66" s="1244">
        <f ca="1">M49*0.5%</f>
        <v>286.54000000000002</v>
      </c>
      <c r="M66" s="293">
        <f ca="1">IF(L66&gt;0.5,0.5,ROUND(L66,0))</f>
        <v>0.5</v>
      </c>
      <c r="N66" s="2330" t="s">
        <v>1388</v>
      </c>
      <c r="Z66" s="1622"/>
      <c r="AI66" s="1560"/>
    </row>
    <row r="67" spans="1:35" ht="14.25" customHeight="1">
      <c r="A67" s="164" t="s">
        <v>328</v>
      </c>
      <c r="B67" s="165" t="s">
        <v>1389</v>
      </c>
      <c r="C67" s="2353">
        <f ca="1">C63-C66</f>
        <v>54579</v>
      </c>
      <c r="D67" s="161" t="s">
        <v>26</v>
      </c>
      <c r="E67" s="163"/>
      <c r="F67" s="1669"/>
      <c r="G67" s="1669"/>
      <c r="H67" s="150"/>
      <c r="I67" s="120"/>
      <c r="J67" s="3373"/>
      <c r="K67" s="1244" t="s">
        <v>1390</v>
      </c>
      <c r="L67" s="1244">
        <f ca="1">IF(M49&gt;=10000,(8.25+(M49-10000)*0.01%),IF(AND(M49&gt;=8000,M49&lt;10000),(7.85+(M49-8000)*0.02%),IF(AND(M49&gt;=5000,M49&lt;8000),(6.65+(M49-5000)*0.04%),IF(AND(M49&gt;=2000,M49&lt;5000),(4.25+(PM49-2000)*0.08%),IF(AND(M49&gt;=1000,M49&lt;2000),(2.75+(M49-1000)*0.15%),IF(AND(M49&gt;=100,M49&lt;1000),(0.5+(M49-100)*0.25%),IF(AND(M49&gt;0,M49&lt;100),M49*0.5%)))))))</f>
        <v>12.9808</v>
      </c>
      <c r="M67" s="293">
        <f ca="1">ROUND(L67*0.9,1)</f>
        <v>11.7</v>
      </c>
      <c r="N67" s="2329"/>
      <c r="Z67" s="1622"/>
      <c r="AI67" s="1560"/>
    </row>
    <row r="68" spans="1:35" ht="14.25" customHeight="1" thickBot="1">
      <c r="A68" s="167" t="s">
        <v>329</v>
      </c>
      <c r="B68" s="168" t="s">
        <v>1391</v>
      </c>
      <c r="C68" s="2354">
        <f ca="1">IF(C67&lt;=0,0,ROUND(C67*D68,0))</f>
        <v>3056</v>
      </c>
      <c r="D68" s="2355">
        <f>'数据-取费表'!B41</f>
        <v>5.6000000000000001E-2</v>
      </c>
      <c r="E68" s="169"/>
      <c r="F68" s="1669"/>
      <c r="G68" s="1669"/>
      <c r="H68" s="150"/>
      <c r="I68" s="120"/>
      <c r="J68" s="3373"/>
      <c r="K68" s="1244" t="s">
        <v>1392</v>
      </c>
      <c r="L68" s="1244">
        <f ca="1">IF(M49&gt;10000,M49*0.5%,IF(AND(M49&gt;5000,M49&lt;=10000),M49*1%,IF(AND(M49&gt;1000,M49&lt;=5000),M49*2%,IF(AND(M49&gt;200,M49&lt;=1000),M49*3%,M49*5%))))</f>
        <v>286.54000000000002</v>
      </c>
      <c r="M68" s="293">
        <f ca="1">ROUND(L68,1)</f>
        <v>286.5</v>
      </c>
      <c r="N68" s="2329"/>
      <c r="Z68" s="1622"/>
      <c r="AI68" s="1560"/>
    </row>
    <row r="69" spans="1:35" ht="16.5" customHeight="1">
      <c r="A69" s="1671"/>
      <c r="B69" s="1672"/>
      <c r="C69" s="1673"/>
      <c r="D69" s="1674"/>
      <c r="E69" s="1675"/>
      <c r="F69" s="1465"/>
      <c r="G69" s="1465"/>
      <c r="H69" s="1466"/>
      <c r="I69" s="645"/>
      <c r="J69" s="3373"/>
      <c r="K69" s="1244" t="s">
        <v>1393</v>
      </c>
      <c r="L69" s="1244"/>
      <c r="M69" s="293">
        <f ca="1">ROUND(SUM(M63:M68),0)</f>
        <v>929</v>
      </c>
      <c r="N69" s="2331">
        <f ca="1">M69/M49</f>
        <v>1.6210651217980036E-2</v>
      </c>
      <c r="Z69" s="1622"/>
      <c r="AI69" s="1560"/>
    </row>
    <row r="70" spans="1:35" s="641" customFormat="1" ht="15" thickBot="1">
      <c r="A70" s="3335" t="s">
        <v>1394</v>
      </c>
      <c r="B70" s="3336"/>
      <c r="C70" s="3336"/>
      <c r="D70" s="3336"/>
      <c r="E70" s="3336"/>
      <c r="F70" s="3336"/>
      <c r="G70" s="3336"/>
      <c r="H70" s="3336"/>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4" t="s">
        <v>1375</v>
      </c>
      <c r="B71" s="3315"/>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54579</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327</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09" t="s">
        <v>1402</v>
      </c>
      <c r="F76" s="3283"/>
      <c r="G76" s="3283"/>
      <c r="H76" s="333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327</v>
      </c>
      <c r="D78" s="2362">
        <f>'数据-取费表'!B43</f>
        <v>6.000000000000001E-3</v>
      </c>
      <c r="E78" s="3293" t="s">
        <v>1406</v>
      </c>
      <c r="F78" s="3294"/>
      <c r="G78" s="3294"/>
      <c r="H78" s="330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54252</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165.90825688073394</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32437</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35" t="s">
        <v>1410</v>
      </c>
      <c r="B83" s="3336"/>
      <c r="C83" s="3336"/>
      <c r="D83" s="3336"/>
      <c r="E83" s="3336"/>
      <c r="F83" s="3336"/>
      <c r="G83" s="3336"/>
      <c r="H83" s="333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4" t="s">
        <v>1375</v>
      </c>
      <c r="B84" s="3315"/>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54579</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327</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75" t="s">
        <v>2129</v>
      </c>
      <c r="H90" s="3376"/>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93" t="s">
        <v>1419</v>
      </c>
      <c r="F91" s="3294"/>
      <c r="G91" s="329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93" t="s">
        <v>1422</v>
      </c>
      <c r="F92" s="3294"/>
      <c r="G92" s="3294"/>
      <c r="H92" s="3303"/>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327</v>
      </c>
      <c r="D93" s="2362">
        <f>'数据-取费表'!B43</f>
        <v>6.000000000000001E-3</v>
      </c>
      <c r="E93" s="3293" t="s">
        <v>1406</v>
      </c>
      <c r="F93" s="3294"/>
      <c r="G93" s="3294"/>
      <c r="H93" s="330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04" t="s">
        <v>1426</v>
      </c>
      <c r="F94" s="3305"/>
      <c r="G94" s="3305"/>
      <c r="H94" s="330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54252</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165.90825688073394</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32437</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7" t="s">
        <v>1428</v>
      </c>
      <c r="B100" s="3278"/>
      <c r="C100" s="3278"/>
      <c r="D100" s="3295"/>
      <c r="E100" s="3278" t="s">
        <v>1429</v>
      </c>
      <c r="F100" s="3278"/>
      <c r="G100" s="3278"/>
      <c r="H100" s="3295"/>
      <c r="I100" s="120"/>
    </row>
    <row r="101" spans="1:35" ht="18.75" customHeight="1">
      <c r="A101" s="3356" t="s">
        <v>1430</v>
      </c>
      <c r="B101" s="3357"/>
      <c r="C101" s="2370" t="str">
        <f>C4</f>
        <v>成本法</v>
      </c>
      <c r="D101" s="2371" t="str">
        <f>D4</f>
        <v>收益法</v>
      </c>
      <c r="E101" s="3370" t="s">
        <v>1431</v>
      </c>
      <c r="F101" s="3327"/>
      <c r="G101" s="1686" t="s">
        <v>1432</v>
      </c>
      <c r="H101" s="2380">
        <f ca="1">H118</f>
        <v>57308</v>
      </c>
      <c r="I101" s="120"/>
    </row>
    <row r="102" spans="1:35" ht="18.75" customHeight="1">
      <c r="A102" s="3329" t="s">
        <v>1433</v>
      </c>
      <c r="B102" s="2369" t="s">
        <v>1432</v>
      </c>
      <c r="C102" s="2370">
        <f ca="1">IF(D32="楼面单价",ROUND(C19,0),C19)</f>
        <v>63130</v>
      </c>
      <c r="D102" s="2371">
        <f ca="1">IF(D32="楼面单价",ROUND(D19,0),D19)</f>
        <v>51485</v>
      </c>
      <c r="E102" s="3370"/>
      <c r="F102" s="3327"/>
      <c r="G102" s="1686" t="s">
        <v>1434</v>
      </c>
      <c r="H102" s="2340">
        <f ca="1">I118</f>
        <v>7961</v>
      </c>
      <c r="I102" s="120"/>
    </row>
    <row r="103" spans="1:35" ht="42.75" customHeight="1">
      <c r="A103" s="3329"/>
      <c r="B103" s="2369" t="s">
        <v>1434</v>
      </c>
      <c r="C103" s="2372">
        <f ca="1">C20</f>
        <v>8770</v>
      </c>
      <c r="D103" s="2373">
        <f ca="1">D20</f>
        <v>7152</v>
      </c>
      <c r="E103" s="3364" t="s">
        <v>1435</v>
      </c>
      <c r="F103" s="3365"/>
      <c r="G103" s="1687" t="s">
        <v>1436</v>
      </c>
      <c r="H103" s="2380">
        <f>IF(D36="正常操作",H104+H105+H106,H105+H106)</f>
        <v>0</v>
      </c>
      <c r="I103" s="120"/>
    </row>
    <row r="104" spans="1:35" ht="18.75" customHeight="1">
      <c r="A104" s="3329" t="s">
        <v>1437</v>
      </c>
      <c r="B104" s="2374" t="s">
        <v>1432</v>
      </c>
      <c r="C104" s="2375">
        <f ca="1">H118</f>
        <v>57308</v>
      </c>
      <c r="D104" s="2376"/>
      <c r="E104" s="1554" t="s">
        <v>1438</v>
      </c>
      <c r="F104" s="1547"/>
      <c r="G104" s="1687" t="s">
        <v>1436</v>
      </c>
      <c r="H104" s="2381">
        <f>IF(D36="同一抵押权人同一抵押物续贷",C36&amp;"（续贷，未扣减，详见特别提示）",C36)</f>
        <v>0</v>
      </c>
      <c r="I104" s="120"/>
    </row>
    <row r="105" spans="1:35" ht="18.75" customHeight="1" thickBot="1">
      <c r="A105" s="3330"/>
      <c r="B105" s="2377" t="s">
        <v>1434</v>
      </c>
      <c r="C105" s="2378">
        <f ca="1">I118</f>
        <v>7961</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26" t="str">
        <f>IF(项目基本情况!E8="已注销","——","3.房地产抵押价值")</f>
        <v>3.房地产抵押价值</v>
      </c>
      <c r="F107" s="3327"/>
      <c r="G107" s="1686" t="s">
        <v>1432</v>
      </c>
      <c r="H107" s="2380">
        <f ca="1">IF(E107="——","——",H101-H103)</f>
        <v>57308</v>
      </c>
      <c r="I107" s="120"/>
    </row>
    <row r="108" spans="1:35" ht="18.75" customHeight="1">
      <c r="A108" s="120"/>
      <c r="B108" s="120"/>
      <c r="C108" s="120"/>
      <c r="D108" s="120"/>
      <c r="E108" s="3326"/>
      <c r="F108" s="3327"/>
      <c r="G108" s="1686" t="s">
        <v>1434</v>
      </c>
      <c r="H108" s="2340">
        <f ca="1">IF(H107=H101,H102,ROUND(H107*10000/'数据-汇总表'!E3,0))</f>
        <v>7961</v>
      </c>
      <c r="I108" s="120"/>
    </row>
    <row r="109" spans="1:35" ht="18.75" customHeight="1">
      <c r="A109" s="120"/>
      <c r="B109" s="120"/>
      <c r="C109" s="120"/>
      <c r="D109" s="120"/>
      <c r="E109" s="3326" t="str">
        <f>IF(项目基本情况!E8="已注销及未注销","4.抵押担保权已注销时的房地产抵押价值",IF(项目基本情况!E8="已注销","3.抵押担保权已注销时的房地产抵押价值","——"))</f>
        <v>——</v>
      </c>
      <c r="F109" s="3327"/>
      <c r="G109" s="1686" t="s">
        <v>1432</v>
      </c>
      <c r="H109" s="2383" t="str">
        <f>IF(E109="——","——",H101-H105-H106)</f>
        <v>——</v>
      </c>
      <c r="I109" s="120"/>
    </row>
    <row r="110" spans="1:35" ht="18.75" customHeight="1">
      <c r="A110" s="120"/>
      <c r="B110" s="120"/>
      <c r="C110" s="120"/>
      <c r="D110" s="120"/>
      <c r="E110" s="3326"/>
      <c r="F110" s="3327"/>
      <c r="G110" s="1686" t="s">
        <v>1434</v>
      </c>
      <c r="H110" s="2340" t="str">
        <f>IF(H109="——","——",ROUND(H109*10000/'数据-汇总表'!E3,0))</f>
        <v>——</v>
      </c>
      <c r="I110" s="120"/>
    </row>
    <row r="111" spans="1:35" ht="18.75" customHeight="1">
      <c r="A111" s="120"/>
      <c r="B111" s="120"/>
      <c r="C111" s="120"/>
      <c r="D111" s="120"/>
      <c r="E111" s="3358" t="str">
        <f>IF(项目基本情况!E9="抵押净值",IF(OR(项目基本情况!E8="已注销",项目基本情况!E8="房地产抵押价值"),"4.抵押净值","5.抵押净值"),"——")</f>
        <v>——</v>
      </c>
      <c r="F111" s="3328"/>
      <c r="G111" s="1686" t="s">
        <v>1432</v>
      </c>
      <c r="H111" s="2380" t="str">
        <f>IF(E111="——","——",N59)</f>
        <v>——</v>
      </c>
      <c r="I111" s="120"/>
    </row>
    <row r="112" spans="1:35" ht="18.75" customHeight="1" thickBot="1">
      <c r="A112" s="120"/>
      <c r="B112" s="120"/>
      <c r="C112" s="120"/>
      <c r="D112" s="120"/>
      <c r="E112" s="3359"/>
      <c r="F112" s="3360"/>
      <c r="G112" s="1689" t="s">
        <v>1434</v>
      </c>
      <c r="H112" s="2384" t="str">
        <f>IF(E111="——","——",N61)</f>
        <v>——</v>
      </c>
      <c r="I112" s="120"/>
    </row>
    <row r="113" spans="1:27" ht="18.75" customHeight="1">
      <c r="A113" s="120"/>
      <c r="B113" s="120"/>
      <c r="C113" s="120"/>
      <c r="D113" s="120"/>
      <c r="E113" s="3331" t="s">
        <v>1440</v>
      </c>
      <c r="F113" s="3331"/>
      <c r="G113" s="3331"/>
      <c r="H113" s="3331"/>
      <c r="I113" s="120"/>
    </row>
    <row r="114" spans="1:27" ht="3.75" customHeight="1">
      <c r="A114" s="645"/>
      <c r="B114" s="645"/>
      <c r="C114" s="645"/>
      <c r="D114" s="645"/>
      <c r="E114" s="1670"/>
      <c r="F114" s="1670"/>
      <c r="G114" s="1670"/>
      <c r="H114" s="1670"/>
      <c r="I114" s="645"/>
    </row>
    <row r="115" spans="1:27" ht="18.75" customHeight="1">
      <c r="A115" s="3341" t="s">
        <v>1442</v>
      </c>
      <c r="B115" s="3342"/>
      <c r="C115" s="3342"/>
      <c r="D115" s="3342"/>
      <c r="E115" s="3342"/>
      <c r="F115" s="3342"/>
      <c r="G115" s="3342"/>
      <c r="H115" s="3342"/>
      <c r="I115" s="3343"/>
    </row>
    <row r="116" spans="1:27" ht="27" customHeight="1">
      <c r="A116" s="3297" t="s">
        <v>1443</v>
      </c>
      <c r="B116" s="3332" t="s">
        <v>1444</v>
      </c>
      <c r="C116" s="3332" t="s">
        <v>1445</v>
      </c>
      <c r="D116" s="3345" t="s">
        <v>1446</v>
      </c>
      <c r="E116" s="3346"/>
      <c r="F116" s="3340" t="s">
        <v>1447</v>
      </c>
      <c r="G116" s="3340"/>
      <c r="H116" s="3297" t="s">
        <v>1448</v>
      </c>
      <c r="I116" s="3297"/>
    </row>
    <row r="117" spans="1:27" ht="18.75" customHeight="1">
      <c r="A117" s="3297"/>
      <c r="B117" s="3333"/>
      <c r="C117" s="3333"/>
      <c r="D117" s="2149" t="s">
        <v>1449</v>
      </c>
      <c r="E117" s="2149" t="s">
        <v>1450</v>
      </c>
      <c r="F117" s="2149" t="s">
        <v>1449</v>
      </c>
      <c r="G117" s="2149" t="s">
        <v>1451</v>
      </c>
      <c r="H117" s="2149" t="s">
        <v>1449</v>
      </c>
      <c r="I117" s="2149" t="s">
        <v>1451</v>
      </c>
    </row>
    <row r="118" spans="1:27" ht="24.75" customHeight="1">
      <c r="A118" s="2385" t="str">
        <f>项目基本情况!S2</f>
        <v>房地产</v>
      </c>
      <c r="B118" s="2149">
        <f>M18</f>
        <v>71986.14</v>
      </c>
      <c r="C118" s="2149">
        <f>M19</f>
        <v>8784.4599999999991</v>
      </c>
      <c r="D118" s="2149">
        <f ca="1">ROUND(IF(D32="总价",C34,E118*B118/10000),0)</f>
        <v>12436</v>
      </c>
      <c r="E118" s="2149">
        <f ca="1">ROUND(IF(C33="自定义",IF(D32="楼面单价",C34,D118*10000/B118),I118-G118),0)</f>
        <v>1728</v>
      </c>
      <c r="F118" s="2149">
        <f ca="1">ROUND(IF(D32="总价",C35,G118*B118/10000),0)</f>
        <v>44872</v>
      </c>
      <c r="G118" s="2149">
        <f ca="1">ROUND(IF(D32="楼面单价",C35,F118*10000/B118),0)</f>
        <v>6233</v>
      </c>
      <c r="H118" s="2149">
        <f ca="1">ROUND(IF(D32="总价",C32,I118*B118/10000),0)</f>
        <v>57308</v>
      </c>
      <c r="I118" s="2149">
        <f ca="1">ROUND(IF(D32="楼面单价",C32,H118*10000/B118),0)</f>
        <v>7961</v>
      </c>
    </row>
    <row r="119" spans="1:27" ht="18.75" customHeight="1">
      <c r="A119" s="3297" t="s">
        <v>1452</v>
      </c>
      <c r="B119" s="3297"/>
      <c r="C119" s="3297"/>
      <c r="D119" s="3337" t="str">
        <f ca="1">NUMBERSTRING(INT(D118*10000),2)&amp;"元整"</f>
        <v>壹亿贰仟肆佰叁拾陆万元整</v>
      </c>
      <c r="E119" s="3339"/>
      <c r="F119" s="3337" t="str">
        <f ca="1">NUMBERSTRING(INT(F118*10000),2)&amp;"元整"</f>
        <v>肆亿肆仟捌佰柒拾贰万元整</v>
      </c>
      <c r="G119" s="3339"/>
      <c r="H119" s="3337" t="str">
        <f ca="1">NUMBERSTRING(INT(H118*10000),2)&amp;"元整"</f>
        <v>伍亿柒仟叁佰零捌万元整</v>
      </c>
      <c r="I119" s="3339"/>
    </row>
    <row r="120" spans="1:27" ht="18.75" customHeight="1">
      <c r="A120" s="3361" t="str">
        <f>IF(项目基本情况!B9="房地产市场价值","",MID(E103,3,LEN(E103)-2))</f>
        <v>估价师知悉的法定优先受偿款</v>
      </c>
      <c r="B120" s="3362"/>
      <c r="C120" s="3363"/>
      <c r="D120" s="3361">
        <f>H103</f>
        <v>0</v>
      </c>
      <c r="E120" s="3362"/>
      <c r="F120" s="3362"/>
      <c r="G120" s="3362"/>
      <c r="H120" s="3362"/>
      <c r="I120" s="336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7" t="s">
        <v>1452</v>
      </c>
      <c r="B121" s="3338"/>
      <c r="C121" s="3339"/>
      <c r="D121" s="3337" t="str">
        <f>IF(D120=0,"零元整",NUMBERSTRING(INT(D120*10000),2)&amp;"元整")</f>
        <v>零元整</v>
      </c>
      <c r="E121" s="3338"/>
      <c r="F121" s="3338"/>
      <c r="G121" s="3338"/>
      <c r="H121" s="3338"/>
      <c r="I121" s="3339"/>
      <c r="AA121" s="683"/>
    </row>
    <row r="122" spans="1:27" ht="18.75" customHeight="1">
      <c r="A122" s="3328" t="str">
        <f>IF(项目基本情况!B9="房地产市场价值","",MID(E107,3,LEN(E107)-2))</f>
        <v>房地产抵押价值</v>
      </c>
      <c r="B122" s="3328"/>
      <c r="C122" s="3328"/>
      <c r="D122" s="3361">
        <f ca="1">H107</f>
        <v>57308</v>
      </c>
      <c r="E122" s="3362"/>
      <c r="F122" s="3362"/>
      <c r="G122" s="3362"/>
      <c r="H122" s="3362"/>
      <c r="I122" s="3363"/>
      <c r="AA122" s="683"/>
    </row>
    <row r="123" spans="1:27" ht="18.75" customHeight="1">
      <c r="A123" s="3297" t="s">
        <v>1452</v>
      </c>
      <c r="B123" s="3297"/>
      <c r="C123" s="3297"/>
      <c r="D123" s="3337" t="str">
        <f ca="1">NUMBERSTRING(INT(D122*10000),2)&amp;"元整"</f>
        <v>伍亿柒仟叁佰零捌万元整</v>
      </c>
      <c r="E123" s="3338"/>
      <c r="F123" s="3338"/>
      <c r="G123" s="3338"/>
      <c r="H123" s="3338"/>
      <c r="I123" s="3339"/>
      <c r="AA123" s="683"/>
    </row>
    <row r="124" spans="1:27" ht="18.75" customHeight="1">
      <c r="A124" s="3328" t="str">
        <f>IF(项目基本情况!B9="房地产市场价值","",MID(E109,3,LEN(E109)-2))</f>
        <v/>
      </c>
      <c r="B124" s="3328"/>
      <c r="C124" s="3328"/>
      <c r="D124" s="3361" t="str">
        <f>H109</f>
        <v>——</v>
      </c>
      <c r="E124" s="3362"/>
      <c r="F124" s="3362"/>
      <c r="G124" s="3362"/>
      <c r="H124" s="3362"/>
      <c r="I124" s="3363"/>
      <c r="AA124" s="683"/>
    </row>
    <row r="125" spans="1:27" ht="18.75" customHeight="1">
      <c r="A125" s="3297" t="s">
        <v>1452</v>
      </c>
      <c r="B125" s="3297"/>
      <c r="C125" s="3297"/>
      <c r="D125" s="3337" t="e">
        <f>NUMBERSTRING(INT(D124*10000),2)&amp;"元整"</f>
        <v>#VALUE!</v>
      </c>
      <c r="E125" s="3338"/>
      <c r="F125" s="3338"/>
      <c r="G125" s="3338"/>
      <c r="H125" s="3338"/>
      <c r="I125" s="3339"/>
      <c r="AA125" s="683"/>
    </row>
    <row r="126" spans="1:27" ht="18.75" customHeight="1">
      <c r="A126" s="3328" t="str">
        <f>IF(项目基本情况!B9="房地产市场价值","",MID(E111,3,LEN(E111)-2))</f>
        <v/>
      </c>
      <c r="B126" s="3328"/>
      <c r="C126" s="3328"/>
      <c r="D126" s="3361" t="str">
        <f>H111</f>
        <v>——</v>
      </c>
      <c r="E126" s="3362"/>
      <c r="F126" s="3362"/>
      <c r="G126" s="3362"/>
      <c r="H126" s="3362"/>
      <c r="I126" s="3363"/>
      <c r="AA126" s="683"/>
    </row>
    <row r="127" spans="1:27" ht="18.75" customHeight="1">
      <c r="A127" s="3297" t="s">
        <v>1452</v>
      </c>
      <c r="B127" s="3297"/>
      <c r="C127" s="3297"/>
      <c r="D127" s="3337" t="e">
        <f>NUMBERSTRING(INT(D126*10000),2)&amp;"元整"</f>
        <v>#VALUE!</v>
      </c>
      <c r="E127" s="3338"/>
      <c r="F127" s="3338"/>
      <c r="G127" s="3338"/>
      <c r="H127" s="3338"/>
      <c r="I127" s="3339"/>
      <c r="AA127" s="683"/>
    </row>
    <row r="128" spans="1:27" ht="21.75" customHeight="1">
      <c r="A128" s="3344" t="s">
        <v>1453</v>
      </c>
      <c r="B128" s="3344"/>
      <c r="C128" s="3344"/>
      <c r="D128" s="3344"/>
      <c r="E128" s="3344"/>
      <c r="F128" s="3344"/>
      <c r="G128" s="3344"/>
      <c r="H128" s="3344"/>
      <c r="I128" s="3344"/>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9" zoomScaleNormal="70" zoomScaleSheetLayoutView="100" workbookViewId="0">
      <selection activeCell="C20" sqref="C2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63130</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8770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10002</v>
      </c>
      <c r="D5" s="202" t="s">
        <v>1469</v>
      </c>
      <c r="E5" s="203" t="s">
        <v>1470</v>
      </c>
      <c r="F5" s="203" t="s">
        <v>1471</v>
      </c>
      <c r="G5" s="204"/>
    </row>
    <row r="6" spans="1:9" s="205" customFormat="1" ht="13.5" customHeight="1">
      <c r="A6" s="731" t="s">
        <v>1472</v>
      </c>
      <c r="B6" s="206" t="s">
        <v>1473</v>
      </c>
      <c r="C6" s="207">
        <f>'土地比较法-住宅、综合'!B2</f>
        <v>9322</v>
      </c>
      <c r="D6" s="208"/>
      <c r="E6" s="209"/>
      <c r="F6" s="209"/>
      <c r="G6" s="210"/>
    </row>
    <row r="7" spans="1:9" s="205" customFormat="1" ht="13.5" customHeight="1">
      <c r="A7" s="731" t="s">
        <v>1474</v>
      </c>
      <c r="B7" s="206" t="s">
        <v>1475</v>
      </c>
      <c r="C7" s="211">
        <f>ROUND(C6*F7,0)</f>
        <v>284</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396</v>
      </c>
      <c r="D8" s="213"/>
      <c r="E8" s="211"/>
      <c r="F8" s="212"/>
      <c r="G8" s="1713" t="s">
        <v>3442</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55</v>
      </c>
      <c r="F9" s="212"/>
      <c r="G9" s="1714" t="s">
        <v>3443</v>
      </c>
      <c r="H9" s="1069"/>
      <c r="I9" s="1715" t="s">
        <v>1479</v>
      </c>
    </row>
    <row r="10" spans="1:9" s="205" customFormat="1" ht="13.5" customHeight="1">
      <c r="A10" s="732" t="s">
        <v>356</v>
      </c>
      <c r="B10" s="215" t="s">
        <v>1480</v>
      </c>
      <c r="C10" s="216">
        <f ca="1">ROUND(D10*E10/10000,0)</f>
        <v>396</v>
      </c>
      <c r="D10" s="794">
        <f ca="1">IF(B1="",'数据-汇总表'!E6,IF(INDIRECT("'数据-取费表'!c"&amp;$G$1)="住宅",INDIRECT("'数据-取费表'!s"&amp;$G$1),INDIRECT("'数据-取费表'!k"&amp;$G$1)+INDIRECT("'数据-取费表'!s"&amp;$G$1)))</f>
        <v>71986.14</v>
      </c>
      <c r="E10" s="216">
        <f>'数据-取费表'!B28</f>
        <v>55</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71986.14</v>
      </c>
      <c r="E19" s="202">
        <f>'数据-取费表'!B31</f>
        <v>200</v>
      </c>
      <c r="F19" s="222"/>
      <c r="G19" s="1713" t="s">
        <v>3444</v>
      </c>
    </row>
    <row r="20" spans="1:7" s="205" customFormat="1" ht="13.5" customHeight="1">
      <c r="A20" s="246" t="s">
        <v>1493</v>
      </c>
      <c r="B20" s="201" t="s">
        <v>1494</v>
      </c>
      <c r="C20" s="223">
        <f ca="1">ROUND((C5+C19)*F20,0)</f>
        <v>200</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 ca="1">ROUND(SUM(C23:C25),0)</f>
        <v>775</v>
      </c>
      <c r="D22" s="226">
        <f ca="1">C26</f>
        <v>1.1000000000000001E-3</v>
      </c>
      <c r="E22" s="227" t="s">
        <v>1498</v>
      </c>
      <c r="F22" s="228">
        <f ca="1">'数据-取费表'!B40</f>
        <v>0.03</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767</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8</v>
      </c>
      <c r="D25" s="229"/>
      <c r="E25" s="232"/>
      <c r="F25" s="230"/>
      <c r="G25" s="233" t="s">
        <v>1510</v>
      </c>
    </row>
    <row r="26" spans="1:7" s="205" customFormat="1">
      <c r="A26" s="733" t="s">
        <v>350</v>
      </c>
      <c r="B26" s="206" t="s">
        <v>1511</v>
      </c>
      <c r="C26" s="229">
        <f ca="1">ROUND(IF('数据-取费表'!B22&lt;=1,F21*F22*'数据-取费表'!B23/2,F21*(POWER((1+F22),'数据-取费表'!B23/2)-1)),4)</f>
        <v>1.1000000000000001E-3</v>
      </c>
      <c r="D26" s="229"/>
      <c r="E26" s="232"/>
      <c r="F26" s="230"/>
      <c r="G26" s="234"/>
    </row>
    <row r="27" spans="1:7" s="205" customFormat="1" ht="24.75">
      <c r="A27" s="246" t="s">
        <v>1512</v>
      </c>
      <c r="B27" s="235" t="s">
        <v>1513</v>
      </c>
      <c r="C27" s="236">
        <f ca="1">C28</f>
        <v>1530</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1530</v>
      </c>
      <c r="D28" s="226"/>
      <c r="E28" s="227"/>
      <c r="F28" s="237"/>
      <c r="G28" s="238"/>
    </row>
    <row r="29" spans="1:7" s="205" customFormat="1" ht="13.5" customHeight="1">
      <c r="A29" s="733" t="s">
        <v>347</v>
      </c>
      <c r="B29" s="239" t="s">
        <v>1517</v>
      </c>
      <c r="C29" s="229">
        <f ca="1">ROUND(C21*F27*'数据-取费表'!B21/'数据-取费表'!B20,4)</f>
        <v>4.4999999999999997E-3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13727</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39953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35993</v>
      </c>
      <c r="D34" s="208"/>
      <c r="E34" s="211"/>
      <c r="F34" s="248">
        <f ca="1">IF('数据-取费表'!B24=0,1,IF(B1="",'数据-取费表'!N16,INDIRECT("'数据-取费表'!n"&amp;$G$1)))</f>
        <v>1</v>
      </c>
      <c r="G34" s="210" t="s">
        <v>1526</v>
      </c>
    </row>
    <row r="35" spans="1:7" ht="13.5" customHeight="1">
      <c r="A35" s="733" t="s">
        <v>351</v>
      </c>
      <c r="B35" s="206" t="s">
        <v>1527</v>
      </c>
      <c r="C35" s="211">
        <f ca="1">ROUND(C34*F35,0)</f>
        <v>1800</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1440</v>
      </c>
      <c r="D37" s="208">
        <f ca="1">D19</f>
        <v>71986.14</v>
      </c>
      <c r="E37" s="240">
        <f>'数据-取费表'!B35</f>
        <v>200</v>
      </c>
      <c r="F37" s="250"/>
      <c r="G37" s="252" t="s">
        <v>1532</v>
      </c>
    </row>
    <row r="38" spans="1:7" ht="13.5" customHeight="1">
      <c r="A38" s="733" t="s">
        <v>354</v>
      </c>
      <c r="B38" s="206" t="s">
        <v>1533</v>
      </c>
      <c r="C38" s="211">
        <f ca="1">ROUND(C34*F38,0)</f>
        <v>720</v>
      </c>
      <c r="D38" s="211"/>
      <c r="E38" s="211"/>
      <c r="F38" s="250">
        <f>'数据-取费表'!B36</f>
        <v>0.02</v>
      </c>
      <c r="G38" s="210" t="s">
        <v>1528</v>
      </c>
    </row>
    <row r="39" spans="1:7" s="205" customFormat="1" ht="13.5" customHeight="1">
      <c r="A39" s="246" t="s">
        <v>1534</v>
      </c>
      <c r="B39" s="201" t="s">
        <v>1535</v>
      </c>
      <c r="C39" s="223">
        <f ca="1">ROUND(C33*F20,0)</f>
        <v>799</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1534</v>
      </c>
      <c r="D41" s="226">
        <f ca="1">C44</f>
        <v>1.1000000000000001E-3</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1504</v>
      </c>
      <c r="D42" s="229"/>
      <c r="E42" s="229"/>
      <c r="F42" s="230"/>
      <c r="G42" s="3377" t="s">
        <v>1544</v>
      </c>
    </row>
    <row r="43" spans="1:7" ht="13.5" customHeight="1">
      <c r="A43" s="733" t="s">
        <v>347</v>
      </c>
      <c r="B43" s="206" t="s">
        <v>1545</v>
      </c>
      <c r="C43" s="229">
        <f ca="1">ROUND(IF('数据-取费表'!B22&lt;=1,C39*F22*'数据-取费表'!B21/2,C39*(POWER((1+F22),'数据-取费表'!B21/2)-1)),0)</f>
        <v>30</v>
      </c>
      <c r="D43" s="229"/>
      <c r="E43" s="229"/>
      <c r="F43" s="230"/>
      <c r="G43" s="3378"/>
    </row>
    <row r="44" spans="1:7" ht="13.5" customHeight="1">
      <c r="A44" s="733" t="s">
        <v>348</v>
      </c>
      <c r="B44" s="206" t="s">
        <v>1546</v>
      </c>
      <c r="C44" s="229">
        <f ca="1">ROUND(IF('数据-取费表'!B22&lt;=1,C40*F22*'数据-取费表'!B21/2,C40*(POWER((1+F22),'数据-取费表'!B21/2)-1)),4)</f>
        <v>1.1000000000000001E-3</v>
      </c>
      <c r="D44" s="229"/>
      <c r="E44" s="229"/>
      <c r="F44" s="230"/>
      <c r="G44" s="3379"/>
    </row>
    <row r="45" spans="1:7" s="205" customFormat="1" ht="13.5" customHeight="1">
      <c r="A45" s="246" t="s">
        <v>1547</v>
      </c>
      <c r="B45" s="235" t="s">
        <v>1513</v>
      </c>
      <c r="C45" s="236">
        <f ca="1">C46</f>
        <v>6113</v>
      </c>
      <c r="D45" s="226">
        <f ca="1">C47</f>
        <v>4.4999999999999997E-3</v>
      </c>
      <c r="E45" s="227" t="s">
        <v>1539</v>
      </c>
      <c r="F45" s="237">
        <f ca="1">F27</f>
        <v>0.15</v>
      </c>
      <c r="G45" s="238" t="s">
        <v>1548</v>
      </c>
    </row>
    <row r="46" spans="1:7" s="205" customFormat="1" ht="13.5" customHeight="1">
      <c r="A46" s="733" t="s">
        <v>346</v>
      </c>
      <c r="B46" s="239" t="s">
        <v>1549</v>
      </c>
      <c r="C46" s="240">
        <f ca="1">ROUND((C33+C39)*F27,0)</f>
        <v>6113</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53122</v>
      </c>
      <c r="D49" s="223"/>
      <c r="E49" s="223"/>
      <c r="F49" s="255"/>
      <c r="G49" s="225" t="s">
        <v>1554</v>
      </c>
    </row>
    <row r="50" spans="1:7" s="249" customFormat="1" ht="24">
      <c r="A50" s="246" t="s">
        <v>1555</v>
      </c>
      <c r="B50" s="201" t="s">
        <v>1556</v>
      </c>
      <c r="C50" s="223"/>
      <c r="D50" s="223"/>
      <c r="E50" s="223"/>
      <c r="F50" s="255">
        <f>IF('数据-取费表'!B24=0,'数据-取费表'!N16,1)</f>
        <v>0.93</v>
      </c>
      <c r="G50" s="238" t="s">
        <v>1557</v>
      </c>
    </row>
    <row r="51" spans="1:7" ht="16.5" customHeight="1">
      <c r="A51" s="246" t="s">
        <v>1558</v>
      </c>
      <c r="B51" s="201" t="s">
        <v>1559</v>
      </c>
      <c r="C51" s="223">
        <f ca="1">ROUND(C49*F50,0)</f>
        <v>49403</v>
      </c>
      <c r="D51" s="223"/>
      <c r="E51" s="223"/>
      <c r="F51" s="255"/>
      <c r="G51" s="225" t="s">
        <v>1560</v>
      </c>
    </row>
    <row r="52" spans="1:7" s="199" customFormat="1" ht="16.5" thickBot="1">
      <c r="A52" s="256" t="s">
        <v>1561</v>
      </c>
      <c r="B52" s="257"/>
      <c r="C52" s="258">
        <f ca="1">C31+C51</f>
        <v>63130</v>
      </c>
      <c r="D52" s="257"/>
      <c r="E52" s="257"/>
      <c r="F52" s="257"/>
      <c r="G52" s="259"/>
    </row>
    <row r="55" spans="1:7" ht="15">
      <c r="B55" s="261" t="s">
        <v>1562</v>
      </c>
      <c r="C55" s="262"/>
    </row>
    <row r="56" spans="1:7">
      <c r="B56" s="264" t="s">
        <v>802</v>
      </c>
      <c r="C56" s="266">
        <f ca="1">1-C57</f>
        <v>0.21699999999999997</v>
      </c>
    </row>
    <row r="57" spans="1:7">
      <c r="B57" s="264" t="s">
        <v>803</v>
      </c>
      <c r="C57" s="265">
        <f ca="1">ROUND(C51/C52,3)</f>
        <v>0.78300000000000003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2">
        <f ca="1">ROUND(IF(D2="——",C52/10000,C52/10000-E2),4)</f>
        <v>51921.247199999998</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7213</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3959238</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3959238</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55</v>
      </c>
      <c r="F9" s="212"/>
      <c r="G9" s="217"/>
    </row>
    <row r="10" spans="1:8" s="205" customFormat="1" ht="13.5" customHeight="1">
      <c r="A10" s="732" t="s">
        <v>356</v>
      </c>
      <c r="B10" s="215" t="s">
        <v>1480</v>
      </c>
      <c r="C10" s="216">
        <f ca="1">ROUND(D10*E10,0)</f>
        <v>3959238</v>
      </c>
      <c r="D10" s="794">
        <f ca="1">IF(B1="",'数据-汇总表'!E6,IF(INDIRECT("'数据-取费表'!c"&amp;$G$1)="住宅",INDIRECT("'数据-取费表'!s"&amp;$G$1),INDIRECT("'数据-取费表'!k"&amp;$G$1)+INDIRECT("'数据-取费表'!s"&amp;$G$1)))</f>
        <v>71986.14</v>
      </c>
      <c r="E10" s="216">
        <f>'数据-取费表'!B28</f>
        <v>55</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14397228</v>
      </c>
      <c r="D19" s="203">
        <f ca="1">D9+D10</f>
        <v>71986.14</v>
      </c>
      <c r="E19" s="202">
        <f>'数据-取费表'!B31</f>
        <v>200</v>
      </c>
      <c r="F19" s="222"/>
      <c r="G19" s="1713"/>
    </row>
    <row r="20" spans="1:7" s="205" customFormat="1" ht="13.5" customHeight="1">
      <c r="A20" s="246" t="s">
        <v>1574</v>
      </c>
      <c r="B20" s="201" t="s">
        <v>1575</v>
      </c>
      <c r="C20" s="223">
        <f ca="1">ROUND((C5+C19)*F20,0)</f>
        <v>367129</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1421684</v>
      </c>
      <c r="D22" s="226">
        <f ca="1">C26</f>
        <v>1.1000000000000001E-3</v>
      </c>
      <c r="E22" s="227" t="s">
        <v>1579</v>
      </c>
      <c r="F22" s="228">
        <f ca="1">'数据-取费表'!B40</f>
        <v>0.03</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303657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1104208</v>
      </c>
      <c r="D24" s="229"/>
      <c r="E24" s="229"/>
      <c r="F24" s="230"/>
      <c r="G24" s="231" t="s">
        <v>1586</v>
      </c>
    </row>
    <row r="25" spans="1:7" s="205" customFormat="1" ht="24">
      <c r="A25" s="733" t="s">
        <v>1476</v>
      </c>
      <c r="B25" s="206" t="s">
        <v>1587</v>
      </c>
      <c r="C25" s="229">
        <f ca="1">ROUND(IF('数据-取费表'!B22&lt;=1,C20*F22*'数据-取费表'!B22/2,C20*(POWER((1+F22),'数据-取费表'!B22/2)-1)),0)</f>
        <v>13819</v>
      </c>
      <c r="D25" s="229"/>
      <c r="E25" s="232"/>
      <c r="F25" s="230"/>
      <c r="G25" s="233" t="s">
        <v>1588</v>
      </c>
    </row>
    <row r="26" spans="1:7" s="205" customFormat="1">
      <c r="A26" s="733" t="s">
        <v>350</v>
      </c>
      <c r="B26" s="206" t="s">
        <v>1511</v>
      </c>
      <c r="C26" s="229">
        <f ca="1">ROUND(IF('数据-取费表'!B22&lt;=1,F21*F22*'数据-取费表'!B22/2,F21*(POWER((1+F22),'数据-取费表'!B22/2)-1)),4)</f>
        <v>1.1000000000000001E-3</v>
      </c>
      <c r="D26" s="229"/>
      <c r="E26" s="232"/>
      <c r="F26" s="230"/>
      <c r="G26" s="234"/>
    </row>
    <row r="27" spans="1:7" s="205" customFormat="1" ht="24.75">
      <c r="A27" s="246" t="s">
        <v>1512</v>
      </c>
      <c r="B27" s="235" t="s">
        <v>1513</v>
      </c>
      <c r="C27" s="236">
        <f ca="1">C28</f>
        <v>2808539</v>
      </c>
      <c r="D27" s="226">
        <f ca="1">C29</f>
        <v>4.4999999999999997E-3</v>
      </c>
      <c r="E27" s="227" t="s">
        <v>1514</v>
      </c>
      <c r="F27" s="237">
        <f ca="1">IF(B1="",'数据-取费表'!Q16,INDIRECT("'数据-取费表'!q"&amp;$G$1))</f>
        <v>0.15</v>
      </c>
      <c r="G27" s="238" t="s">
        <v>1515</v>
      </c>
    </row>
    <row r="28" spans="1:7" s="205" customFormat="1" ht="13.5" customHeight="1">
      <c r="A28" s="733" t="s">
        <v>346</v>
      </c>
      <c r="B28" s="239" t="s">
        <v>1516</v>
      </c>
      <c r="C28" s="240">
        <f ca="1">ROUND((C5+C19+C20)*F27,0)</f>
        <v>2808539</v>
      </c>
      <c r="D28" s="226"/>
      <c r="E28" s="227"/>
      <c r="F28" s="237"/>
      <c r="G28" s="238"/>
    </row>
    <row r="29" spans="1:7" s="205" customFormat="1" ht="13.5" customHeight="1">
      <c r="A29" s="733" t="s">
        <v>347</v>
      </c>
      <c r="B29" s="239" t="s">
        <v>1517</v>
      </c>
      <c r="C29" s="229">
        <f ca="1">ROUND(C21*F27,4)</f>
        <v>4.4999999999999997E-3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25193522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399523077</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359930700</v>
      </c>
      <c r="D34" s="208"/>
      <c r="E34" s="211"/>
      <c r="F34" s="248"/>
      <c r="G34" s="210"/>
    </row>
    <row r="35" spans="1:7" ht="13.5" customHeight="1">
      <c r="A35" s="733" t="s">
        <v>351</v>
      </c>
      <c r="B35" s="206" t="s">
        <v>1527</v>
      </c>
      <c r="C35" s="211">
        <f ca="1">ROUND(C34*F35,0)</f>
        <v>17996535</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14397228</v>
      </c>
      <c r="D37" s="208">
        <f ca="1">D19</f>
        <v>71986.14</v>
      </c>
      <c r="E37" s="240">
        <f>'数据-取费表'!B35</f>
        <v>200</v>
      </c>
      <c r="F37" s="250"/>
      <c r="G37" s="252"/>
    </row>
    <row r="38" spans="1:7" ht="13.5" customHeight="1">
      <c r="A38" s="733" t="s">
        <v>354</v>
      </c>
      <c r="B38" s="206" t="s">
        <v>1533</v>
      </c>
      <c r="C38" s="211">
        <f ca="1">ROUND(C34*F38,0)</f>
        <v>7198614</v>
      </c>
      <c r="D38" s="211"/>
      <c r="E38" s="211"/>
      <c r="F38" s="250">
        <f>'数据-取费表'!B36</f>
        <v>0.02</v>
      </c>
      <c r="G38" s="210" t="s">
        <v>1528</v>
      </c>
    </row>
    <row r="39" spans="1:7" s="205" customFormat="1" ht="13.5" customHeight="1">
      <c r="A39" s="246" t="s">
        <v>1534</v>
      </c>
      <c r="B39" s="201" t="s">
        <v>1535</v>
      </c>
      <c r="C39" s="223">
        <f ca="1">ROUND(C33*F20,0)</f>
        <v>7990462</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15338640</v>
      </c>
      <c r="D41" s="226">
        <f ca="1">C44</f>
        <v>1.1000000000000001E-3</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15037882</v>
      </c>
      <c r="D42" s="229"/>
      <c r="E42" s="229"/>
      <c r="F42" s="230"/>
      <c r="G42" s="3377" t="s">
        <v>1591</v>
      </c>
    </row>
    <row r="43" spans="1:7" ht="13.5" customHeight="1">
      <c r="A43" s="733" t="s">
        <v>347</v>
      </c>
      <c r="B43" s="206" t="s">
        <v>1545</v>
      </c>
      <c r="C43" s="229">
        <f ca="1">ROUND(IF('数据-取费表'!B22&lt;=1,C39*F22*'数据-取费表'!B20/2,C39*(POWER((1+F22),'数据-取费表'!B20/2)-1)),0)</f>
        <v>300758</v>
      </c>
      <c r="D43" s="229"/>
      <c r="E43" s="229"/>
      <c r="F43" s="230"/>
      <c r="G43" s="3378"/>
    </row>
    <row r="44" spans="1:7" ht="13.5" customHeight="1">
      <c r="A44" s="733" t="s">
        <v>348</v>
      </c>
      <c r="B44" s="206" t="s">
        <v>1546</v>
      </c>
      <c r="C44" s="229">
        <f ca="1">ROUND(IF('数据-取费表'!B22&lt;=1,C40*F22*'数据-取费表'!B20/2,C40*(POWER((1+F22),'数据-取费表'!B20/2)-1)),4)</f>
        <v>1.1000000000000001E-3</v>
      </c>
      <c r="D44" s="229"/>
      <c r="E44" s="229"/>
      <c r="F44" s="230"/>
      <c r="G44" s="3379"/>
    </row>
    <row r="45" spans="1:7" s="205" customFormat="1" ht="13.5" customHeight="1">
      <c r="A45" s="246" t="s">
        <v>1547</v>
      </c>
      <c r="B45" s="235" t="s">
        <v>1513</v>
      </c>
      <c r="C45" s="236">
        <f ca="1">C46</f>
        <v>61127031</v>
      </c>
      <c r="D45" s="226">
        <f ca="1">C47</f>
        <v>4.4999999999999997E-3</v>
      </c>
      <c r="E45" s="227" t="s">
        <v>1539</v>
      </c>
      <c r="F45" s="237">
        <f ca="1">F27</f>
        <v>0.15</v>
      </c>
      <c r="G45" s="238" t="s">
        <v>1548</v>
      </c>
    </row>
    <row r="46" spans="1:7" s="205" customFormat="1" ht="13.5" customHeight="1">
      <c r="A46" s="733" t="s">
        <v>346</v>
      </c>
      <c r="B46" s="239" t="s">
        <v>1549</v>
      </c>
      <c r="C46" s="240">
        <f ca="1">ROUND((C33+C39)*F27,0)</f>
        <v>61127031</v>
      </c>
      <c r="D46" s="254"/>
      <c r="E46" s="227"/>
      <c r="F46" s="237"/>
      <c r="G46" s="238"/>
    </row>
    <row r="47" spans="1:7" s="205" customFormat="1" ht="13.5" customHeight="1">
      <c r="A47" s="733" t="s">
        <v>347</v>
      </c>
      <c r="B47" s="239" t="s">
        <v>1550</v>
      </c>
      <c r="C47" s="229">
        <f ca="1">ROUND(C40*F27,4)</f>
        <v>4.4999999999999997E-3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531203172</v>
      </c>
      <c r="D49" s="223"/>
      <c r="E49" s="223"/>
      <c r="F49" s="255"/>
      <c r="G49" s="225" t="s">
        <v>1554</v>
      </c>
    </row>
    <row r="50" spans="1:7" s="249" customFormat="1">
      <c r="A50" s="246" t="s">
        <v>1555</v>
      </c>
      <c r="B50" s="201" t="s">
        <v>1556</v>
      </c>
      <c r="C50" s="223"/>
      <c r="D50" s="223"/>
      <c r="E50" s="223"/>
      <c r="F50" s="255">
        <f>IF('数据-取费表'!B24=0,'数据-取费表'!N16,1)</f>
        <v>0.93</v>
      </c>
      <c r="G50" s="238"/>
    </row>
    <row r="51" spans="1:7" ht="16.5" customHeight="1">
      <c r="A51" s="246" t="s">
        <v>1558</v>
      </c>
      <c r="B51" s="201" t="s">
        <v>1593</v>
      </c>
      <c r="C51" s="223">
        <f ca="1">ROUND(C49*F50,0)</f>
        <v>494018950</v>
      </c>
      <c r="D51" s="223"/>
      <c r="E51" s="223"/>
      <c r="F51" s="255"/>
      <c r="G51" s="225" t="s">
        <v>1560</v>
      </c>
    </row>
    <row r="52" spans="1:7" s="199" customFormat="1" ht="16.5" thickBot="1">
      <c r="A52" s="256" t="s">
        <v>1561</v>
      </c>
      <c r="B52" s="257"/>
      <c r="C52" s="258">
        <f ca="1">C31+C51</f>
        <v>519212472</v>
      </c>
      <c r="D52" s="257"/>
      <c r="E52" s="257"/>
      <c r="F52" s="257"/>
      <c r="G52" s="259"/>
    </row>
    <row r="55" spans="1:7" ht="15">
      <c r="B55" s="261" t="s">
        <v>1562</v>
      </c>
      <c r="C55" s="262"/>
    </row>
    <row r="56" spans="1:7">
      <c r="B56" s="264" t="s">
        <v>802</v>
      </c>
      <c r="C56" s="266">
        <f ca="1">1-C57</f>
        <v>4.9000000000000044E-2</v>
      </c>
    </row>
    <row r="57" spans="1:7">
      <c r="B57" s="264" t="s">
        <v>803</v>
      </c>
      <c r="C57" s="265">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0</v>
      </c>
      <c r="C2" s="267" t="s">
        <v>1595</v>
      </c>
      <c r="D2" s="267"/>
      <c r="E2" s="2567"/>
      <c r="F2" s="2567"/>
      <c r="G2" s="2567"/>
      <c r="H2" s="2567"/>
      <c r="I2" s="2567"/>
      <c r="J2" s="2567"/>
      <c r="K2" s="2567"/>
    </row>
    <row r="3" spans="1:33" ht="18" customHeight="1" thickBot="1">
      <c r="A3" s="194" t="s">
        <v>1464</v>
      </c>
      <c r="B3" s="195">
        <f ca="1">ROUND(B2*10000/IF(C1="",'数据-汇总表'!E3,INDIRECT("'数据-取费表'!K"&amp;$K$1)),0)</f>
        <v>0</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71986.14</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71986.14</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55</v>
      </c>
      <c r="F19" s="755"/>
      <c r="G19" s="11"/>
      <c r="H19" s="1107"/>
      <c r="I19" s="760"/>
      <c r="J19" s="760"/>
      <c r="K19" s="761"/>
    </row>
    <row r="20" spans="1:33" s="754" customFormat="1" ht="13.5" customHeight="1">
      <c r="A20" s="751" t="s">
        <v>361</v>
      </c>
      <c r="B20" s="752" t="s">
        <v>1627</v>
      </c>
      <c r="C20" s="20">
        <f ca="1">ROUND(D20*E20/10000,0)</f>
        <v>396</v>
      </c>
      <c r="D20" s="795">
        <f ca="1">IF(C1="",'数据-汇总表'!E6,IF(INDIRECT("'数据-取费表'!c"&amp;$K$1)="住宅",INDIRECT("'数据-取费表'!s"&amp;$K$1),INDIRECT("'数据-取费表'!k"&amp;$K$1)+INDIRECT("'数据-取费表'!s"&amp;$K$1)))</f>
        <v>71986.14</v>
      </c>
      <c r="E20" s="20">
        <f>'数据-取费表'!B28</f>
        <v>55</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0.15</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topLeftCell="A4" zoomScale="85" zoomScaleNormal="60" zoomScaleSheetLayoutView="85" workbookViewId="0">
      <selection activeCell="I46" sqref="I46"/>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9322</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1295</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84" t="s">
        <v>1770</v>
      </c>
      <c r="D4" s="3396"/>
      <c r="E4" s="3397" t="s">
        <v>1771</v>
      </c>
      <c r="F4" s="3398"/>
      <c r="G4" s="3384" t="s">
        <v>1772</v>
      </c>
      <c r="H4" s="3396"/>
      <c r="I4" s="3384" t="s">
        <v>1773</v>
      </c>
      <c r="J4" s="3396"/>
      <c r="K4" s="536" t="s">
        <v>1774</v>
      </c>
      <c r="L4" s="2486"/>
      <c r="M4" s="2487"/>
      <c r="N4" s="2487"/>
      <c r="O4" s="2487"/>
      <c r="P4" s="3399" t="s">
        <v>1775</v>
      </c>
      <c r="Q4" s="3400"/>
      <c r="R4" s="3405" t="s">
        <v>1771</v>
      </c>
      <c r="S4" s="3406"/>
      <c r="T4" s="3405" t="s">
        <v>1772</v>
      </c>
      <c r="U4" s="3406"/>
      <c r="V4" s="3392" t="s">
        <v>1773</v>
      </c>
      <c r="W4" s="3392"/>
      <c r="X4" s="1264"/>
      <c r="Y4" s="3405" t="s">
        <v>1775</v>
      </c>
      <c r="Z4" s="3406"/>
      <c r="AA4" s="3393" t="s">
        <v>1771</v>
      </c>
      <c r="AB4" s="3394" t="s">
        <v>1772</v>
      </c>
      <c r="AC4" s="3393" t="s">
        <v>1773</v>
      </c>
    </row>
    <row r="5" spans="1:29" ht="15">
      <c r="A5" s="347"/>
      <c r="B5" s="348"/>
      <c r="C5" s="3413" t="s">
        <v>1673</v>
      </c>
      <c r="D5" s="3414"/>
      <c r="E5" s="3420" t="str">
        <f>土地案例!A8</f>
        <v>黄州大道东侧,联通呼叫中心斜对面</v>
      </c>
      <c r="F5" s="3421"/>
      <c r="G5" s="3413" t="str">
        <f>土地案例!A9</f>
        <v>新港大道以西,聆湖春天小区以北,谦盛学堂湾小区以东</v>
      </c>
      <c r="H5" s="3414"/>
      <c r="I5" s="3413" t="str">
        <f>土地案例!A10</f>
        <v>黄冈高新区南湖工业园规划道路以南</v>
      </c>
      <c r="J5" s="3414"/>
      <c r="K5" s="536"/>
      <c r="L5" s="2486"/>
      <c r="M5" s="2487"/>
      <c r="N5" s="2487"/>
      <c r="O5" s="2487"/>
      <c r="P5" s="3401"/>
      <c r="Q5" s="3402"/>
      <c r="R5" s="3407"/>
      <c r="S5" s="3408"/>
      <c r="T5" s="3407"/>
      <c r="U5" s="3408"/>
      <c r="V5" s="3392"/>
      <c r="W5" s="3392"/>
      <c r="X5" s="1264"/>
      <c r="Y5" s="3407"/>
      <c r="Z5" s="3408"/>
      <c r="AA5" s="3394"/>
      <c r="AB5" s="3394"/>
      <c r="AC5" s="3394"/>
    </row>
    <row r="6" spans="1:29" ht="15.75" thickBot="1">
      <c r="A6" s="349"/>
      <c r="B6" s="350"/>
      <c r="C6" s="3411" t="s">
        <v>1677</v>
      </c>
      <c r="D6" s="3412"/>
      <c r="E6" s="3418" t="s">
        <v>1677</v>
      </c>
      <c r="F6" s="3419"/>
      <c r="G6" s="3411" t="s">
        <v>1677</v>
      </c>
      <c r="H6" s="3412"/>
      <c r="I6" s="3411" t="s">
        <v>1677</v>
      </c>
      <c r="J6" s="3412"/>
      <c r="K6" s="536" t="s">
        <v>1678</v>
      </c>
      <c r="L6" s="2486"/>
      <c r="M6" s="2487"/>
      <c r="N6" s="2487"/>
      <c r="O6" s="2487"/>
      <c r="P6" s="3403"/>
      <c r="Q6" s="3404"/>
      <c r="R6" s="3407"/>
      <c r="S6" s="3408"/>
      <c r="T6" s="3409"/>
      <c r="U6" s="3410"/>
      <c r="V6" s="3392"/>
      <c r="W6" s="3392"/>
      <c r="X6" s="1264"/>
      <c r="Y6" s="3409"/>
      <c r="Z6" s="3410"/>
      <c r="AA6" s="3395"/>
      <c r="AB6" s="3395"/>
      <c r="AC6" s="3395"/>
    </row>
    <row r="7" spans="1:29" s="101" customFormat="1" ht="15.75" thickBot="1">
      <c r="A7" s="351" t="s">
        <v>1679</v>
      </c>
      <c r="B7" s="352"/>
      <c r="C7" s="353">
        <f>'数据-取费表'!B2</f>
        <v>45819</v>
      </c>
      <c r="D7" s="354">
        <v>100</v>
      </c>
      <c r="E7" s="355">
        <v>45652</v>
      </c>
      <c r="F7" s="356">
        <f>SUMIF(69:69,YEAR(E7)&amp;"-"&amp;INT((MONTH(E7)+2)/3),70:70)</f>
        <v>100</v>
      </c>
      <c r="G7" s="1821">
        <v>45403</v>
      </c>
      <c r="H7" s="354">
        <f>SUMIF(69:69,YEAR(G7)&amp;"-"&amp;INT((MONTH(G7)+2)/3),70:70)</f>
        <v>100</v>
      </c>
      <c r="I7" s="1821">
        <v>45341</v>
      </c>
      <c r="J7" s="354">
        <f>SUMIF(69:69,YEAR(I7)&amp;"-"&amp;INT((MONTH(I7)+2)/3),70:70)</f>
        <v>100</v>
      </c>
      <c r="K7" s="37"/>
      <c r="L7" s="2488"/>
      <c r="M7" s="2439"/>
      <c r="N7" s="2439"/>
      <c r="O7" s="2439"/>
      <c r="P7" s="3415" t="s">
        <v>1680</v>
      </c>
      <c r="Q7" s="3417"/>
      <c r="R7" s="663" t="s">
        <v>14</v>
      </c>
      <c r="S7" s="664">
        <f t="shared" ref="S7:S15" si="0">F7</f>
        <v>100</v>
      </c>
      <c r="T7" s="663" t="s">
        <v>14</v>
      </c>
      <c r="U7" s="664">
        <f t="shared" ref="U7:U15" si="1">H7</f>
        <v>100</v>
      </c>
      <c r="V7" s="663" t="s">
        <v>14</v>
      </c>
      <c r="W7" s="664">
        <f t="shared" ref="W7:W15" si="2">J7</f>
        <v>100</v>
      </c>
      <c r="X7" s="665"/>
      <c r="Y7" s="3415" t="s">
        <v>1680</v>
      </c>
      <c r="Z7" s="3416"/>
      <c r="AA7" s="49">
        <f>D7/F7</f>
        <v>1</v>
      </c>
      <c r="AB7" s="49">
        <f>D7/H7</f>
        <v>1</v>
      </c>
      <c r="AC7" s="49">
        <f>D7/J7</f>
        <v>1</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7"/>
      <c r="L8" s="2488"/>
      <c r="M8" s="2439"/>
      <c r="N8" s="2439"/>
      <c r="O8" s="2439"/>
      <c r="P8" s="3415" t="s">
        <v>1683</v>
      </c>
      <c r="Q8" s="3416"/>
      <c r="R8" s="663" t="s">
        <v>14</v>
      </c>
      <c r="S8" s="664">
        <f t="shared" si="0"/>
        <v>100</v>
      </c>
      <c r="T8" s="663" t="s">
        <v>14</v>
      </c>
      <c r="U8" s="664">
        <f t="shared" si="1"/>
        <v>100</v>
      </c>
      <c r="V8" s="663" t="s">
        <v>14</v>
      </c>
      <c r="W8" s="664">
        <f t="shared" si="2"/>
        <v>100</v>
      </c>
      <c r="X8" s="665"/>
      <c r="Y8" s="3415" t="s">
        <v>1683</v>
      </c>
      <c r="Z8" s="3416"/>
      <c r="AA8" s="49">
        <f t="shared" ref="AA8:AA45" si="3">D8/F8</f>
        <v>1</v>
      </c>
      <c r="AB8" s="49">
        <f t="shared" ref="AB8:AB45" si="4">D8/H8</f>
        <v>1</v>
      </c>
      <c r="AC8" s="49">
        <f t="shared" ref="AC8:AC45" si="5">D8/J8</f>
        <v>1</v>
      </c>
    </row>
    <row r="9" spans="1:29" s="101" customFormat="1">
      <c r="A9" s="358" t="s">
        <v>1684</v>
      </c>
      <c r="B9" s="59" t="s">
        <v>1685</v>
      </c>
      <c r="C9" s="3163" t="s">
        <v>3435</v>
      </c>
      <c r="D9" s="58">
        <v>100</v>
      </c>
      <c r="E9" s="3163" t="s">
        <v>3435</v>
      </c>
      <c r="F9" s="58">
        <f>SUMIF(74:74,E9,75:75)-SUMIF(74:74,C9,75:75)+100</f>
        <v>100</v>
      </c>
      <c r="G9" s="3163" t="s">
        <v>3435</v>
      </c>
      <c r="H9" s="58">
        <f>SUMIF(74:74,G9,75:75)-SUMIF(74:74,C9,75:75)+100</f>
        <v>100</v>
      </c>
      <c r="I9" s="3163" t="s">
        <v>3435</v>
      </c>
      <c r="J9" s="58">
        <f>SUMIF(74:74,I9,75:75)-SUMIF(74:74,C9,75:75)+100</f>
        <v>100</v>
      </c>
      <c r="K9" s="37"/>
      <c r="L9" s="2488"/>
      <c r="M9" s="2439"/>
      <c r="N9" s="2439"/>
      <c r="O9" s="2540"/>
      <c r="P9" s="3387" t="s">
        <v>1686</v>
      </c>
      <c r="Q9" s="529" t="str">
        <f t="shared" ref="Q9:Q15" si="6">B9</f>
        <v>用途</v>
      </c>
      <c r="R9" s="663" t="s">
        <v>14</v>
      </c>
      <c r="S9" s="664">
        <f t="shared" si="0"/>
        <v>100</v>
      </c>
      <c r="T9" s="663" t="s">
        <v>14</v>
      </c>
      <c r="U9" s="664">
        <f t="shared" si="1"/>
        <v>100</v>
      </c>
      <c r="V9" s="663" t="s">
        <v>14</v>
      </c>
      <c r="W9" s="664">
        <f t="shared" si="2"/>
        <v>100</v>
      </c>
      <c r="X9" s="665"/>
      <c r="Y9" s="3284" t="s">
        <v>1687</v>
      </c>
      <c r="Z9" s="49" t="str">
        <f t="shared" ref="Z9:Z15" si="7">Q9</f>
        <v>用途</v>
      </c>
      <c r="AA9" s="49">
        <f t="shared" si="3"/>
        <v>1</v>
      </c>
      <c r="AB9" s="49">
        <f t="shared" si="4"/>
        <v>1</v>
      </c>
      <c r="AC9" s="49">
        <f t="shared" si="5"/>
        <v>1</v>
      </c>
    </row>
    <row r="10" spans="1:29" s="365" customFormat="1" ht="27">
      <c r="A10" s="362"/>
      <c r="B10" s="363" t="s">
        <v>1688</v>
      </c>
      <c r="C10" s="370"/>
      <c r="D10" s="118">
        <v>100</v>
      </c>
      <c r="E10" s="402"/>
      <c r="F10" s="118">
        <f>ROUND(100/'数据-取费表'!G16,0)</f>
        <v>107</v>
      </c>
      <c r="G10" s="401"/>
      <c r="H10" s="118">
        <f>ROUND(100/'数据-取费表'!G16,0)</f>
        <v>107</v>
      </c>
      <c r="I10" s="401"/>
      <c r="J10" s="118">
        <f>ROUND(100/'数据-取费表'!G16,0)</f>
        <v>107</v>
      </c>
      <c r="K10" s="591"/>
      <c r="L10" s="2489"/>
      <c r="M10" s="2490"/>
      <c r="N10" s="2490"/>
      <c r="O10" s="2541"/>
      <c r="P10" s="3387"/>
      <c r="Q10" s="529" t="str">
        <f t="shared" si="6"/>
        <v>土地使用年限（年）</v>
      </c>
      <c r="R10" s="663" t="s">
        <v>14</v>
      </c>
      <c r="S10" s="664">
        <f t="shared" si="0"/>
        <v>107</v>
      </c>
      <c r="T10" s="663" t="s">
        <v>14</v>
      </c>
      <c r="U10" s="664">
        <f t="shared" si="1"/>
        <v>107</v>
      </c>
      <c r="V10" s="663" t="s">
        <v>14</v>
      </c>
      <c r="W10" s="664">
        <f t="shared" si="2"/>
        <v>107</v>
      </c>
      <c r="X10" s="665"/>
      <c r="Y10" s="3284"/>
      <c r="Z10" s="49" t="str">
        <f t="shared" si="7"/>
        <v>土地使用年限（年）</v>
      </c>
      <c r="AA10" s="49">
        <f t="shared" si="3"/>
        <v>0.93457943925233644</v>
      </c>
      <c r="AB10" s="49">
        <f t="shared" si="4"/>
        <v>0.93457943925233644</v>
      </c>
      <c r="AC10" s="49">
        <f t="shared" si="5"/>
        <v>0.93457943925233644</v>
      </c>
    </row>
    <row r="11" spans="1:29" ht="15">
      <c r="A11" s="366"/>
      <c r="B11" s="363" t="s">
        <v>1689</v>
      </c>
      <c r="C11" s="367">
        <f>'数据-汇总表'!I6</f>
        <v>8.19</v>
      </c>
      <c r="D11" s="118">
        <v>100</v>
      </c>
      <c r="E11" s="367">
        <v>1.5</v>
      </c>
      <c r="F11" s="118">
        <f>LOOKUP(E11,79:79,80:80)-LOOKUP(C11,79:79,80:80)+100</f>
        <v>100</v>
      </c>
      <c r="G11" s="368">
        <v>1.5</v>
      </c>
      <c r="H11" s="118">
        <f>LOOKUP(G11,79:79,80:80)-LOOKUP(C11,79:79,80:80)+100</f>
        <v>100</v>
      </c>
      <c r="I11" s="367">
        <v>2.4</v>
      </c>
      <c r="J11" s="118">
        <f>LOOKUP(I11,79:79,80:80)-LOOKUP(C11,79:79,80:80)+100</f>
        <v>100</v>
      </c>
      <c r="K11" s="592">
        <v>0</v>
      </c>
      <c r="L11" s="2491"/>
      <c r="M11" s="2487"/>
      <c r="N11" s="2487"/>
      <c r="O11" s="2542"/>
      <c r="P11" s="3387"/>
      <c r="Q11" s="529" t="str">
        <f t="shared" si="6"/>
        <v>容积率</v>
      </c>
      <c r="R11" s="663" t="s">
        <v>14</v>
      </c>
      <c r="S11" s="664">
        <f t="shared" si="0"/>
        <v>100</v>
      </c>
      <c r="T11" s="663" t="s">
        <v>14</v>
      </c>
      <c r="U11" s="664">
        <f t="shared" si="1"/>
        <v>100</v>
      </c>
      <c r="V11" s="663" t="s">
        <v>14</v>
      </c>
      <c r="W11" s="664">
        <f t="shared" si="2"/>
        <v>100</v>
      </c>
      <c r="X11" s="665"/>
      <c r="Y11" s="3284"/>
      <c r="Z11" s="49" t="str">
        <f t="shared" si="7"/>
        <v>容积率</v>
      </c>
      <c r="AA11" s="49">
        <f t="shared" si="3"/>
        <v>1</v>
      </c>
      <c r="AB11" s="49">
        <f t="shared" si="4"/>
        <v>1</v>
      </c>
      <c r="AC11" s="49">
        <f t="shared" si="5"/>
        <v>1</v>
      </c>
    </row>
    <row r="12" spans="1:29" s="101" customFormat="1" ht="15" hidden="1">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87"/>
      <c r="Q12" s="529" t="str">
        <f t="shared" si="6"/>
        <v>配建</v>
      </c>
      <c r="R12" s="663" t="s">
        <v>14</v>
      </c>
      <c r="S12" s="664">
        <f t="shared" si="0"/>
        <v>100</v>
      </c>
      <c r="T12" s="663" t="s">
        <v>14</v>
      </c>
      <c r="U12" s="664">
        <f t="shared" si="1"/>
        <v>100</v>
      </c>
      <c r="V12" s="663" t="s">
        <v>14</v>
      </c>
      <c r="W12" s="664">
        <f t="shared" si="2"/>
        <v>100</v>
      </c>
      <c r="X12" s="665"/>
      <c r="Y12" s="3284"/>
      <c r="Z12" s="49" t="str">
        <f t="shared" si="7"/>
        <v>配建</v>
      </c>
      <c r="AA12" s="49">
        <f>D12/F12</f>
        <v>1</v>
      </c>
      <c r="AB12" s="49">
        <f>D12/H12</f>
        <v>1</v>
      </c>
      <c r="AC12" s="49">
        <f>D12/J12</f>
        <v>1</v>
      </c>
    </row>
    <row r="13" spans="1:29" ht="15" hidden="1">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87"/>
      <c r="Q13" s="529">
        <f t="shared" si="6"/>
        <v>111</v>
      </c>
      <c r="R13" s="663" t="s">
        <v>14</v>
      </c>
      <c r="S13" s="664">
        <f t="shared" si="0"/>
        <v>100</v>
      </c>
      <c r="T13" s="663" t="s">
        <v>14</v>
      </c>
      <c r="U13" s="664">
        <f t="shared" si="1"/>
        <v>100</v>
      </c>
      <c r="V13" s="663" t="s">
        <v>14</v>
      </c>
      <c r="W13" s="664">
        <f t="shared" si="2"/>
        <v>100</v>
      </c>
      <c r="X13" s="665"/>
      <c r="Y13" s="3284"/>
      <c r="Z13" s="49">
        <f t="shared" si="7"/>
        <v>111</v>
      </c>
      <c r="AA13" s="49">
        <f>D13/F13</f>
        <v>1</v>
      </c>
      <c r="AB13" s="49">
        <f>D13/H13</f>
        <v>1</v>
      </c>
      <c r="AC13" s="49">
        <f>D13/J13</f>
        <v>1</v>
      </c>
    </row>
    <row r="14" spans="1:29" ht="15.75" hidden="1"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87"/>
      <c r="Q14" s="529">
        <f t="shared" si="6"/>
        <v>111</v>
      </c>
      <c r="R14" s="663" t="s">
        <v>14</v>
      </c>
      <c r="S14" s="664">
        <f t="shared" si="0"/>
        <v>100</v>
      </c>
      <c r="T14" s="663" t="s">
        <v>14</v>
      </c>
      <c r="U14" s="664">
        <f t="shared" si="1"/>
        <v>100</v>
      </c>
      <c r="V14" s="663" t="s">
        <v>14</v>
      </c>
      <c r="W14" s="664">
        <f t="shared" si="2"/>
        <v>100</v>
      </c>
      <c r="X14" s="665"/>
      <c r="Y14" s="3284"/>
      <c r="Z14" s="49">
        <f t="shared" si="7"/>
        <v>111</v>
      </c>
      <c r="AA14" s="49">
        <f>D14/F14</f>
        <v>1</v>
      </c>
      <c r="AB14" s="49">
        <f>D14/H14</f>
        <v>1</v>
      </c>
      <c r="AC14" s="49">
        <f>D14/J14</f>
        <v>1</v>
      </c>
    </row>
    <row r="15" spans="1:29" ht="15" hidden="1">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88" t="s">
        <v>1691</v>
      </c>
      <c r="Q15" s="1262" t="str">
        <f t="shared" si="6"/>
        <v>居住社区成熟度</v>
      </c>
      <c r="R15" s="666" t="s">
        <v>14</v>
      </c>
      <c r="S15" s="667">
        <f t="shared" si="0"/>
        <v>100</v>
      </c>
      <c r="T15" s="666" t="s">
        <v>14</v>
      </c>
      <c r="U15" s="667">
        <f t="shared" si="1"/>
        <v>100</v>
      </c>
      <c r="V15" s="666" t="s">
        <v>14</v>
      </c>
      <c r="W15" s="667">
        <f t="shared" si="2"/>
        <v>100</v>
      </c>
      <c r="X15" s="1264"/>
      <c r="Y15" s="3388" t="s">
        <v>1691</v>
      </c>
      <c r="Z15" s="1263" t="str">
        <f t="shared" si="7"/>
        <v>居住社区成熟度</v>
      </c>
      <c r="AA15" s="1263">
        <f t="shared" si="3"/>
        <v>1</v>
      </c>
      <c r="AB15" s="1263">
        <f t="shared" si="4"/>
        <v>1</v>
      </c>
      <c r="AC15" s="1263">
        <f t="shared" si="5"/>
        <v>1</v>
      </c>
    </row>
    <row r="16" spans="1:29" ht="15" hidden="1">
      <c r="A16" s="366"/>
      <c r="B16" s="384"/>
      <c r="C16" s="385"/>
      <c r="D16" s="386"/>
      <c r="E16" s="1751"/>
      <c r="F16" s="386"/>
      <c r="G16" s="1751"/>
      <c r="H16" s="388"/>
      <c r="I16" s="1750"/>
      <c r="J16" s="386"/>
      <c r="K16" s="591"/>
      <c r="L16" s="2492"/>
      <c r="M16" s="2487"/>
      <c r="N16" s="2487"/>
      <c r="O16" s="2542"/>
      <c r="P16" s="3389"/>
      <c r="Q16" s="1262"/>
      <c r="R16" s="666"/>
      <c r="S16" s="667"/>
      <c r="T16" s="666"/>
      <c r="U16" s="667"/>
      <c r="V16" s="666"/>
      <c r="W16" s="667"/>
      <c r="X16" s="1264"/>
      <c r="Y16" s="3389"/>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95</v>
      </c>
      <c r="I17" s="392"/>
      <c r="J17" s="393">
        <f>SUMIF(89:89,I18,90:90)-SUMIF(89:89,C18,90:90)+100</f>
        <v>90</v>
      </c>
      <c r="K17" s="592">
        <v>5</v>
      </c>
      <c r="L17" s="2492"/>
      <c r="M17" s="2487"/>
      <c r="N17" s="2487"/>
      <c r="O17" s="2542"/>
      <c r="P17" s="3389"/>
      <c r="Q17" s="1262" t="str">
        <f>B17</f>
        <v>商业繁华度</v>
      </c>
      <c r="R17" s="666" t="s">
        <v>14</v>
      </c>
      <c r="S17" s="667">
        <f>F17</f>
        <v>100</v>
      </c>
      <c r="T17" s="666" t="s">
        <v>14</v>
      </c>
      <c r="U17" s="667">
        <f>H17</f>
        <v>95</v>
      </c>
      <c r="V17" s="666" t="s">
        <v>14</v>
      </c>
      <c r="W17" s="667">
        <f>J17</f>
        <v>90</v>
      </c>
      <c r="X17" s="1264"/>
      <c r="Y17" s="3389"/>
      <c r="Z17" s="1263" t="str">
        <f>Q17</f>
        <v>商业繁华度</v>
      </c>
      <c r="AA17" s="1263">
        <f t="shared" si="3"/>
        <v>1</v>
      </c>
      <c r="AB17" s="1263">
        <f t="shared" si="4"/>
        <v>1.0526315789473684</v>
      </c>
      <c r="AC17" s="1263">
        <f t="shared" si="5"/>
        <v>1.1111111111111112</v>
      </c>
    </row>
    <row r="18" spans="1:29" ht="15">
      <c r="A18" s="366"/>
      <c r="B18" s="394"/>
      <c r="C18" s="1754" t="s">
        <v>3436</v>
      </c>
      <c r="D18" s="388"/>
      <c r="E18" s="1756" t="s">
        <v>3436</v>
      </c>
      <c r="F18" s="388"/>
      <c r="G18" s="1756" t="s">
        <v>3509</v>
      </c>
      <c r="H18" s="386"/>
      <c r="I18" s="1756" t="s">
        <v>3511</v>
      </c>
      <c r="J18" s="386"/>
      <c r="K18" s="591"/>
      <c r="L18" s="2492"/>
      <c r="M18" s="2487"/>
      <c r="N18" s="2487"/>
      <c r="O18" s="2542"/>
      <c r="P18" s="3389"/>
      <c r="Q18" s="1262"/>
      <c r="R18" s="666"/>
      <c r="S18" s="667"/>
      <c r="T18" s="666"/>
      <c r="U18" s="667"/>
      <c r="V18" s="666"/>
      <c r="W18" s="667"/>
      <c r="X18" s="1264"/>
      <c r="Y18" s="3389"/>
      <c r="Z18" s="1263"/>
      <c r="AA18" s="1263">
        <v>1</v>
      </c>
      <c r="AB18" s="1263">
        <v>1</v>
      </c>
      <c r="AC18" s="1263">
        <v>1</v>
      </c>
    </row>
    <row r="19" spans="1:29" ht="15" hidden="1">
      <c r="A19" s="366"/>
      <c r="B19" s="389" t="s">
        <v>1811</v>
      </c>
      <c r="C19" s="1805">
        <f>估价对象房地状况!C17</f>
        <v>0</v>
      </c>
      <c r="D19" s="393">
        <v>100</v>
      </c>
      <c r="E19" s="395">
        <v>0</v>
      </c>
      <c r="F19" s="393">
        <f>SUMIF(91:91,E20,92:92)-SUMIF(91:91,C20,92:92)+100</f>
        <v>100</v>
      </c>
      <c r="G19" s="395">
        <v>0</v>
      </c>
      <c r="H19" s="388">
        <f>SUMIF(91:91,G20,92:92)-SUMIF(91:91,C20,92:92)+100</f>
        <v>100</v>
      </c>
      <c r="I19" s="395">
        <v>0</v>
      </c>
      <c r="J19" s="388">
        <f>SUMIF(91:91,I20,92:92)-SUMIF(91:91,C20,92:92)+100</f>
        <v>100</v>
      </c>
      <c r="K19" s="592"/>
      <c r="L19" s="2492"/>
      <c r="M19" s="2487"/>
      <c r="N19" s="2487"/>
      <c r="O19" s="2542"/>
      <c r="P19" s="3389"/>
      <c r="Q19" s="1262" t="str">
        <f>B19</f>
        <v>办公集聚程度</v>
      </c>
      <c r="R19" s="666" t="s">
        <v>14</v>
      </c>
      <c r="S19" s="667">
        <f>F19</f>
        <v>100</v>
      </c>
      <c r="T19" s="666" t="s">
        <v>14</v>
      </c>
      <c r="U19" s="667">
        <f>H19</f>
        <v>100</v>
      </c>
      <c r="V19" s="666" t="s">
        <v>14</v>
      </c>
      <c r="W19" s="667">
        <f>J19</f>
        <v>100</v>
      </c>
      <c r="X19" s="1264"/>
      <c r="Y19" s="3389"/>
      <c r="Z19" s="1263" t="str">
        <f>Q19</f>
        <v>办公集聚程度</v>
      </c>
      <c r="AA19" s="1263">
        <f t="shared" si="3"/>
        <v>1</v>
      </c>
      <c r="AB19" s="1263">
        <f t="shared" si="4"/>
        <v>1</v>
      </c>
      <c r="AC19" s="1263">
        <f t="shared" si="5"/>
        <v>1</v>
      </c>
    </row>
    <row r="20" spans="1:29" ht="15" hidden="1">
      <c r="A20" s="366"/>
      <c r="B20" s="394"/>
      <c r="C20" s="385"/>
      <c r="D20" s="386"/>
      <c r="E20" s="1751"/>
      <c r="F20" s="386"/>
      <c r="G20" s="1751"/>
      <c r="H20" s="386"/>
      <c r="I20" s="1751"/>
      <c r="J20" s="386"/>
      <c r="K20" s="591"/>
      <c r="L20" s="2492"/>
      <c r="M20" s="2487"/>
      <c r="N20" s="2487"/>
      <c r="O20" s="2542"/>
      <c r="P20" s="3389"/>
      <c r="Q20" s="1262"/>
      <c r="R20" s="666"/>
      <c r="S20" s="667"/>
      <c r="T20" s="666"/>
      <c r="U20" s="667"/>
      <c r="V20" s="666"/>
      <c r="W20" s="667"/>
      <c r="X20" s="1264"/>
      <c r="Y20" s="3389"/>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0"/>
      <c r="J21" s="388">
        <f>SUMIF(93:93,I22,94:94)-SUMIF(93:93,C22,94:94)+100</f>
        <v>95</v>
      </c>
      <c r="K21" s="592">
        <v>5</v>
      </c>
      <c r="L21" s="2492"/>
      <c r="M21" s="2487"/>
      <c r="N21" s="2487"/>
      <c r="O21" s="2542"/>
      <c r="P21" s="3389"/>
      <c r="Q21" s="1262" t="str">
        <f>B21</f>
        <v>交通便捷度</v>
      </c>
      <c r="R21" s="666" t="s">
        <v>14</v>
      </c>
      <c r="S21" s="667">
        <f>F21</f>
        <v>100</v>
      </c>
      <c r="T21" s="666" t="s">
        <v>14</v>
      </c>
      <c r="U21" s="667">
        <f>H21</f>
        <v>100</v>
      </c>
      <c r="V21" s="666" t="s">
        <v>14</v>
      </c>
      <c r="W21" s="667">
        <f>J21</f>
        <v>95</v>
      </c>
      <c r="X21" s="1264"/>
      <c r="Y21" s="3389"/>
      <c r="Z21" s="1263" t="str">
        <f>Q21</f>
        <v>交通便捷度</v>
      </c>
      <c r="AA21" s="1263">
        <f t="shared" si="3"/>
        <v>1</v>
      </c>
      <c r="AB21" s="1263">
        <f t="shared" si="4"/>
        <v>1</v>
      </c>
      <c r="AC21" s="1263">
        <f t="shared" si="5"/>
        <v>1.0526315789473684</v>
      </c>
    </row>
    <row r="22" spans="1:29" ht="15">
      <c r="A22" s="366"/>
      <c r="B22" s="585"/>
      <c r="C22" s="385" t="s">
        <v>3436</v>
      </c>
      <c r="D22" s="388"/>
      <c r="E22" s="1751" t="s">
        <v>3436</v>
      </c>
      <c r="F22" s="386"/>
      <c r="G22" s="1751" t="s">
        <v>3436</v>
      </c>
      <c r="H22" s="386"/>
      <c r="I22" s="1751" t="s">
        <v>3509</v>
      </c>
      <c r="J22" s="386"/>
      <c r="K22" s="591"/>
      <c r="L22" s="2492"/>
      <c r="M22" s="2487"/>
      <c r="N22" s="2487"/>
      <c r="O22" s="2542"/>
      <c r="P22" s="3389"/>
      <c r="Q22" s="1262"/>
      <c r="R22" s="666"/>
      <c r="S22" s="667"/>
      <c r="T22" s="666"/>
      <c r="U22" s="667"/>
      <c r="V22" s="666"/>
      <c r="W22" s="667"/>
      <c r="X22" s="1264"/>
      <c r="Y22" s="3389"/>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0"/>
      <c r="H23" s="393">
        <f>SUMIF(95:95,G24,96:96)-SUMIF(95:95,C24,96:96)+100</f>
        <v>100</v>
      </c>
      <c r="I23" s="390"/>
      <c r="J23" s="393">
        <f>SUMIF(95:95,I24,96:96)-SUMIF(95:95,C24,96:96)+100</f>
        <v>100</v>
      </c>
      <c r="K23" s="592">
        <v>2</v>
      </c>
      <c r="L23" s="2492"/>
      <c r="M23" s="2487"/>
      <c r="N23" s="2487"/>
      <c r="O23" s="2542"/>
      <c r="P23" s="3389"/>
      <c r="Q23" s="1262" t="str">
        <f t="shared" ref="Q23:Q37" si="8">B23</f>
        <v>区域土地利用方向</v>
      </c>
      <c r="R23" s="666" t="s">
        <v>14</v>
      </c>
      <c r="S23" s="667">
        <f>F23</f>
        <v>100</v>
      </c>
      <c r="T23" s="666" t="s">
        <v>14</v>
      </c>
      <c r="U23" s="667">
        <f>H23</f>
        <v>100</v>
      </c>
      <c r="V23" s="666" t="s">
        <v>14</v>
      </c>
      <c r="W23" s="667">
        <f>J23</f>
        <v>100</v>
      </c>
      <c r="X23" s="1264"/>
      <c r="Y23" s="3389"/>
      <c r="Z23" s="1263" t="str">
        <f>Q23</f>
        <v>区域土地利用方向</v>
      </c>
      <c r="AA23" s="1263">
        <f t="shared" si="3"/>
        <v>1</v>
      </c>
      <c r="AB23" s="1263">
        <f t="shared" si="4"/>
        <v>1</v>
      </c>
      <c r="AC23" s="1263">
        <f t="shared" si="5"/>
        <v>1</v>
      </c>
    </row>
    <row r="24" spans="1:29" ht="15">
      <c r="A24" s="347"/>
      <c r="B24" s="394"/>
      <c r="C24" s="541" t="s">
        <v>3436</v>
      </c>
      <c r="D24" s="386"/>
      <c r="E24" s="1751" t="s">
        <v>3436</v>
      </c>
      <c r="F24" s="386"/>
      <c r="G24" s="1751" t="s">
        <v>3436</v>
      </c>
      <c r="H24" s="386"/>
      <c r="I24" s="1751" t="s">
        <v>3436</v>
      </c>
      <c r="J24" s="386"/>
      <c r="K24" s="697"/>
      <c r="L24" s="2492"/>
      <c r="M24" s="2487"/>
      <c r="N24" s="2487"/>
      <c r="O24" s="2542"/>
      <c r="P24" s="3389"/>
      <c r="Q24" s="1262"/>
      <c r="R24" s="666"/>
      <c r="S24" s="667"/>
      <c r="T24" s="666"/>
      <c r="U24" s="667"/>
      <c r="V24" s="666"/>
      <c r="W24" s="667"/>
      <c r="X24" s="1264"/>
      <c r="Y24" s="3389"/>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95</v>
      </c>
      <c r="I25" s="390"/>
      <c r="J25" s="388">
        <f>SUMIF(97:97,I26,98:98)-SUMIF(97:97,C26,98:98)+100</f>
        <v>95</v>
      </c>
      <c r="K25" s="592">
        <v>5</v>
      </c>
      <c r="L25" s="2492"/>
      <c r="M25" s="2487"/>
      <c r="N25" s="2487"/>
      <c r="O25" s="2542"/>
      <c r="P25" s="3389"/>
      <c r="Q25" s="1262" t="str">
        <f t="shared" si="8"/>
        <v>自然及人文环境状况</v>
      </c>
      <c r="R25" s="666" t="s">
        <v>14</v>
      </c>
      <c r="S25" s="667">
        <f>F25</f>
        <v>100</v>
      </c>
      <c r="T25" s="666" t="s">
        <v>14</v>
      </c>
      <c r="U25" s="667">
        <f>H25</f>
        <v>95</v>
      </c>
      <c r="V25" s="666" t="s">
        <v>14</v>
      </c>
      <c r="W25" s="667">
        <f>J25</f>
        <v>95</v>
      </c>
      <c r="X25" s="1264"/>
      <c r="Y25" s="3389"/>
      <c r="Z25" s="1263" t="str">
        <f>Q25</f>
        <v>自然及人文环境状况</v>
      </c>
      <c r="AA25" s="1263">
        <f t="shared" si="3"/>
        <v>1</v>
      </c>
      <c r="AB25" s="1263">
        <f t="shared" si="4"/>
        <v>1.0526315789473684</v>
      </c>
      <c r="AC25" s="1263">
        <f t="shared" si="5"/>
        <v>1.0526315789473684</v>
      </c>
    </row>
    <row r="26" spans="1:29" ht="15">
      <c r="A26" s="347"/>
      <c r="B26" s="394"/>
      <c r="C26" s="385" t="s">
        <v>3436</v>
      </c>
      <c r="D26" s="386"/>
      <c r="E26" s="1757" t="s">
        <v>3436</v>
      </c>
      <c r="F26" s="386"/>
      <c r="G26" s="1757" t="s">
        <v>3509</v>
      </c>
      <c r="H26" s="386"/>
      <c r="I26" s="1757" t="s">
        <v>3509</v>
      </c>
      <c r="J26" s="386"/>
      <c r="K26" s="591"/>
      <c r="L26" s="2492"/>
      <c r="M26" s="2487"/>
      <c r="N26" s="2487"/>
      <c r="O26" s="2542"/>
      <c r="P26" s="3389"/>
      <c r="Q26" s="1262"/>
      <c r="R26" s="666"/>
      <c r="S26" s="667"/>
      <c r="T26" s="666"/>
      <c r="U26" s="667"/>
      <c r="V26" s="666"/>
      <c r="W26" s="667"/>
      <c r="X26" s="1264"/>
      <c r="Y26" s="3389"/>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95</v>
      </c>
      <c r="I27" s="390"/>
      <c r="J27" s="388">
        <f>SUMIF(99:99,I28,100:100)-SUMIF(99:99,C28,100:100)+100</f>
        <v>95</v>
      </c>
      <c r="K27" s="592">
        <v>5</v>
      </c>
      <c r="L27" s="2488"/>
      <c r="M27" s="2439"/>
      <c r="N27" s="2439"/>
      <c r="O27" s="2540"/>
      <c r="P27" s="3389"/>
      <c r="Q27" s="529" t="str">
        <f t="shared" si="8"/>
        <v>公共配套设施</v>
      </c>
      <c r="R27" s="663" t="s">
        <v>14</v>
      </c>
      <c r="S27" s="664">
        <f>F27</f>
        <v>100</v>
      </c>
      <c r="T27" s="663" t="s">
        <v>14</v>
      </c>
      <c r="U27" s="664">
        <f>H27</f>
        <v>95</v>
      </c>
      <c r="V27" s="663" t="s">
        <v>14</v>
      </c>
      <c r="W27" s="664">
        <f>J27</f>
        <v>95</v>
      </c>
      <c r="X27" s="665"/>
      <c r="Y27" s="3389"/>
      <c r="Z27" s="49" t="str">
        <f>Q27</f>
        <v>公共配套设施</v>
      </c>
      <c r="AA27" s="1263">
        <f>D27/F27</f>
        <v>1</v>
      </c>
      <c r="AB27" s="1263">
        <f>D27/H27</f>
        <v>1.0526315789473684</v>
      </c>
      <c r="AC27" s="1263">
        <f>D27/J27</f>
        <v>1.0526315789473684</v>
      </c>
    </row>
    <row r="28" spans="1:29" s="101" customFormat="1" ht="15">
      <c r="A28" s="442"/>
      <c r="B28" s="394"/>
      <c r="C28" s="1825" t="s">
        <v>3436</v>
      </c>
      <c r="D28" s="386"/>
      <c r="E28" s="1757" t="s">
        <v>3436</v>
      </c>
      <c r="F28" s="386"/>
      <c r="G28" s="1757" t="s">
        <v>3509</v>
      </c>
      <c r="H28" s="386"/>
      <c r="I28" s="1757" t="s">
        <v>3509</v>
      </c>
      <c r="J28" s="386"/>
      <c r="K28" s="591"/>
      <c r="L28" s="2488"/>
      <c r="M28" s="2439"/>
      <c r="N28" s="2439"/>
      <c r="O28" s="2540"/>
      <c r="P28" s="3389"/>
      <c r="Q28" s="529"/>
      <c r="R28" s="663"/>
      <c r="S28" s="664"/>
      <c r="T28" s="663"/>
      <c r="U28" s="664"/>
      <c r="V28" s="663"/>
      <c r="W28" s="664"/>
      <c r="X28" s="665"/>
      <c r="Y28" s="3389"/>
      <c r="Z28" s="49"/>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0"/>
      <c r="J29" s="388">
        <f>SUMIF(101:101,I30,102:102)-SUMIF(101:101,C30,102:102)+100</f>
        <v>100</v>
      </c>
      <c r="K29" s="592">
        <v>2</v>
      </c>
      <c r="L29" s="2488"/>
      <c r="M29" s="2439"/>
      <c r="N29" s="2439"/>
      <c r="O29" s="2540"/>
      <c r="P29" s="3389"/>
      <c r="Q29" s="529" t="str">
        <f t="shared" ref="Q29" si="9">B29</f>
        <v>基础设施水平</v>
      </c>
      <c r="R29" s="663" t="s">
        <v>14</v>
      </c>
      <c r="S29" s="664">
        <f>F29</f>
        <v>100</v>
      </c>
      <c r="T29" s="663" t="s">
        <v>14</v>
      </c>
      <c r="U29" s="664">
        <f>H29</f>
        <v>100</v>
      </c>
      <c r="V29" s="663" t="s">
        <v>14</v>
      </c>
      <c r="W29" s="664">
        <f>J29</f>
        <v>100</v>
      </c>
      <c r="X29" s="665"/>
      <c r="Y29" s="3389"/>
      <c r="Z29" s="49" t="str">
        <f>Q29</f>
        <v>基础设施水平</v>
      </c>
      <c r="AA29" s="1263">
        <f>D29/F29</f>
        <v>1</v>
      </c>
      <c r="AB29" s="1263">
        <f>D29/H29</f>
        <v>1</v>
      </c>
      <c r="AC29" s="1263">
        <f>D29/J29</f>
        <v>1</v>
      </c>
    </row>
    <row r="30" spans="1:29" s="101" customFormat="1" ht="15.75" thickBot="1">
      <c r="A30" s="442"/>
      <c r="B30" s="394"/>
      <c r="C30" s="1825" t="s">
        <v>3510</v>
      </c>
      <c r="D30" s="386"/>
      <c r="E30" s="1826" t="s">
        <v>3510</v>
      </c>
      <c r="F30" s="386"/>
      <c r="G30" s="1826" t="s">
        <v>3510</v>
      </c>
      <c r="H30" s="386"/>
      <c r="I30" s="1826" t="s">
        <v>3510</v>
      </c>
      <c r="J30" s="386"/>
      <c r="K30" s="591"/>
      <c r="L30" s="2488"/>
      <c r="M30" s="2439"/>
      <c r="N30" s="2439"/>
      <c r="O30" s="2540"/>
      <c r="P30" s="3389"/>
      <c r="Q30" s="529"/>
      <c r="R30" s="663"/>
      <c r="S30" s="664"/>
      <c r="T30" s="663"/>
      <c r="U30" s="664"/>
      <c r="V30" s="663"/>
      <c r="W30" s="664"/>
      <c r="X30" s="665"/>
      <c r="Y30" s="3389"/>
      <c r="Z30" s="49"/>
      <c r="AA30" s="1263">
        <v>1</v>
      </c>
      <c r="AB30" s="1263">
        <v>1</v>
      </c>
      <c r="AC30" s="1263">
        <v>1</v>
      </c>
    </row>
    <row r="31" spans="1:29" ht="15" hidden="1">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8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9"/>
      <c r="Z31" s="1263" t="str">
        <f t="shared" ref="Z31:Z45" si="13">Q31</f>
        <v>临街状况</v>
      </c>
      <c r="AA31" s="1263">
        <f t="shared" si="3"/>
        <v>1</v>
      </c>
      <c r="AB31" s="1263">
        <f t="shared" si="4"/>
        <v>1</v>
      </c>
      <c r="AC31" s="1263">
        <f t="shared" si="5"/>
        <v>1</v>
      </c>
    </row>
    <row r="32" spans="1:29" ht="27" hidden="1">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89"/>
      <c r="Q32" s="1262" t="str">
        <f t="shared" si="8"/>
        <v>毗邻道路的类型与等级</v>
      </c>
      <c r="R32" s="666" t="s">
        <v>14</v>
      </c>
      <c r="S32" s="667">
        <f t="shared" si="10"/>
        <v>100</v>
      </c>
      <c r="T32" s="666" t="s">
        <v>14</v>
      </c>
      <c r="U32" s="667">
        <f t="shared" si="11"/>
        <v>100</v>
      </c>
      <c r="V32" s="666" t="s">
        <v>14</v>
      </c>
      <c r="W32" s="667">
        <f t="shared" si="12"/>
        <v>100</v>
      </c>
      <c r="X32" s="1264"/>
      <c r="Y32" s="3389"/>
      <c r="Z32" s="1263" t="str">
        <f t="shared" si="13"/>
        <v>毗邻道路的类型与等级</v>
      </c>
      <c r="AA32" s="1263">
        <f t="shared" si="3"/>
        <v>1</v>
      </c>
      <c r="AB32" s="1263">
        <f t="shared" si="4"/>
        <v>1</v>
      </c>
      <c r="AC32" s="1263">
        <f t="shared" si="5"/>
        <v>1</v>
      </c>
    </row>
    <row r="33" spans="1:29" ht="15" hidden="1">
      <c r="A33" s="366"/>
      <c r="B33" s="394"/>
      <c r="C33" s="385"/>
      <c r="D33" s="386"/>
      <c r="E33" s="1757"/>
      <c r="F33" s="386"/>
      <c r="G33" s="1757"/>
      <c r="H33" s="386"/>
      <c r="I33" s="385"/>
      <c r="J33" s="386"/>
      <c r="K33" s="538"/>
      <c r="L33" s="2492"/>
      <c r="M33" s="2487"/>
      <c r="N33" s="2487"/>
      <c r="O33" s="2542"/>
      <c r="P33" s="3389"/>
      <c r="Q33" s="1262"/>
      <c r="R33" s="666"/>
      <c r="S33" s="667"/>
      <c r="T33" s="666"/>
      <c r="U33" s="667"/>
      <c r="V33" s="666"/>
      <c r="W33" s="667"/>
      <c r="X33" s="1264"/>
      <c r="Y33" s="3389"/>
      <c r="Z33" s="1263"/>
      <c r="AA33" s="1263">
        <v>1</v>
      </c>
      <c r="AB33" s="1263">
        <v>1</v>
      </c>
      <c r="AC33" s="1263">
        <v>1</v>
      </c>
    </row>
    <row r="34" spans="1:29" ht="15" hidden="1">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89"/>
      <c r="Q34" s="1262" t="str">
        <f t="shared" si="8"/>
        <v>土地级别</v>
      </c>
      <c r="R34" s="666" t="s">
        <v>14</v>
      </c>
      <c r="S34" s="667">
        <f t="shared" si="10"/>
        <v>100</v>
      </c>
      <c r="T34" s="666" t="s">
        <v>14</v>
      </c>
      <c r="U34" s="667">
        <f t="shared" si="11"/>
        <v>100</v>
      </c>
      <c r="V34" s="666" t="s">
        <v>14</v>
      </c>
      <c r="W34" s="667">
        <f t="shared" si="12"/>
        <v>100</v>
      </c>
      <c r="X34" s="1264"/>
      <c r="Y34" s="3389"/>
      <c r="Z34" s="1263" t="str">
        <f t="shared" si="13"/>
        <v>土地级别</v>
      </c>
      <c r="AA34" s="1263">
        <f t="shared" si="3"/>
        <v>1</v>
      </c>
      <c r="AB34" s="1263">
        <f t="shared" si="4"/>
        <v>1</v>
      </c>
      <c r="AC34" s="1263">
        <f t="shared" si="5"/>
        <v>1</v>
      </c>
    </row>
    <row r="35" spans="1:29" ht="15" hidden="1">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89"/>
      <c r="Q35" s="1262">
        <f t="shared" si="8"/>
        <v>111</v>
      </c>
      <c r="R35" s="666" t="s">
        <v>14</v>
      </c>
      <c r="S35" s="667">
        <f t="shared" si="10"/>
        <v>100</v>
      </c>
      <c r="T35" s="666" t="s">
        <v>14</v>
      </c>
      <c r="U35" s="667">
        <f t="shared" si="11"/>
        <v>100</v>
      </c>
      <c r="V35" s="666" t="s">
        <v>14</v>
      </c>
      <c r="W35" s="667">
        <f t="shared" si="12"/>
        <v>100</v>
      </c>
      <c r="X35" s="1264"/>
      <c r="Y35" s="3389"/>
      <c r="Z35" s="1263">
        <f t="shared" si="13"/>
        <v>111</v>
      </c>
      <c r="AA35" s="1263">
        <f t="shared" si="3"/>
        <v>1</v>
      </c>
      <c r="AB35" s="1263">
        <f t="shared" si="4"/>
        <v>1</v>
      </c>
      <c r="AC35" s="1263">
        <f t="shared" si="5"/>
        <v>1</v>
      </c>
    </row>
    <row r="36" spans="1:29" ht="15" hidden="1">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390" t="s">
        <v>1696</v>
      </c>
      <c r="Q36" s="1262">
        <f t="shared" si="8"/>
        <v>111</v>
      </c>
      <c r="R36" s="666" t="s">
        <v>14</v>
      </c>
      <c r="S36" s="667">
        <f t="shared" si="10"/>
        <v>100</v>
      </c>
      <c r="T36" s="666" t="s">
        <v>14</v>
      </c>
      <c r="U36" s="667">
        <f t="shared" si="11"/>
        <v>100</v>
      </c>
      <c r="V36" s="666" t="s">
        <v>14</v>
      </c>
      <c r="W36" s="667">
        <f t="shared" si="12"/>
        <v>100</v>
      </c>
      <c r="X36" s="1264"/>
      <c r="Y36" s="3391" t="s">
        <v>1696</v>
      </c>
      <c r="Z36" s="1263">
        <f t="shared" si="13"/>
        <v>111</v>
      </c>
      <c r="AA36" s="1263">
        <f t="shared" si="3"/>
        <v>1</v>
      </c>
      <c r="AB36" s="1263">
        <f t="shared" si="4"/>
        <v>1</v>
      </c>
      <c r="AC36" s="1263">
        <f t="shared" si="5"/>
        <v>1</v>
      </c>
    </row>
    <row r="37" spans="1:29" s="407" customFormat="1" ht="15.75" hidden="1"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91"/>
      <c r="Q37" s="1262">
        <f t="shared" si="8"/>
        <v>111</v>
      </c>
      <c r="R37" s="668" t="s">
        <v>14</v>
      </c>
      <c r="S37" s="669">
        <f t="shared" si="10"/>
        <v>100</v>
      </c>
      <c r="T37" s="668" t="s">
        <v>14</v>
      </c>
      <c r="U37" s="669">
        <f t="shared" si="11"/>
        <v>100</v>
      </c>
      <c r="V37" s="668" t="s">
        <v>14</v>
      </c>
      <c r="W37" s="669">
        <f t="shared" si="12"/>
        <v>100</v>
      </c>
      <c r="X37" s="670"/>
      <c r="Y37" s="3391"/>
      <c r="Z37" s="671">
        <f t="shared" si="13"/>
        <v>111</v>
      </c>
      <c r="AA37" s="1263">
        <f t="shared" si="3"/>
        <v>1</v>
      </c>
      <c r="AB37" s="1263">
        <f t="shared" si="4"/>
        <v>1</v>
      </c>
      <c r="AC37" s="1263">
        <f t="shared" si="5"/>
        <v>1</v>
      </c>
    </row>
    <row r="38" spans="1:29" ht="15">
      <c r="A38" s="408" t="s">
        <v>1694</v>
      </c>
      <c r="B38" s="394" t="s">
        <v>1874</v>
      </c>
      <c r="C38" s="598">
        <f>'数据-汇总表'!D3</f>
        <v>8784.4599999999991</v>
      </c>
      <c r="D38" s="404">
        <v>100</v>
      </c>
      <c r="E38" s="598">
        <f>土地案例!E8</f>
        <v>738.3</v>
      </c>
      <c r="F38" s="404">
        <f>LOOKUP(E38,116:116,117:117)-LOOKUP(C38,116:116,117:117)+100</f>
        <v>97</v>
      </c>
      <c r="G38" s="598">
        <f>土地案例!E9</f>
        <v>1370.3</v>
      </c>
      <c r="H38" s="404">
        <f>LOOKUP(G38,116:116,117:117)-LOOKUP(C38,116:116,117:117)+100</f>
        <v>98</v>
      </c>
      <c r="I38" s="461">
        <f>土地案例!E10</f>
        <v>27199.1</v>
      </c>
      <c r="J38" s="404">
        <f>LOOKUP(I38,116:116,117:117)-LOOKUP(C38,116:116,117:117)+100</f>
        <v>101</v>
      </c>
      <c r="K38" s="538"/>
      <c r="L38" s="2492"/>
      <c r="M38" s="2487"/>
      <c r="N38" s="2487"/>
      <c r="O38" s="2542"/>
      <c r="P38" s="3391"/>
      <c r="Q38" s="1262" t="str">
        <f>B38</f>
        <v>宗地面积</v>
      </c>
      <c r="R38" s="666" t="s">
        <v>14</v>
      </c>
      <c r="S38" s="667">
        <f t="shared" si="10"/>
        <v>97</v>
      </c>
      <c r="T38" s="666" t="s">
        <v>14</v>
      </c>
      <c r="U38" s="667">
        <f t="shared" si="11"/>
        <v>98</v>
      </c>
      <c r="V38" s="666" t="s">
        <v>14</v>
      </c>
      <c r="W38" s="667">
        <f t="shared" si="12"/>
        <v>101</v>
      </c>
      <c r="X38" s="1264"/>
      <c r="Y38" s="3391"/>
      <c r="Z38" s="1263" t="str">
        <f t="shared" si="13"/>
        <v>宗地面积</v>
      </c>
      <c r="AA38" s="1263">
        <f t="shared" si="3"/>
        <v>1.0309278350515463</v>
      </c>
      <c r="AB38" s="1263">
        <f t="shared" si="4"/>
        <v>1.0204081632653061</v>
      </c>
      <c r="AC38" s="1263">
        <f t="shared" si="5"/>
        <v>0.99009900990099009</v>
      </c>
    </row>
    <row r="39" spans="1:29" ht="15">
      <c r="A39" s="408"/>
      <c r="B39" s="363" t="s">
        <v>1875</v>
      </c>
      <c r="C39" s="3185" t="s">
        <v>4073</v>
      </c>
      <c r="D39" s="373">
        <v>100</v>
      </c>
      <c r="E39" s="3185" t="s">
        <v>4073</v>
      </c>
      <c r="F39" s="373">
        <f>SUMIF(118:118,E39,119:119)-SUMIF(118:118,C39,119:119)+100</f>
        <v>100</v>
      </c>
      <c r="G39" s="3185" t="s">
        <v>4073</v>
      </c>
      <c r="H39" s="373">
        <f>SUMIF(118:118,G39,119:119)-SUMIF(118:118,C39,119:119)+100</f>
        <v>100</v>
      </c>
      <c r="I39" s="3185" t="s">
        <v>4073</v>
      </c>
      <c r="J39" s="373">
        <f>SUMIF(118:118,I39,119:119)-SUMIF(118:118,C39,119:119)+100</f>
        <v>100</v>
      </c>
      <c r="K39" s="537">
        <v>2</v>
      </c>
      <c r="L39" s="2492"/>
      <c r="M39" s="2487"/>
      <c r="N39" s="2487"/>
      <c r="O39" s="2542"/>
      <c r="P39" s="3391"/>
      <c r="Q39" s="1262" t="str">
        <f t="shared" ref="Q39:Q45" si="14">B39</f>
        <v>宗地形状</v>
      </c>
      <c r="R39" s="666" t="s">
        <v>14</v>
      </c>
      <c r="S39" s="667">
        <f t="shared" si="10"/>
        <v>100</v>
      </c>
      <c r="T39" s="666" t="s">
        <v>14</v>
      </c>
      <c r="U39" s="667">
        <f t="shared" si="11"/>
        <v>100</v>
      </c>
      <c r="V39" s="666" t="s">
        <v>14</v>
      </c>
      <c r="W39" s="667">
        <f t="shared" si="12"/>
        <v>100</v>
      </c>
      <c r="X39" s="1264"/>
      <c r="Y39" s="3391"/>
      <c r="Z39" s="1263" t="str">
        <f t="shared" si="13"/>
        <v>宗地形状</v>
      </c>
      <c r="AA39" s="1263">
        <f t="shared" si="3"/>
        <v>1</v>
      </c>
      <c r="AB39" s="1263">
        <f t="shared" si="4"/>
        <v>1</v>
      </c>
      <c r="AC39" s="1263">
        <f t="shared" si="5"/>
        <v>1</v>
      </c>
    </row>
    <row r="40" spans="1:29" ht="15">
      <c r="A40" s="408"/>
      <c r="B40" s="363" t="s">
        <v>1876</v>
      </c>
      <c r="C40" s="3185" t="s">
        <v>4074</v>
      </c>
      <c r="D40" s="373">
        <v>100</v>
      </c>
      <c r="E40" s="3185" t="s">
        <v>4074</v>
      </c>
      <c r="F40" s="373">
        <f>SUMIF(120:120,E40,121:121)-SUMIF(120:120,C40,121:121)+100</f>
        <v>100</v>
      </c>
      <c r="G40" s="3185" t="s">
        <v>4074</v>
      </c>
      <c r="H40" s="373">
        <f>SUMIF(120:120,G40,121:121)-SUMIF(120:120,C40,121:121)+100</f>
        <v>100</v>
      </c>
      <c r="I40" s="3185" t="s">
        <v>4074</v>
      </c>
      <c r="J40" s="373">
        <f>SUMIF(120:120,I40,121:121)-SUMIF(120:120,C40,121:121)+100</f>
        <v>100</v>
      </c>
      <c r="K40" s="537">
        <v>2</v>
      </c>
      <c r="L40" s="2492"/>
      <c r="M40" s="2487"/>
      <c r="N40" s="2487"/>
      <c r="O40" s="2542"/>
      <c r="P40" s="3391"/>
      <c r="Q40" s="1262" t="str">
        <f t="shared" si="14"/>
        <v>临街宽度及深度</v>
      </c>
      <c r="R40" s="666" t="s">
        <v>14</v>
      </c>
      <c r="S40" s="667">
        <f t="shared" si="10"/>
        <v>100</v>
      </c>
      <c r="T40" s="666" t="s">
        <v>14</v>
      </c>
      <c r="U40" s="667">
        <f t="shared" si="11"/>
        <v>100</v>
      </c>
      <c r="V40" s="666" t="s">
        <v>14</v>
      </c>
      <c r="W40" s="667">
        <f t="shared" si="12"/>
        <v>100</v>
      </c>
      <c r="X40" s="1264"/>
      <c r="Y40" s="3391"/>
      <c r="Z40" s="1263" t="str">
        <f t="shared" si="13"/>
        <v>临街宽度及深度</v>
      </c>
      <c r="AA40" s="1263">
        <f t="shared" si="3"/>
        <v>1</v>
      </c>
      <c r="AB40" s="1263">
        <f t="shared" si="4"/>
        <v>1</v>
      </c>
      <c r="AC40" s="1263">
        <f t="shared" si="5"/>
        <v>1</v>
      </c>
    </row>
    <row r="41" spans="1:29" s="101" customFormat="1" ht="15">
      <c r="A41" s="409"/>
      <c r="B41" s="363" t="s">
        <v>1877</v>
      </c>
      <c r="C41" s="3186" t="s">
        <v>4075</v>
      </c>
      <c r="D41" s="118">
        <v>100</v>
      </c>
      <c r="E41" s="3186" t="s">
        <v>4075</v>
      </c>
      <c r="F41" s="373">
        <f>SUMIF(122:122,E41,123:123)-SUMIF(122:122,C41,123:123)+100</f>
        <v>100</v>
      </c>
      <c r="G41" s="3186" t="s">
        <v>4075</v>
      </c>
      <c r="H41" s="373">
        <f>SUMIF(122:122,G41,123:123)-SUMIF(122:122,C41,123:123)+100</f>
        <v>100</v>
      </c>
      <c r="I41" s="3186" t="s">
        <v>4075</v>
      </c>
      <c r="J41" s="373">
        <f>SUMIF(122:122,I41,123:123)-SUMIF(122:122,C41,123:123)+100</f>
        <v>100</v>
      </c>
      <c r="K41" s="537">
        <v>2</v>
      </c>
      <c r="L41" s="2488"/>
      <c r="M41" s="2439"/>
      <c r="N41" s="2439"/>
      <c r="O41" s="2540"/>
      <c r="P41" s="3391"/>
      <c r="Q41" s="1262" t="str">
        <f t="shared" si="14"/>
        <v>宗地开发程度</v>
      </c>
      <c r="R41" s="663" t="s">
        <v>14</v>
      </c>
      <c r="S41" s="664">
        <f t="shared" si="10"/>
        <v>100</v>
      </c>
      <c r="T41" s="663" t="s">
        <v>14</v>
      </c>
      <c r="U41" s="664">
        <f t="shared" si="11"/>
        <v>100</v>
      </c>
      <c r="V41" s="663" t="s">
        <v>14</v>
      </c>
      <c r="W41" s="664">
        <f t="shared" si="12"/>
        <v>100</v>
      </c>
      <c r="X41" s="665"/>
      <c r="Y41" s="3391"/>
      <c r="Z41" s="49" t="str">
        <f t="shared" si="13"/>
        <v>宗地开发程度</v>
      </c>
      <c r="AA41" s="49">
        <f t="shared" si="3"/>
        <v>1</v>
      </c>
      <c r="AB41" s="49">
        <f t="shared" si="4"/>
        <v>1</v>
      </c>
      <c r="AC41" s="49">
        <f t="shared" si="5"/>
        <v>1</v>
      </c>
    </row>
    <row r="42" spans="1:29" ht="15.75" thickBot="1">
      <c r="A42" s="408"/>
      <c r="B42" s="363" t="s">
        <v>1878</v>
      </c>
      <c r="C42" s="3185" t="s">
        <v>4076</v>
      </c>
      <c r="D42" s="373">
        <v>100</v>
      </c>
      <c r="E42" s="3185" t="s">
        <v>4076</v>
      </c>
      <c r="F42" s="373">
        <f>SUMIF(124:124,E42,125:125)-SUMIF(124:124,C42,125:125)+100</f>
        <v>100</v>
      </c>
      <c r="G42" s="3185" t="s">
        <v>4076</v>
      </c>
      <c r="H42" s="373">
        <f>SUMIF(124:124,G42,125:125)-SUMIF(124:124,C42,125:125)+100</f>
        <v>100</v>
      </c>
      <c r="I42" s="3185" t="s">
        <v>4076</v>
      </c>
      <c r="J42" s="373">
        <f>SUMIF(124:124,I42,125:125)-SUMIF(124:124,C42,125:125)+100</f>
        <v>100</v>
      </c>
      <c r="K42" s="537">
        <v>2</v>
      </c>
      <c r="L42" s="2492"/>
      <c r="M42" s="2487"/>
      <c r="N42" s="2487"/>
      <c r="O42" s="2542"/>
      <c r="P42" s="3391" t="s">
        <v>1696</v>
      </c>
      <c r="Q42" s="1262" t="str">
        <f t="shared" si="14"/>
        <v>工程地质条件</v>
      </c>
      <c r="R42" s="666" t="s">
        <v>14</v>
      </c>
      <c r="S42" s="667">
        <f t="shared" si="10"/>
        <v>100</v>
      </c>
      <c r="T42" s="666" t="s">
        <v>14</v>
      </c>
      <c r="U42" s="667">
        <f t="shared" si="11"/>
        <v>100</v>
      </c>
      <c r="V42" s="666" t="s">
        <v>14</v>
      </c>
      <c r="W42" s="667">
        <f t="shared" si="12"/>
        <v>100</v>
      </c>
      <c r="X42" s="1264"/>
      <c r="Y42" s="3391" t="s">
        <v>1696</v>
      </c>
      <c r="Z42" s="1263" t="str">
        <f t="shared" si="13"/>
        <v>工程地质条件</v>
      </c>
      <c r="AA42" s="1263">
        <f t="shared" si="3"/>
        <v>1</v>
      </c>
      <c r="AB42" s="1263">
        <f t="shared" si="4"/>
        <v>1</v>
      </c>
      <c r="AC42" s="1263">
        <f t="shared" si="5"/>
        <v>1</v>
      </c>
    </row>
    <row r="43" spans="1:29" ht="15" hidden="1">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91"/>
      <c r="Q43" s="1262">
        <f t="shared" si="14"/>
        <v>111</v>
      </c>
      <c r="R43" s="666" t="s">
        <v>14</v>
      </c>
      <c r="S43" s="667">
        <f t="shared" si="10"/>
        <v>100</v>
      </c>
      <c r="T43" s="666" t="s">
        <v>14</v>
      </c>
      <c r="U43" s="667">
        <f t="shared" si="11"/>
        <v>100</v>
      </c>
      <c r="V43" s="666" t="s">
        <v>14</v>
      </c>
      <c r="W43" s="667">
        <f t="shared" si="12"/>
        <v>100</v>
      </c>
      <c r="X43" s="1264"/>
      <c r="Y43" s="3391"/>
      <c r="Z43" s="1263">
        <f t="shared" si="13"/>
        <v>111</v>
      </c>
      <c r="AA43" s="1263">
        <f t="shared" si="3"/>
        <v>1</v>
      </c>
      <c r="AB43" s="1263">
        <f t="shared" si="4"/>
        <v>1</v>
      </c>
      <c r="AC43" s="1263">
        <f t="shared" si="5"/>
        <v>1</v>
      </c>
    </row>
    <row r="44" spans="1:29" ht="15" hidden="1">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91"/>
      <c r="Q44" s="1262">
        <f t="shared" si="14"/>
        <v>111</v>
      </c>
      <c r="R44" s="666" t="s">
        <v>14</v>
      </c>
      <c r="S44" s="667">
        <f t="shared" si="10"/>
        <v>100</v>
      </c>
      <c r="T44" s="666" t="s">
        <v>14</v>
      </c>
      <c r="U44" s="667">
        <f t="shared" si="11"/>
        <v>100</v>
      </c>
      <c r="V44" s="666" t="s">
        <v>14</v>
      </c>
      <c r="W44" s="667">
        <f t="shared" si="12"/>
        <v>100</v>
      </c>
      <c r="X44" s="1264"/>
      <c r="Y44" s="3391"/>
      <c r="Z44" s="1263">
        <f t="shared" si="13"/>
        <v>111</v>
      </c>
      <c r="AA44" s="1263">
        <f t="shared" si="3"/>
        <v>1</v>
      </c>
      <c r="AB44" s="1263">
        <f t="shared" si="4"/>
        <v>1</v>
      </c>
      <c r="AC44" s="1263">
        <f t="shared" si="5"/>
        <v>1</v>
      </c>
    </row>
    <row r="45" spans="1:29" s="407" customFormat="1" ht="15.75" hidden="1"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91"/>
      <c r="Q45" s="1262">
        <f t="shared" si="14"/>
        <v>111</v>
      </c>
      <c r="R45" s="668" t="s">
        <v>14</v>
      </c>
      <c r="S45" s="669">
        <f t="shared" si="10"/>
        <v>100</v>
      </c>
      <c r="T45" s="668" t="s">
        <v>14</v>
      </c>
      <c r="U45" s="669">
        <f t="shared" si="11"/>
        <v>100</v>
      </c>
      <c r="V45" s="668" t="s">
        <v>14</v>
      </c>
      <c r="W45" s="669">
        <f t="shared" si="12"/>
        <v>100</v>
      </c>
      <c r="X45" s="670"/>
      <c r="Y45" s="3391"/>
      <c r="Z45" s="671">
        <f t="shared" si="13"/>
        <v>111</v>
      </c>
      <c r="AA45" s="1263">
        <f t="shared" si="3"/>
        <v>1</v>
      </c>
      <c r="AB45" s="1263">
        <f t="shared" si="4"/>
        <v>1</v>
      </c>
      <c r="AC45" s="1263">
        <f t="shared" si="5"/>
        <v>1</v>
      </c>
    </row>
    <row r="46" spans="1:29" ht="15">
      <c r="A46" s="415" t="s">
        <v>1844</v>
      </c>
      <c r="B46" s="1829" t="s">
        <v>1879</v>
      </c>
      <c r="C46" s="601" t="s">
        <v>0</v>
      </c>
      <c r="D46" s="417"/>
      <c r="E46" s="418">
        <f>ROUND(E50/E49*100,0)</f>
        <v>1271</v>
      </c>
      <c r="F46" s="419"/>
      <c r="G46" s="418">
        <f>ROUND(G50/G49*100,0)</f>
        <v>1297</v>
      </c>
      <c r="H46" s="421"/>
      <c r="I46" s="418">
        <f>ROUND(I50/I49*100,0)</f>
        <v>1016</v>
      </c>
      <c r="J46" s="421"/>
      <c r="K46" s="673"/>
      <c r="L46" s="2494"/>
      <c r="M46" s="2487"/>
      <c r="N46" s="2487"/>
      <c r="O46" s="2487"/>
      <c r="P46" s="3387" t="str">
        <f>A46</f>
        <v>成交单价</v>
      </c>
      <c r="Q46" s="3387"/>
      <c r="R46" s="3392">
        <f>E46</f>
        <v>1271</v>
      </c>
      <c r="S46" s="3392"/>
      <c r="T46" s="3392">
        <f>G46</f>
        <v>1297</v>
      </c>
      <c r="U46" s="3392"/>
      <c r="V46" s="3392">
        <f>I46</f>
        <v>1016</v>
      </c>
      <c r="W46" s="3392"/>
      <c r="X46" s="384"/>
      <c r="Y46" s="672"/>
      <c r="Z46" s="384"/>
      <c r="AA46" s="384"/>
      <c r="AB46" s="384"/>
      <c r="AC46" s="384"/>
    </row>
    <row r="47" spans="1:29" ht="15.75" thickBot="1">
      <c r="A47" s="422" t="s">
        <v>1793</v>
      </c>
      <c r="B47" s="602"/>
      <c r="C47" s="425">
        <f>R48</f>
        <v>1295</v>
      </c>
      <c r="D47" s="2140" t="s">
        <v>2138</v>
      </c>
      <c r="E47" s="425">
        <f>R47</f>
        <v>1225</v>
      </c>
      <c r="F47" s="2141"/>
      <c r="G47" s="424">
        <f>T47</f>
        <v>1443</v>
      </c>
      <c r="H47" s="2141"/>
      <c r="I47" s="425">
        <f>V47</f>
        <v>1218</v>
      </c>
      <c r="J47" s="2141"/>
      <c r="K47" s="2143">
        <f>F47+H47+J47</f>
        <v>0</v>
      </c>
      <c r="L47" s="2494"/>
      <c r="M47" s="2487"/>
      <c r="N47" s="2487"/>
      <c r="O47" s="2487"/>
      <c r="P47" s="3387" t="str">
        <f>A47</f>
        <v>比较价值（元/平方米）</v>
      </c>
      <c r="Q47" s="3387"/>
      <c r="R47" s="3380">
        <f>ROUND(PRODUCT(R46,AA7:AA45),0)</f>
        <v>1225</v>
      </c>
      <c r="S47" s="3380"/>
      <c r="T47" s="3380">
        <f>ROUND(PRODUCT(T46,AB7:AB45),0)</f>
        <v>1443</v>
      </c>
      <c r="U47" s="3380"/>
      <c r="V47" s="3380">
        <f>ROUND(PRODUCT(V46,AC7:AC45),0)</f>
        <v>1218</v>
      </c>
      <c r="W47" s="3380"/>
      <c r="X47" s="384"/>
      <c r="Y47" s="384"/>
      <c r="Z47" s="384"/>
      <c r="AA47" s="384"/>
      <c r="AB47" s="384"/>
      <c r="AC47" s="384"/>
    </row>
    <row r="48" spans="1:29" ht="15.75" thickBot="1">
      <c r="A48" s="426" t="s">
        <v>1880</v>
      </c>
      <c r="B48" s="427"/>
      <c r="C48" s="428">
        <f>R48</f>
        <v>1295</v>
      </c>
      <c r="D48" s="428"/>
      <c r="E48" s="428"/>
      <c r="F48" s="428"/>
      <c r="G48" s="428"/>
      <c r="H48" s="428"/>
      <c r="I48" s="428"/>
      <c r="J48" s="428"/>
      <c r="K48" s="674"/>
      <c r="L48" s="2494"/>
      <c r="M48" s="2487"/>
      <c r="N48" s="2487"/>
      <c r="O48" s="2487"/>
      <c r="P48" s="3381" t="str">
        <f>A48</f>
        <v>估价对象XX用房的比较价值（楼面单价，元/平方米）</v>
      </c>
      <c r="Q48" s="3382"/>
      <c r="R48" s="3383">
        <f>ROUND(IF(D47="简单平均",AVERAGE(R47:W47),R47*F47+T47*H47+V47*J47),0)</f>
        <v>1295</v>
      </c>
      <c r="S48" s="3383"/>
      <c r="T48" s="3383"/>
      <c r="U48" s="3383"/>
      <c r="V48" s="3383"/>
      <c r="W48" s="3383"/>
      <c r="X48" s="384"/>
      <c r="Y48" s="384"/>
      <c r="Z48" s="384"/>
      <c r="AA48" s="384"/>
      <c r="AB48" s="384"/>
      <c r="AC48" s="384"/>
    </row>
    <row r="49" spans="1:29">
      <c r="A49" s="2487"/>
      <c r="B49" s="2487"/>
      <c r="C49" s="2487"/>
      <c r="D49" s="3536" t="s">
        <v>4142</v>
      </c>
      <c r="E49" s="2487">
        <v>135</v>
      </c>
      <c r="F49" s="2487"/>
      <c r="G49" s="2487">
        <v>135</v>
      </c>
      <c r="H49" s="2487"/>
      <c r="I49" s="2487">
        <v>130</v>
      </c>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v>1716</v>
      </c>
      <c r="F50" s="2487"/>
      <c r="G50" s="2487">
        <v>1751</v>
      </c>
      <c r="H50" s="2487"/>
      <c r="I50" s="2487">
        <v>1321</v>
      </c>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f>IF(E46&lt;E47,E47/E46-1,E46/E47-1)</f>
        <v>3.7551020408163271E-2</v>
      </c>
      <c r="F51" s="434" t="str">
        <f>IF(OR(E51&gt;=0.3,E51&lt;=-0.3),"超过30%","")</f>
        <v/>
      </c>
      <c r="G51" s="433">
        <f>IF(G46&lt;G47,G47/G46-1,G46/G47-1)</f>
        <v>0.11256746337702395</v>
      </c>
      <c r="H51" s="434" t="str">
        <f>IF(OR(G51&gt;=0.3,G51&lt;=-0.3),"超过30%","")</f>
        <v/>
      </c>
      <c r="I51" s="433">
        <f>IF(I46&lt;I47,I47/I46-1,I46/I47-1)</f>
        <v>0.19881889763779537</v>
      </c>
      <c r="J51" s="434"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f>IF(E47&lt;G47,G47/E47-1,E47/G47-1)</f>
        <v>0.1779591836734693</v>
      </c>
      <c r="F52" s="434" t="str">
        <f>IF(OR(E52&gt;=0.2,E52&lt;=-0.2),"超过20%","")</f>
        <v/>
      </c>
      <c r="G52" s="433">
        <f>IF(G47&lt;I47,I47/G47-1,G47/I47-1)</f>
        <v>0.18472906403940881</v>
      </c>
      <c r="H52" s="434" t="str">
        <f>IF(OR(G52&gt;=0.2,G52&lt;=-0.2),"超过20%","")</f>
        <v/>
      </c>
      <c r="I52" s="433">
        <f>IF(I47&lt;E47,E47/I47-1,I47/E47-1)</f>
        <v>5.7471264367816577E-3</v>
      </c>
      <c r="J52" s="434"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f>IF(E46&lt;G46,G46/E46-1,E46/G46-1)</f>
        <v>2.0456333595594067E-2</v>
      </c>
      <c r="F53" s="434" t="str">
        <f>IF(OR(E53&gt;=0.3,E53&lt;=-0.3),"超过30%","")</f>
        <v/>
      </c>
      <c r="G53" s="433">
        <f>IF(G46&lt;I46,I46/G46-1,G46/I46-1)</f>
        <v>0.27657480314960625</v>
      </c>
      <c r="H53" s="434" t="str">
        <f>IF(OR(G53&gt;=0.3,G53&lt;=-0.3),"超过30%","")</f>
        <v/>
      </c>
      <c r="I53" s="433">
        <f>IF(I46&lt;E46,E46/I46-1,I46/E46-1)</f>
        <v>0.25098425196850394</v>
      </c>
      <c r="J53" s="434"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84" t="s">
        <v>1887</v>
      </c>
      <c r="H55" s="3385"/>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f>C48</f>
        <v>1295</v>
      </c>
      <c r="C56" s="609">
        <v>1</v>
      </c>
      <c r="D56" s="889">
        <v>1</v>
      </c>
      <c r="E56" s="609">
        <f>'数据-汇总表'!E8+'数据-汇总表'!E9</f>
        <v>71986.14</v>
      </c>
      <c r="F56" s="832">
        <f t="shared" ref="F56:F64" si="15">ROUND(B56*E56/10000,0)</f>
        <v>9322</v>
      </c>
      <c r="G56" s="3386"/>
      <c r="H56" s="3387"/>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f>ROUND($C$48*C57*D57,0)</f>
        <v>0</v>
      </c>
      <c r="C57" s="162">
        <f t="shared" ref="C57:C64" si="16">IF($C$55="北京市系数",I57,J57)</f>
        <v>0</v>
      </c>
      <c r="D57" s="890">
        <v>0.25</v>
      </c>
      <c r="E57" s="613"/>
      <c r="F57" s="832">
        <f t="shared" si="15"/>
        <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f t="shared" ref="B58:B64" si="17">ROUND($C$48*C58*D58,0)</f>
        <v>0</v>
      </c>
      <c r="C58" s="162">
        <f t="shared" si="16"/>
        <v>0</v>
      </c>
      <c r="D58" s="890">
        <v>0.25</v>
      </c>
      <c r="E58" s="613"/>
      <c r="F58" s="832">
        <f t="shared" si="15"/>
        <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f t="shared" si="17"/>
        <v>0</v>
      </c>
      <c r="C59" s="162">
        <f t="shared" si="16"/>
        <v>0</v>
      </c>
      <c r="D59" s="890">
        <v>0.25</v>
      </c>
      <c r="E59" s="613"/>
      <c r="F59" s="832">
        <f t="shared" si="15"/>
        <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f t="shared" si="17"/>
        <v>0</v>
      </c>
      <c r="C60" s="162">
        <f t="shared" si="16"/>
        <v>0</v>
      </c>
      <c r="D60" s="890">
        <v>0.25</v>
      </c>
      <c r="E60" s="208">
        <f>'数据-汇总表'!E11</f>
        <v>0</v>
      </c>
      <c r="F60" s="832">
        <f t="shared" si="15"/>
        <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f t="shared" si="17"/>
        <v>0</v>
      </c>
      <c r="C61" s="162">
        <f t="shared" si="16"/>
        <v>0</v>
      </c>
      <c r="D61" s="890">
        <v>0.25</v>
      </c>
      <c r="E61" s="208">
        <f>'数据-汇总表'!E12</f>
        <v>0</v>
      </c>
      <c r="F61" s="832">
        <f t="shared" si="15"/>
        <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f t="shared" si="17"/>
        <v>0</v>
      </c>
      <c r="C62" s="162">
        <f t="shared" si="16"/>
        <v>0</v>
      </c>
      <c r="D62" s="890">
        <v>0.25</v>
      </c>
      <c r="E62" s="208">
        <f>'数据-汇总表'!E13</f>
        <v>0</v>
      </c>
      <c r="F62" s="832">
        <f t="shared" si="15"/>
        <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f t="shared" si="17"/>
        <v>0</v>
      </c>
      <c r="C63" s="162">
        <f t="shared" si="16"/>
        <v>0</v>
      </c>
      <c r="D63" s="890">
        <v>0.25</v>
      </c>
      <c r="E63" s="208">
        <f>'数据-汇总表'!E14</f>
        <v>0</v>
      </c>
      <c r="F63" s="832">
        <f t="shared" si="15"/>
        <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f t="shared" si="17"/>
        <v>0</v>
      </c>
      <c r="C64" s="162">
        <f t="shared" si="16"/>
        <v>0</v>
      </c>
      <c r="D64" s="890">
        <v>0.25</v>
      </c>
      <c r="E64" s="208">
        <f>'数据-汇总表'!E15</f>
        <v>0</v>
      </c>
      <c r="F64" s="832">
        <f t="shared" si="15"/>
        <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71986.14</v>
      </c>
      <c r="F65" s="616">
        <f>IF(B46="楼面地价",SUM(F56:F64),ROUND(C48*E65/10000,0))</f>
        <v>9322</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2025-6-1</v>
      </c>
      <c r="D67" s="655">
        <f>EDATE(C67,-3)</f>
        <v>45717</v>
      </c>
      <c r="E67" s="655">
        <f>EDATE(D67,-3)</f>
        <v>45627</v>
      </c>
      <c r="F67" s="655">
        <f t="shared" ref="F67:O67" si="18">EDATE(E67,-3)</f>
        <v>45536</v>
      </c>
      <c r="G67" s="655">
        <f t="shared" si="18"/>
        <v>45444</v>
      </c>
      <c r="H67" s="655">
        <f t="shared" si="18"/>
        <v>45352</v>
      </c>
      <c r="I67" s="655">
        <f t="shared" si="18"/>
        <v>45261</v>
      </c>
      <c r="J67" s="655">
        <f t="shared" si="18"/>
        <v>45170</v>
      </c>
      <c r="K67" s="655">
        <f t="shared" si="18"/>
        <v>45078</v>
      </c>
      <c r="L67" s="655">
        <f t="shared" si="18"/>
        <v>44986</v>
      </c>
      <c r="M67" s="655">
        <f t="shared" si="18"/>
        <v>44896</v>
      </c>
      <c r="N67" s="655">
        <f t="shared" si="18"/>
        <v>44805</v>
      </c>
      <c r="O67" s="655">
        <f t="shared" si="18"/>
        <v>44713</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1" customFormat="1" ht="30" customHeight="1">
      <c r="A70" s="1836" t="s">
        <v>1905</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1681</v>
      </c>
      <c r="B72" s="443"/>
      <c r="C72" s="455" t="s">
        <v>1776</v>
      </c>
      <c r="D72" s="30"/>
      <c r="E72" s="30"/>
      <c r="F72" s="30"/>
      <c r="G72" s="30"/>
      <c r="H72" s="30"/>
      <c r="I72" s="30"/>
      <c r="J72" s="30"/>
      <c r="K72" s="30"/>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0（含）-1</v>
      </c>
      <c r="D78" s="477" t="str">
        <f t="shared" ref="D78:L78" si="20">D79&amp;"（含）"&amp;"-"&amp;E79</f>
        <v>1（含）-2</v>
      </c>
      <c r="E78" s="477" t="str">
        <f t="shared" si="20"/>
        <v>2（含）-3</v>
      </c>
      <c r="F78" s="477" t="str">
        <f t="shared" si="20"/>
        <v>3（含）-4</v>
      </c>
      <c r="G78" s="477" t="str">
        <f t="shared" si="20"/>
        <v>4（含）-5</v>
      </c>
      <c r="H78" s="477" t="str">
        <f t="shared" si="20"/>
        <v>5（含）-6</v>
      </c>
      <c r="I78" s="477" t="str">
        <f t="shared" si="20"/>
        <v>6（含）-7</v>
      </c>
      <c r="J78" s="477" t="str">
        <f t="shared" si="20"/>
        <v>7（含）-8</v>
      </c>
      <c r="K78" s="477" t="str">
        <f t="shared" si="20"/>
        <v>8（含）-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v>0</v>
      </c>
      <c r="D79" s="479">
        <v>1</v>
      </c>
      <c r="E79" s="479">
        <v>2</v>
      </c>
      <c r="F79" s="479">
        <v>3</v>
      </c>
      <c r="G79" s="479">
        <v>4</v>
      </c>
      <c r="H79" s="479">
        <v>5</v>
      </c>
      <c r="I79" s="479">
        <v>6</v>
      </c>
      <c r="J79" s="479">
        <v>7</v>
      </c>
      <c r="K79" s="480">
        <v>8</v>
      </c>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0"/>
      <c r="D85" s="30"/>
      <c r="E85" s="30"/>
      <c r="F85" s="30"/>
      <c r="G85" s="30"/>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95</v>
      </c>
      <c r="E90" s="474">
        <f>D90-$K17</f>
        <v>90</v>
      </c>
      <c r="F90" s="474">
        <f>E90-$K17</f>
        <v>85</v>
      </c>
      <c r="G90" s="474">
        <f>F90-$K17</f>
        <v>80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95</v>
      </c>
      <c r="E94" s="474">
        <f>D94-$K21</f>
        <v>90</v>
      </c>
      <c r="F94" s="474">
        <f>E94-$K21</f>
        <v>85</v>
      </c>
      <c r="G94" s="474">
        <f>F94-$K21</f>
        <v>80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95</v>
      </c>
      <c r="E98" s="474">
        <f>D98-$K25</f>
        <v>90</v>
      </c>
      <c r="F98" s="474">
        <f>E98-$K25</f>
        <v>85</v>
      </c>
      <c r="G98" s="474">
        <f>F98-$K25</f>
        <v>80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95</v>
      </c>
      <c r="E100" s="474">
        <f>D100-$K27</f>
        <v>90</v>
      </c>
      <c r="F100" s="474">
        <f>E100-$K27</f>
        <v>85</v>
      </c>
      <c r="G100" s="474">
        <f>F100-$K27</f>
        <v>80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0"/>
      <c r="D111" s="30"/>
      <c r="E111" s="30"/>
      <c r="F111" s="30"/>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ht="28.5">
      <c r="A115" s="378" t="s">
        <v>1694</v>
      </c>
      <c r="B115" s="459" t="s">
        <v>1913</v>
      </c>
      <c r="C115" s="460" t="str">
        <f>C116&amp;"(含)"&amp;"-"&amp;D116</f>
        <v>0(含)-1000</v>
      </c>
      <c r="D115" s="460" t="str">
        <f t="shared" ref="D115:M115" si="25">D116&amp;"(含)"&amp;"-"&amp;E116</f>
        <v>1000(含)-2000</v>
      </c>
      <c r="E115" s="460" t="str">
        <f t="shared" si="25"/>
        <v>2000(含)-5000</v>
      </c>
      <c r="F115" s="460" t="str">
        <f t="shared" si="25"/>
        <v>5000(含)-10000</v>
      </c>
      <c r="G115" s="460" t="str">
        <f t="shared" si="25"/>
        <v>10000(含)-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v>0</v>
      </c>
      <c r="D116" s="6">
        <v>1000</v>
      </c>
      <c r="E116" s="6">
        <v>2000</v>
      </c>
      <c r="F116" s="6">
        <v>5000</v>
      </c>
      <c r="G116" s="6">
        <v>10000</v>
      </c>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v>100</v>
      </c>
      <c r="D117" s="520">
        <v>101</v>
      </c>
      <c r="E117" s="520">
        <v>102</v>
      </c>
      <c r="F117" s="520">
        <v>103</v>
      </c>
      <c r="G117" s="520">
        <v>104</v>
      </c>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98</v>
      </c>
      <c r="E119" s="474">
        <f t="shared" si="26"/>
        <v>96</v>
      </c>
      <c r="F119" s="474">
        <f t="shared" si="26"/>
        <v>94</v>
      </c>
      <c r="G119" s="474">
        <f t="shared" si="26"/>
        <v>92</v>
      </c>
      <c r="H119" s="474">
        <f t="shared" si="26"/>
        <v>90</v>
      </c>
      <c r="I119" s="474">
        <f t="shared" si="26"/>
        <v>88</v>
      </c>
      <c r="J119" s="474">
        <f t="shared" si="26"/>
        <v>86</v>
      </c>
      <c r="K119" s="474">
        <f t="shared" si="26"/>
        <v>84</v>
      </c>
      <c r="L119" s="474">
        <f t="shared" si="26"/>
        <v>82</v>
      </c>
      <c r="M119" s="475">
        <f t="shared" si="26"/>
        <v>80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98</v>
      </c>
      <c r="E121" s="474">
        <f t="shared" si="27"/>
        <v>96</v>
      </c>
      <c r="F121" s="474">
        <f t="shared" si="27"/>
        <v>94</v>
      </c>
      <c r="G121" s="474">
        <f t="shared" si="27"/>
        <v>92</v>
      </c>
      <c r="H121" s="474">
        <f t="shared" si="27"/>
        <v>90</v>
      </c>
      <c r="I121" s="474">
        <f t="shared" si="27"/>
        <v>88</v>
      </c>
      <c r="J121" s="474">
        <f t="shared" si="27"/>
        <v>86</v>
      </c>
      <c r="K121" s="474">
        <f t="shared" si="27"/>
        <v>84</v>
      </c>
      <c r="L121" s="474">
        <f t="shared" si="27"/>
        <v>82</v>
      </c>
      <c r="M121" s="475">
        <f t="shared" si="27"/>
        <v>80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98</v>
      </c>
      <c r="E123" s="474">
        <f t="shared" si="28"/>
        <v>96</v>
      </c>
      <c r="F123" s="474">
        <f t="shared" si="28"/>
        <v>94</v>
      </c>
      <c r="G123" s="474">
        <f t="shared" si="28"/>
        <v>92</v>
      </c>
      <c r="H123" s="474">
        <f t="shared" si="28"/>
        <v>90</v>
      </c>
      <c r="I123" s="474">
        <f t="shared" si="28"/>
        <v>88</v>
      </c>
      <c r="J123" s="474">
        <f t="shared" si="28"/>
        <v>86</v>
      </c>
      <c r="K123" s="474">
        <f t="shared" si="28"/>
        <v>84</v>
      </c>
      <c r="L123" s="474">
        <f t="shared" si="28"/>
        <v>82</v>
      </c>
      <c r="M123" s="475">
        <f t="shared" si="28"/>
        <v>80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98</v>
      </c>
      <c r="E125" s="474">
        <f t="shared" si="29"/>
        <v>96</v>
      </c>
      <c r="F125" s="474">
        <f t="shared" si="29"/>
        <v>94</v>
      </c>
      <c r="G125" s="474">
        <f t="shared" si="29"/>
        <v>92</v>
      </c>
      <c r="H125" s="474">
        <f t="shared" si="29"/>
        <v>90</v>
      </c>
      <c r="I125" s="474">
        <f t="shared" si="29"/>
        <v>88</v>
      </c>
      <c r="J125" s="474">
        <f t="shared" si="29"/>
        <v>86</v>
      </c>
      <c r="K125" s="474">
        <f t="shared" si="29"/>
        <v>84</v>
      </c>
      <c r="L125" s="474">
        <f t="shared" si="29"/>
        <v>82</v>
      </c>
      <c r="M125" s="475">
        <f t="shared" si="29"/>
        <v>80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0"/>
      <c r="D128" s="30"/>
      <c r="E128" s="30"/>
      <c r="F128" s="30"/>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0"/>
      <c r="D130" s="30"/>
      <c r="E130" s="30"/>
      <c r="F130" s="30"/>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1" xr:uid="{00000000-0002-0000-1700-000013000000}">
      <formula1>"商业,办公,住宅,工业"</formula1>
    </dataValidation>
    <dataValidation type="list" allowBlank="1" showInputMessage="1" showErrorMessage="1" sqref="G62" xr:uid="{00000000-0002-0000-1700-000014000000}">
      <formula1>"住宅,工业"</formula1>
    </dataValidation>
    <dataValidation type="list" allowBlank="1" showInputMessage="1" showErrorMessage="1" sqref="C30 E30 G30 I30" xr:uid="{00000000-0002-0000-1700-000015000000}">
      <formula1>基础设施水平</formula1>
    </dataValidation>
    <dataValidation type="list" allowBlank="1" showInputMessage="1" showErrorMessage="1" sqref="A70" xr:uid="{00000000-0002-0000-1700-000016000000}">
      <formula1>"综合,商业,办公,住宅"</formula1>
    </dataValidation>
    <dataValidation type="list" allowBlank="1" showInputMessage="1" showErrorMessage="1" sqref="D47" xr:uid="{00000000-0002-0000-1700-000017000000}">
      <formula1>"简单平均,加权平均"</formula1>
    </dataValidation>
    <dataValidation type="list" allowBlank="1" showInputMessage="1" showErrorMessage="1" sqref="D57:D64" xr:uid="{00000000-0002-0000-17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9" zoomScaleNormal="70" zoomScaleSheetLayoutView="100" workbookViewId="0">
      <selection activeCell="I38" sqref="I3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3425</v>
      </c>
      <c r="D1" s="1270" t="s">
        <v>43</v>
      </c>
      <c r="E1" s="1271" t="s">
        <v>678</v>
      </c>
      <c r="F1" s="998">
        <f ca="1">J53</f>
        <v>33.15</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51485</v>
      </c>
      <c r="C2" s="1288" t="s">
        <v>805</v>
      </c>
      <c r="D2" s="1288"/>
      <c r="E2" s="1294"/>
      <c r="F2" s="1295"/>
      <c r="G2" s="2478"/>
      <c r="H2" s="2468"/>
      <c r="I2" s="2468"/>
      <c r="J2" s="2468"/>
      <c r="K2" s="2469"/>
      <c r="L2" s="2468"/>
      <c r="M2" s="2468"/>
    </row>
    <row r="3" spans="1:37" ht="18" customHeight="1" thickBot="1">
      <c r="A3" s="1296" t="s">
        <v>806</v>
      </c>
      <c r="B3" s="1297">
        <f ca="1">IF(ISERROR(B2*10000/F43),0,ROUND(B2*10000/F43,0))</f>
        <v>7152</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3551</v>
      </c>
      <c r="D5" s="1272" t="s">
        <v>693</v>
      </c>
      <c r="E5" s="1007"/>
      <c r="F5" s="1008"/>
      <c r="G5" s="1291"/>
      <c r="H5" s="290">
        <v>1</v>
      </c>
      <c r="I5" s="291" t="s">
        <v>692</v>
      </c>
      <c r="J5" s="1006">
        <f ca="1">J6+J10+J12</f>
        <v>0</v>
      </c>
      <c r="K5" s="1272" t="s">
        <v>693</v>
      </c>
      <c r="L5" s="1007"/>
      <c r="M5" s="1008"/>
    </row>
    <row r="6" spans="1:37" ht="18" customHeight="1">
      <c r="A6" s="1005" t="s">
        <v>398</v>
      </c>
      <c r="B6" s="3424" t="s">
        <v>694</v>
      </c>
      <c r="C6" s="1010">
        <f ca="1">ROUND(F6*F8*F7*(1-F9)/10000,0)</f>
        <v>3547</v>
      </c>
      <c r="D6" s="146" t="s">
        <v>2109</v>
      </c>
      <c r="E6" s="293" t="s">
        <v>696</v>
      </c>
      <c r="F6" s="294">
        <f ca="1">INDIRECT("'数据-取费表'!u"&amp;$G$1)</f>
        <v>1.5</v>
      </c>
      <c r="G6" s="1291"/>
      <c r="H6" s="1005" t="s">
        <v>398</v>
      </c>
      <c r="I6" s="3424" t="s">
        <v>694</v>
      </c>
      <c r="J6" s="292">
        <f ca="1">ROUND(M6*M8*M7*(1-M9)/10000,0)</f>
        <v>0</v>
      </c>
      <c r="K6" s="146" t="s">
        <v>2108</v>
      </c>
      <c r="L6" s="293" t="s">
        <v>696</v>
      </c>
      <c r="M6" s="294">
        <f ca="1">INDIRECT("'数据-取费表'!z"&amp;$G$1)</f>
        <v>0</v>
      </c>
    </row>
    <row r="7" spans="1:37" ht="18" customHeight="1">
      <c r="A7" s="1009"/>
      <c r="B7" s="3425"/>
      <c r="C7" s="1011"/>
      <c r="D7" s="298"/>
      <c r="E7" s="1012" t="s">
        <v>697</v>
      </c>
      <c r="F7" s="294">
        <f ca="1">IF(INDIRECT("'数据-取费表'!ah"&amp;$G$1)="",INDIRECT("'数据-取费表'!k"&amp;$G$1),INDIRECT("'数据-取费表'!ah"&amp;$G$1))</f>
        <v>71986.14</v>
      </c>
      <c r="G7" s="1291"/>
      <c r="H7" s="295"/>
      <c r="I7" s="3425"/>
      <c r="J7" s="297"/>
      <c r="K7" s="298"/>
      <c r="L7" s="293" t="s">
        <v>697</v>
      </c>
      <c r="M7" s="294">
        <f ca="1">F7</f>
        <v>71986.14</v>
      </c>
    </row>
    <row r="8" spans="1:37" ht="18" customHeight="1">
      <c r="A8" s="295"/>
      <c r="B8" s="3425"/>
      <c r="C8" s="297"/>
      <c r="D8" s="298"/>
      <c r="E8" s="293" t="s">
        <v>698</v>
      </c>
      <c r="F8" s="294">
        <f ca="1">INDIRECT("'数据-取费表'!ai"&amp;$G$1)</f>
        <v>365</v>
      </c>
      <c r="G8" s="1291"/>
      <c r="H8" s="295"/>
      <c r="I8" s="3425"/>
      <c r="J8" s="297"/>
      <c r="K8" s="298"/>
      <c r="L8" s="293" t="s">
        <v>698</v>
      </c>
      <c r="M8" s="294">
        <f ca="1">INDIRECT("'数据-取费表'!ai"&amp;$G$1)</f>
        <v>365</v>
      </c>
    </row>
    <row r="9" spans="1:37" ht="18" customHeight="1">
      <c r="A9" s="295"/>
      <c r="B9" s="3426"/>
      <c r="C9" s="297"/>
      <c r="D9" s="298"/>
      <c r="E9" s="293" t="s">
        <v>699</v>
      </c>
      <c r="F9" s="303">
        <f ca="1">INDIRECT("'数据-取费表'!w"&amp;$G$1)</f>
        <v>0.1</v>
      </c>
      <c r="G9" s="1291"/>
      <c r="H9" s="295"/>
      <c r="I9" s="3426"/>
      <c r="J9" s="297"/>
      <c r="K9" s="298"/>
      <c r="L9" s="304" t="s">
        <v>699</v>
      </c>
      <c r="M9" s="305">
        <f ca="1">INDIRECT("'数据-取费表'!ab"&amp;$G$1)</f>
        <v>0</v>
      </c>
    </row>
    <row r="10" spans="1:37" ht="18" customHeight="1">
      <c r="A10" s="1005" t="s">
        <v>402</v>
      </c>
      <c r="B10" s="1273" t="s">
        <v>700</v>
      </c>
      <c r="C10" s="307">
        <f ca="1">ROUND(IF(F10="押一",C6/12*F11,IF(F10="押二",C6/12*2*F11,IF(F10="押三",C6/12*3*F11,C11*F11))),0)</f>
        <v>4</v>
      </c>
      <c r="D10" s="149" t="s">
        <v>2117</v>
      </c>
      <c r="E10" s="304" t="s">
        <v>701</v>
      </c>
      <c r="F10" s="1052" t="s">
        <v>3432</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49403</v>
      </c>
      <c r="D13" s="1017" t="s">
        <v>705</v>
      </c>
      <c r="E13" s="1017" t="s">
        <v>706</v>
      </c>
      <c r="F13" s="1018">
        <f ca="1">INDIRECT("'数据-取费表'!y"&amp;$G$1)</f>
        <v>0.93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35993</v>
      </c>
      <c r="D14" s="1256" t="s">
        <v>708</v>
      </c>
      <c r="E14" s="1254"/>
      <c r="F14" s="310"/>
      <c r="G14" s="1291"/>
      <c r="H14" s="927" t="s">
        <v>398</v>
      </c>
      <c r="I14" s="293" t="s">
        <v>709</v>
      </c>
      <c r="J14" s="20">
        <f ca="1">C29</f>
        <v>53122</v>
      </c>
      <c r="K14" s="11"/>
      <c r="L14" s="758"/>
      <c r="M14" s="759"/>
    </row>
    <row r="15" spans="1:37" s="1303" customFormat="1" ht="18" customHeight="1" thickBot="1">
      <c r="A15" s="927" t="s">
        <v>399</v>
      </c>
      <c r="B15" s="293" t="s">
        <v>710</v>
      </c>
      <c r="C15" s="20">
        <f ca="1">ROUND(C14*F15,0)</f>
        <v>1800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127</v>
      </c>
      <c r="K16" s="1023" t="s">
        <v>715</v>
      </c>
      <c r="L16" s="1024"/>
      <c r="M16" s="1008"/>
    </row>
    <row r="17" spans="1:37" s="1303" customFormat="1" ht="18" customHeight="1">
      <c r="A17" s="927" t="s">
        <v>681</v>
      </c>
      <c r="B17" s="293" t="s">
        <v>716</v>
      </c>
      <c r="C17" s="20">
        <f ca="1">ROUND(F17*(F43+INDIRECT("'数据-取费表'!S"&amp;$G$1))/10000,0)</f>
        <v>1440</v>
      </c>
      <c r="D17" s="293" t="s">
        <v>717</v>
      </c>
      <c r="E17" s="293" t="s">
        <v>718</v>
      </c>
      <c r="F17" s="22">
        <f>'数据-取费表'!B35</f>
        <v>200</v>
      </c>
      <c r="G17" s="1302"/>
      <c r="H17" s="927" t="s">
        <v>398</v>
      </c>
      <c r="I17" s="293" t="s">
        <v>719</v>
      </c>
      <c r="J17" s="2139">
        <f ca="1">ROUND(IF(AND(项目基本情况!B11="自然人",项目基本情况!B10="北京市"),J6*M17/(1+'数据-取费表'!C42),J18+J19+J20),2)</f>
        <v>21.08</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720</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39953</v>
      </c>
      <c r="D19" s="122" t="s">
        <v>726</v>
      </c>
      <c r="E19" s="1268"/>
      <c r="F19" s="22"/>
      <c r="G19" s="1291"/>
      <c r="H19" s="927" t="s">
        <v>399</v>
      </c>
      <c r="I19" s="293" t="s">
        <v>727</v>
      </c>
      <c r="J19" s="20">
        <f ca="1">IF(K19="按租金收入计税",ROUND(J6*M19/(1+'数据-取费表'!C42),2),ROUND(C29*M19*0.7,2))</f>
        <v>0</v>
      </c>
      <c r="K19" s="1277" t="s">
        <v>3327</v>
      </c>
      <c r="L19" s="293" t="s">
        <v>712</v>
      </c>
      <c r="M19" s="313">
        <f>IF(K19="按租金收入计税",'数据-取费表'!B51,'数据-取费表'!B50)</f>
        <v>0.12</v>
      </c>
    </row>
    <row r="20" spans="1:37" s="1303" customFormat="1" ht="18" customHeight="1">
      <c r="A20" s="927" t="s">
        <v>402</v>
      </c>
      <c r="B20" s="293" t="s">
        <v>728</v>
      </c>
      <c r="C20" s="20">
        <f ca="1">ROUND(C19*F20,0)</f>
        <v>799</v>
      </c>
      <c r="D20" s="314" t="s">
        <v>729</v>
      </c>
      <c r="E20" s="293" t="s">
        <v>712</v>
      </c>
      <c r="F20" s="313">
        <f>'数据-取费表'!B37</f>
        <v>0.02</v>
      </c>
      <c r="G20" s="1302"/>
      <c r="H20" s="927" t="s">
        <v>680</v>
      </c>
      <c r="I20" s="146" t="s">
        <v>730</v>
      </c>
      <c r="J20" s="21">
        <f ca="1">ROUND(M20*M21/10000,2)</f>
        <v>21.08</v>
      </c>
      <c r="K20" s="315" t="s">
        <v>731</v>
      </c>
      <c r="L20" s="293" t="s">
        <v>732</v>
      </c>
      <c r="M20" s="316">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0.03</v>
      </c>
      <c r="G21" s="1302"/>
      <c r="H21" s="317"/>
      <c r="I21" s="302"/>
      <c r="J21" s="25"/>
      <c r="K21" s="318"/>
      <c r="L21" s="293" t="s">
        <v>736</v>
      </c>
      <c r="M21" s="294">
        <f ca="1">INDIRECT("'数据-取费表'!r"&amp;$G$1)</f>
        <v>8784.4599999999991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106.24</v>
      </c>
      <c r="K22" s="1255" t="s">
        <v>739</v>
      </c>
      <c r="L22" s="293" t="s">
        <v>712</v>
      </c>
      <c r="M22" s="319">
        <f ca="1">INDIRECT("'数据-取费表'!Ak"&amp;$G$1)</f>
        <v>2E-3</v>
      </c>
    </row>
    <row r="23" spans="1:37" s="1303" customFormat="1" ht="18" customHeight="1">
      <c r="A23" s="927" t="s">
        <v>397</v>
      </c>
      <c r="B23" s="293" t="s">
        <v>740</v>
      </c>
      <c r="C23" s="20">
        <f ca="1">IF('数据-取费表'!B22&lt;=1,ROUND(C19*F24*F23/2,0)+ROUND(C20*F24*F23/2,0),ROUND(C19*(POWER((1+F24),F23/2)-1),0)+ROUND(C20*(POWER((1+F24),F23/2)-1),0))</f>
        <v>1534</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1.1000000000000001E-3</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-127</v>
      </c>
      <c r="K25" s="1031" t="s">
        <v>753</v>
      </c>
      <c r="L25" s="1032"/>
      <c r="M25" s="1033"/>
    </row>
    <row r="26" spans="1:37">
      <c r="A26" s="927" t="s">
        <v>397</v>
      </c>
      <c r="B26" s="293" t="s">
        <v>754</v>
      </c>
      <c r="C26" s="20">
        <f ca="1">ROUND((C19+C20)*F26,0)</f>
        <v>6113</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4.4999999999999997E-3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53122</v>
      </c>
      <c r="D29" s="1028"/>
      <c r="E29" s="1026"/>
      <c r="F29" s="1029"/>
      <c r="G29" s="1302"/>
      <c r="H29" s="324" t="s">
        <v>396</v>
      </c>
      <c r="I29" s="325" t="s">
        <v>768</v>
      </c>
      <c r="J29" s="326">
        <f ca="1">ROUND(J26/(1+F40)^F41,0)</f>
        <v>0</v>
      </c>
      <c r="K29" s="327" t="s">
        <v>769</v>
      </c>
      <c r="L29" s="328"/>
      <c r="M29" s="329">
        <f ca="1">INDIRECT("'数据-取费表'!k"&amp;$G$1)</f>
        <v>71986.14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807</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615.62</v>
      </c>
      <c r="D31" s="1256" t="s">
        <v>720</v>
      </c>
      <c r="E31" s="1255" t="s">
        <v>770</v>
      </c>
      <c r="F31" s="2138" t="str">
        <f>IF(项目基本情况!B11="企业","——",IF(M47="住宅",IF(F6*F7*F8/12/(1+'数据-取费表'!F30)&gt;100000,4%,2.5%),IF(F6*F7*F8/12/(1+'数据-取费表'!F30)&gt;100000,12%,7%)))</f>
        <v>——</v>
      </c>
      <c r="G31" s="1291"/>
      <c r="H31" s="2569" t="s">
        <v>2297</v>
      </c>
      <c r="I31" s="1304"/>
      <c r="J31" s="1305"/>
      <c r="K31" s="120"/>
      <c r="L31" s="2471"/>
      <c r="M31" s="2472"/>
    </row>
    <row r="32" spans="1:37" ht="18" customHeight="1">
      <c r="A32" s="927" t="s">
        <v>397</v>
      </c>
      <c r="B32" s="293" t="s">
        <v>723</v>
      </c>
      <c r="C32" s="20">
        <f ca="1">IF(项目基本情况!B11="自然人","——",ROUND(C6*F32/(1+'数据-取费表'!C42),2))</f>
        <v>189.17</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0">
        <f ca="1">IF(项目基本情况!B11="自然人","——",IF(D33="按租金收入计税",ROUND(C6*F33/(1+'数据-取费表'!C42),2),IF(D33="按房产原值计税",ROUND(C29*F33*0.7,2),INDIRECT("'数据-取费表'!Aj"&amp;$G$1))))</f>
        <v>405.37</v>
      </c>
      <c r="D33" s="1277" t="s">
        <v>3327</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1">
        <f ca="1">IF(项目基本情况!B11="自然人","——",ROUND(F34*F35/10000,2))</f>
        <v>21.08</v>
      </c>
      <c r="D34" s="315" t="s">
        <v>731</v>
      </c>
      <c r="E34" s="293" t="s">
        <v>732</v>
      </c>
      <c r="F34" s="316">
        <f>'数据-取费表'!B52</f>
        <v>24</v>
      </c>
      <c r="G34" s="1291"/>
      <c r="H34" s="2470"/>
      <c r="I34" s="1304"/>
      <c r="J34" s="1305"/>
      <c r="K34" s="2475"/>
      <c r="L34" s="2476"/>
      <c r="M34" s="2476"/>
    </row>
    <row r="35" spans="1:18" ht="18" customHeight="1">
      <c r="A35" s="1039"/>
      <c r="B35" s="1037"/>
      <c r="C35" s="25"/>
      <c r="D35" s="318"/>
      <c r="E35" s="293" t="s">
        <v>736</v>
      </c>
      <c r="F35" s="294">
        <f ca="1">INDIRECT("'数据-取费表'!r"&amp;$G$1)</f>
        <v>8784.4599999999991</v>
      </c>
      <c r="G35" s="1291"/>
      <c r="H35" s="2470"/>
      <c r="I35" s="1304"/>
      <c r="J35" s="1305"/>
      <c r="K35" s="2474"/>
      <c r="L35" s="2473"/>
      <c r="M35" s="2473"/>
    </row>
    <row r="36" spans="1:18" ht="18" customHeight="1">
      <c r="A36" s="1038" t="s">
        <v>402</v>
      </c>
      <c r="B36" s="293" t="s">
        <v>738</v>
      </c>
      <c r="C36" s="20">
        <f ca="1">ROUND(C29*F36,2)</f>
        <v>106.24</v>
      </c>
      <c r="D36" s="1255" t="s">
        <v>771</v>
      </c>
      <c r="E36" s="293" t="s">
        <v>712</v>
      </c>
      <c r="F36" s="319">
        <f ca="1">INDIRECT("'数据-取费表'!Ak"&amp;$G$1)</f>
        <v>2E-3</v>
      </c>
      <c r="G36" s="1291"/>
      <c r="H36" s="2473"/>
      <c r="I36" s="1304"/>
      <c r="J36" s="1305"/>
      <c r="K36" s="2330"/>
      <c r="L36" s="2473"/>
      <c r="M36" s="2473"/>
    </row>
    <row r="37" spans="1:18" ht="18" customHeight="1">
      <c r="A37" s="927" t="s">
        <v>437</v>
      </c>
      <c r="B37" s="293" t="s">
        <v>742</v>
      </c>
      <c r="C37" s="20">
        <f ca="1">ROUND(C13*F37,2)</f>
        <v>49.4</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ROUND(C5*F38,2)</f>
        <v>35.51</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2744</v>
      </c>
      <c r="D39" s="1031" t="s">
        <v>773</v>
      </c>
      <c r="E39" s="1032"/>
      <c r="F39" s="1033"/>
      <c r="G39" s="1291"/>
      <c r="H39" s="2473"/>
      <c r="I39" s="1304"/>
      <c r="J39" s="1305"/>
      <c r="K39" s="2471"/>
      <c r="L39" s="2473"/>
      <c r="M39" s="2473"/>
    </row>
    <row r="40" spans="1:18" ht="18" customHeight="1">
      <c r="A40" s="290" t="s">
        <v>395</v>
      </c>
      <c r="B40" s="291" t="s">
        <v>774</v>
      </c>
      <c r="C40" s="292">
        <f ca="1">ROUND(C39*(1-((1+F42)/(1+F40))^F41)/(F40-F42),0)</f>
        <v>49552</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33.15</v>
      </c>
      <c r="G41" s="1291"/>
      <c r="H41" s="120"/>
      <c r="I41" s="1304"/>
      <c r="J41" s="1305"/>
      <c r="K41" s="2330"/>
      <c r="L41" s="120"/>
      <c r="M41" s="120"/>
    </row>
    <row r="42" spans="1:18" ht="18" customHeight="1">
      <c r="A42" s="299"/>
      <c r="B42" s="300"/>
      <c r="C42" s="301"/>
      <c r="D42" s="318"/>
      <c r="E42" s="293" t="s">
        <v>766</v>
      </c>
      <c r="F42" s="303">
        <f ca="1">INDIRECT("'数据-取费表'!v"&amp;$G$1)</f>
        <v>1.4999999999999999E-2</v>
      </c>
      <c r="G42" s="1291"/>
      <c r="H42" s="120"/>
      <c r="I42" s="1304"/>
      <c r="J42" s="1305"/>
      <c r="K42" s="2330"/>
      <c r="L42" s="120"/>
      <c r="M42" s="120"/>
    </row>
    <row r="43" spans="1:18" ht="18" customHeight="1" thickBot="1">
      <c r="A43" s="324" t="s">
        <v>396</v>
      </c>
      <c r="B43" s="325" t="s">
        <v>776</v>
      </c>
      <c r="C43" s="326">
        <f ca="1">ROUND(C40*10000/F43,0)</f>
        <v>6884</v>
      </c>
      <c r="D43" s="327" t="s">
        <v>777</v>
      </c>
      <c r="E43" s="328" t="s">
        <v>778</v>
      </c>
      <c r="F43" s="329">
        <f ca="1">INDIRECT("'数据-取费表'!k"&amp;$G$1)</f>
        <v>71986.14</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-52225</v>
      </c>
      <c r="D46" s="1312" t="str">
        <f>C2</f>
        <v>万元</v>
      </c>
      <c r="E46" s="1306"/>
      <c r="F46" s="1306"/>
      <c r="I46" s="1313" t="s">
        <v>810</v>
      </c>
      <c r="J46" s="1314"/>
      <c r="K46" s="1315"/>
      <c r="L46" s="1316">
        <f ca="1">IF(M47="住宅",0,IF(L48&gt;J51,L60,J60))</f>
        <v>1933</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3433</v>
      </c>
      <c r="K47" s="1322" t="s">
        <v>816</v>
      </c>
      <c r="L47" s="1323">
        <f ca="1">INDIRECT("'数据-取费表'!d"&amp;$G$1)</f>
        <v>40</v>
      </c>
      <c r="M47" s="1287" t="str">
        <f>IF(ISNUMBER(FIND("住宅",C1)),"住宅","非住宅")</f>
        <v>非住宅</v>
      </c>
      <c r="O47" s="1324" t="s">
        <v>403</v>
      </c>
      <c r="P47" s="1325" t="s">
        <v>817</v>
      </c>
      <c r="Q47" s="1326">
        <f ca="1">C40+J29</f>
        <v>49552</v>
      </c>
      <c r="R47" s="1326" t="s">
        <v>818</v>
      </c>
    </row>
    <row r="48" spans="1:18" s="1291" customFormat="1" ht="28.5" thickBot="1">
      <c r="A48" s="1046" t="s">
        <v>438</v>
      </c>
      <c r="B48" s="291" t="s">
        <v>692</v>
      </c>
      <c r="C48" s="1267">
        <f ca="1">C49+C53+C55</f>
        <v>0</v>
      </c>
      <c r="D48" s="1048"/>
      <c r="E48" s="1049"/>
      <c r="F48" s="907"/>
      <c r="G48" s="680"/>
      <c r="H48" s="681"/>
      <c r="I48" s="1327" t="s">
        <v>819</v>
      </c>
      <c r="J48" s="1328" t="s">
        <v>3434</v>
      </c>
      <c r="K48" s="1329" t="s">
        <v>820</v>
      </c>
      <c r="L48" s="1330">
        <f ca="1">INDIRECT("'数据-取费表'!f"&amp;$G$1)</f>
        <v>33.15</v>
      </c>
      <c r="O48" s="1324" t="s">
        <v>404</v>
      </c>
      <c r="P48" s="1325" t="s">
        <v>821</v>
      </c>
      <c r="Q48" s="1326">
        <f ca="1">J60</f>
        <v>1933</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v>2021</v>
      </c>
      <c r="K49" s="1329" t="s">
        <v>824</v>
      </c>
      <c r="L49" s="1332"/>
      <c r="O49" s="1333" t="s">
        <v>405</v>
      </c>
      <c r="P49" s="1325" t="s">
        <v>825</v>
      </c>
      <c r="Q49" s="1326">
        <f ca="1">C29</f>
        <v>53122</v>
      </c>
      <c r="R49" s="1326" t="s">
        <v>818</v>
      </c>
    </row>
    <row r="50" spans="1:18" s="1291" customFormat="1" ht="13.5" thickBot="1">
      <c r="A50" s="921"/>
      <c r="B50" s="924"/>
      <c r="C50" s="1054"/>
      <c r="D50" s="898"/>
      <c r="E50" s="992" t="s">
        <v>697</v>
      </c>
      <c r="F50" s="993">
        <f ca="1">F7</f>
        <v>71986.14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56</v>
      </c>
      <c r="K51" s="1338" t="s">
        <v>830</v>
      </c>
      <c r="L51" s="1339">
        <f ca="1">ROUND(-PV(INDIRECT("'数据-取费表'!h"&amp;$G$1),J51,(C39-C13*C76),0),0)</f>
        <v>-13355</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33.15</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33.15</v>
      </c>
      <c r="K53" s="3422" t="s">
        <v>837</v>
      </c>
      <c r="L53" s="3423"/>
      <c r="O53" s="1324" t="s">
        <v>409</v>
      </c>
      <c r="P53" s="1325" t="s">
        <v>838</v>
      </c>
      <c r="Q53" s="1326">
        <f ca="1">Q47+Q48</f>
        <v>51485</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0.38100000000000001</v>
      </c>
      <c r="K55" s="1349" t="s">
        <v>841</v>
      </c>
      <c r="L55" s="1350"/>
      <c r="O55" s="1317" t="s">
        <v>811</v>
      </c>
      <c r="P55" s="1318" t="s">
        <v>812</v>
      </c>
      <c r="Q55" s="1319" t="s">
        <v>813</v>
      </c>
      <c r="R55" s="1319" t="s">
        <v>814</v>
      </c>
    </row>
    <row r="56" spans="1:18" s="1291" customFormat="1" ht="25.5" thickTop="1" thickBot="1">
      <c r="A56" s="902">
        <v>2</v>
      </c>
      <c r="B56" s="903" t="s">
        <v>704</v>
      </c>
      <c r="C56" s="223">
        <f ca="1">C13</f>
        <v>49403</v>
      </c>
      <c r="D56" s="1351"/>
      <c r="E56" s="1352"/>
      <c r="F56" s="1344"/>
      <c r="I56" s="1353" t="s">
        <v>842</v>
      </c>
      <c r="J56" s="1354" t="s">
        <v>3427</v>
      </c>
      <c r="K56" s="1327" t="s">
        <v>843</v>
      </c>
      <c r="L56" s="1330" t="str">
        <f ca="1">IF(L48&lt;J51,"——",L48-J53)</f>
        <v>——</v>
      </c>
      <c r="O56" s="1324" t="s">
        <v>403</v>
      </c>
      <c r="P56" s="1325" t="s">
        <v>817</v>
      </c>
      <c r="Q56" s="1326">
        <f ca="1">C40+J29</f>
        <v>49552</v>
      </c>
      <c r="R56" s="1326" t="s">
        <v>818</v>
      </c>
    </row>
    <row r="57" spans="1:18" s="1291" customFormat="1" ht="24.75" thickBot="1">
      <c r="A57" s="1355"/>
      <c r="B57" s="895" t="s">
        <v>767</v>
      </c>
      <c r="C57" s="229">
        <f ca="1">C29</f>
        <v>53122</v>
      </c>
      <c r="D57" s="1356"/>
      <c r="E57" s="1357"/>
      <c r="F57" s="1358"/>
      <c r="I57" s="1359" t="s">
        <v>844</v>
      </c>
      <c r="J57" s="1360">
        <f ca="1">IF(OR(M47="住宅",J51&lt;L48,J56="是"),"——",J51-L48)</f>
        <v>22.85</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177</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21249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1933</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IF(项目基本情况!B11="自然人","——",IF(D61="按租金收入计税",ROUND(C49*F61/(1+'数据-取费表'!C42),2),IF(D61="按房产原值计税",ROUND(C57*F61*0.7,2),INDIRECT("'数据-取费表'!Aj"&amp;$G$1))))</f>
        <v>0</v>
      </c>
      <c r="D61" s="1277" t="s">
        <v>3327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IF(项目基本情况!B11="自然人","——",ROUND(F62*F63/10000,2))</f>
        <v>21.08</v>
      </c>
      <c r="D62" s="910" t="s">
        <v>786</v>
      </c>
      <c r="E62" s="895" t="s">
        <v>787</v>
      </c>
      <c r="F62" s="316">
        <f t="shared" si="0"/>
        <v>24</v>
      </c>
      <c r="I62" s="1366" t="s">
        <v>858</v>
      </c>
      <c r="J62" s="609" t="s">
        <v>859</v>
      </c>
      <c r="K62" s="609" t="s">
        <v>860</v>
      </c>
      <c r="L62" s="609" t="s">
        <v>861</v>
      </c>
      <c r="M62" s="1367" t="s">
        <v>862</v>
      </c>
      <c r="O62" s="1324" t="s">
        <v>409</v>
      </c>
      <c r="P62" s="1325" t="s">
        <v>863</v>
      </c>
      <c r="Q62" s="1326">
        <f ca="1">Q56+Q57</f>
        <v>49552</v>
      </c>
      <c r="R62" s="1326" t="s">
        <v>410</v>
      </c>
    </row>
    <row r="63" spans="1:18" s="1291" customFormat="1" ht="13.5" thickBot="1">
      <c r="A63" s="317"/>
      <c r="B63" s="901"/>
      <c r="C63" s="25"/>
      <c r="D63" s="911"/>
      <c r="E63" s="895" t="s">
        <v>788</v>
      </c>
      <c r="F63" s="294">
        <f t="shared" ca="1" si="0"/>
        <v>8784.4599999999991</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ROUND(C57*F64,2)</f>
        <v>106.24</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49.4</v>
      </c>
      <c r="D65" s="909" t="s">
        <v>743</v>
      </c>
      <c r="E65" s="895" t="s">
        <v>744</v>
      </c>
      <c r="F65" s="320">
        <f t="shared" ca="1" si="0"/>
        <v>1E-3</v>
      </c>
      <c r="I65" s="1366" t="s">
        <v>867</v>
      </c>
      <c r="J65" s="609">
        <v>40</v>
      </c>
      <c r="K65" s="609">
        <v>30</v>
      </c>
      <c r="L65" s="609">
        <v>50</v>
      </c>
      <c r="M65" s="1368">
        <v>0.02</v>
      </c>
      <c r="O65" s="1324" t="s">
        <v>403</v>
      </c>
      <c r="P65" s="1325" t="s">
        <v>868</v>
      </c>
      <c r="Q65" s="1326">
        <f ca="1">C40+J29</f>
        <v>49552</v>
      </c>
      <c r="R65" s="1326" t="s">
        <v>818</v>
      </c>
    </row>
    <row r="66" spans="1:18" s="1291" customFormat="1" ht="16.5" thickBot="1">
      <c r="A66" s="927" t="s">
        <v>793</v>
      </c>
      <c r="B66" s="895" t="s">
        <v>728</v>
      </c>
      <c r="C66" s="20">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-177</v>
      </c>
      <c r="D67" s="908" t="s">
        <v>753</v>
      </c>
      <c r="E67" s="913"/>
      <c r="F67" s="914"/>
      <c r="O67" s="1333" t="s">
        <v>405</v>
      </c>
      <c r="P67" s="1325" t="s">
        <v>850</v>
      </c>
      <c r="Q67" s="1369">
        <f ca="1">L51</f>
        <v>-13355</v>
      </c>
      <c r="R67" s="1326" t="s">
        <v>870</v>
      </c>
    </row>
    <row r="68" spans="1:18" s="1291" customFormat="1" ht="16.5" thickBot="1">
      <c r="A68" s="892" t="s">
        <v>395</v>
      </c>
      <c r="B68" s="893" t="s">
        <v>774</v>
      </c>
      <c r="C68" s="292">
        <f ca="1">ROUND(C67*(1-((1+F70)/(1+F68))^F69)/(F68-F70),0)</f>
        <v>-2673</v>
      </c>
      <c r="D68" s="910" t="s">
        <v>758</v>
      </c>
      <c r="E68" s="895" t="s">
        <v>759</v>
      </c>
      <c r="F68" s="303">
        <f ca="1">F40</f>
        <v>5.5E-2</v>
      </c>
      <c r="O68" s="1333" t="s">
        <v>406</v>
      </c>
      <c r="P68" s="1370" t="s">
        <v>871</v>
      </c>
      <c r="Q68" s="1326">
        <f ca="1">ROUND(Q69-Q70*Q71,0)</f>
        <v>-714</v>
      </c>
      <c r="R68" s="1326" t="s">
        <v>414</v>
      </c>
    </row>
    <row r="69" spans="1:18" s="1291" customFormat="1" ht="13.5" thickBot="1">
      <c r="A69" s="896"/>
      <c r="B69" s="897"/>
      <c r="C69" s="297"/>
      <c r="D69" s="915" t="s">
        <v>762</v>
      </c>
      <c r="E69" s="895" t="s">
        <v>763</v>
      </c>
      <c r="F69" s="323">
        <f ca="1">F41</f>
        <v>33.15</v>
      </c>
      <c r="O69" s="1333" t="s">
        <v>411</v>
      </c>
      <c r="P69" s="1370" t="s">
        <v>872</v>
      </c>
      <c r="Q69" s="1326">
        <f ca="1">C39</f>
        <v>2744</v>
      </c>
      <c r="R69" s="1326" t="s">
        <v>818</v>
      </c>
    </row>
    <row r="70" spans="1:18" s="1291" customFormat="1" ht="13.5" thickBot="1">
      <c r="A70" s="899"/>
      <c r="B70" s="900"/>
      <c r="C70" s="301"/>
      <c r="D70" s="911"/>
      <c r="E70" s="895" t="s">
        <v>766</v>
      </c>
      <c r="F70" s="990"/>
      <c r="O70" s="1333" t="s">
        <v>412</v>
      </c>
      <c r="P70" s="1370" t="s">
        <v>873</v>
      </c>
      <c r="Q70" s="1326">
        <f ca="1">C13</f>
        <v>49403</v>
      </c>
      <c r="R70" s="1326" t="s">
        <v>818</v>
      </c>
    </row>
    <row r="71" spans="1:18" s="1291" customFormat="1" ht="13.5" thickBot="1">
      <c r="A71" s="916" t="s">
        <v>396</v>
      </c>
      <c r="B71" s="917" t="s">
        <v>776</v>
      </c>
      <c r="C71" s="326">
        <f ca="1">ROUND(C68*10000/F71,0)</f>
        <v>-371</v>
      </c>
      <c r="D71" s="918" t="s">
        <v>777</v>
      </c>
      <c r="E71" s="919" t="s">
        <v>778</v>
      </c>
      <c r="F71" s="329">
        <f ca="1">F43</f>
        <v>71986.14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3458</v>
      </c>
      <c r="D75" s="1291"/>
      <c r="E75" s="1291"/>
      <c r="F75" s="1291"/>
      <c r="K75" s="1308"/>
      <c r="L75" s="1291"/>
      <c r="O75" s="1324" t="s">
        <v>409</v>
      </c>
      <c r="P75" s="1325" t="s">
        <v>838</v>
      </c>
      <c r="Q75" s="1326">
        <f ca="1">Q65+Q66</f>
        <v>49552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-0.26</v>
      </c>
    </row>
    <row r="80" spans="1:18">
      <c r="B80" s="330" t="s">
        <v>800</v>
      </c>
      <c r="C80" s="265">
        <f ca="1">ROUND(C75/C39,3)</f>
        <v>1.26</v>
      </c>
    </row>
    <row r="81" spans="2:3">
      <c r="B81" s="261" t="s">
        <v>801</v>
      </c>
      <c r="C81" s="229"/>
    </row>
    <row r="82" spans="2:3">
      <c r="B82" s="264" t="s">
        <v>802</v>
      </c>
      <c r="C82" s="266">
        <f ca="1">1-C83</f>
        <v>3.0000000000000027E-3</v>
      </c>
    </row>
    <row r="83" spans="2:3">
      <c r="B83" s="264" t="s">
        <v>803</v>
      </c>
      <c r="C83" s="265">
        <f ca="1">ROUND(C13/C40,3)</f>
        <v>0.997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11"/>
  <sheetViews>
    <sheetView workbookViewId="0">
      <selection activeCell="U8" sqref="U8"/>
    </sheetView>
  </sheetViews>
  <sheetFormatPr defaultRowHeight="13.5"/>
  <cols>
    <col min="1" max="1" width="23.125" customWidth="1"/>
  </cols>
  <sheetData>
    <row r="1" spans="1:20" ht="14.25">
      <c r="A1" s="3427" t="s">
        <v>3445</v>
      </c>
      <c r="B1" s="3427" t="s">
        <v>3446</v>
      </c>
      <c r="C1" s="3427" t="s">
        <v>3447</v>
      </c>
      <c r="D1" s="3427" t="s">
        <v>3448</v>
      </c>
      <c r="E1" s="3427" t="s">
        <v>3449</v>
      </c>
      <c r="F1" s="3427" t="s">
        <v>3450</v>
      </c>
      <c r="G1" s="3427" t="s">
        <v>3451</v>
      </c>
      <c r="H1" s="3427" t="s">
        <v>3452</v>
      </c>
      <c r="I1" s="3427" t="s">
        <v>3453</v>
      </c>
      <c r="J1" s="3427" t="s">
        <v>3454</v>
      </c>
      <c r="K1" s="3427" t="s">
        <v>3455</v>
      </c>
      <c r="L1" s="3427" t="s">
        <v>3456</v>
      </c>
      <c r="M1" s="3427" t="s">
        <v>3457</v>
      </c>
      <c r="N1" s="3427" t="s">
        <v>3458</v>
      </c>
      <c r="O1" s="3427" t="s">
        <v>3459</v>
      </c>
      <c r="P1" s="3427" t="s">
        <v>3460</v>
      </c>
      <c r="Q1" s="3427" t="s">
        <v>3461</v>
      </c>
      <c r="R1" s="3427" t="s">
        <v>3462</v>
      </c>
      <c r="S1" s="3427" t="s">
        <v>3463</v>
      </c>
      <c r="T1" s="3427" t="s">
        <v>3464</v>
      </c>
    </row>
    <row r="2" spans="1:20" ht="14.25">
      <c r="A2" s="3427" t="s">
        <v>3465</v>
      </c>
      <c r="B2" s="3427" t="s">
        <v>3466</v>
      </c>
      <c r="C2" s="3427" t="s">
        <v>3467</v>
      </c>
      <c r="D2" s="3427" t="s">
        <v>3468</v>
      </c>
      <c r="E2" s="3427">
        <v>3239.1</v>
      </c>
      <c r="F2" s="3427">
        <v>1133.68</v>
      </c>
      <c r="G2" s="3427" t="s">
        <v>3469</v>
      </c>
      <c r="H2" s="3427" t="s">
        <v>3470</v>
      </c>
      <c r="I2" s="3427" t="s">
        <v>3471</v>
      </c>
      <c r="J2" s="3427" t="s">
        <v>3472</v>
      </c>
      <c r="K2" s="3427" t="s">
        <v>3473</v>
      </c>
      <c r="L2" s="3427" t="s">
        <v>3473</v>
      </c>
      <c r="M2" s="3427" t="s">
        <v>3474</v>
      </c>
      <c r="N2" s="3427" t="s">
        <v>3475</v>
      </c>
      <c r="O2" s="3427">
        <v>155</v>
      </c>
      <c r="P2" s="3427">
        <v>16</v>
      </c>
      <c r="Q2" s="3427" t="s">
        <v>3476</v>
      </c>
      <c r="R2" s="3427">
        <v>155</v>
      </c>
      <c r="S2" s="3427">
        <v>1367</v>
      </c>
      <c r="T2" s="3427">
        <v>0</v>
      </c>
    </row>
    <row r="3" spans="1:20" ht="14.25">
      <c r="A3" s="3427" t="s">
        <v>3465</v>
      </c>
      <c r="B3" s="3427" t="s">
        <v>3466</v>
      </c>
      <c r="C3" s="3427" t="s">
        <v>3477</v>
      </c>
      <c r="D3" s="3427" t="s">
        <v>3468</v>
      </c>
      <c r="E3" s="3427">
        <v>2645.6</v>
      </c>
      <c r="F3" s="3427">
        <v>12963.44</v>
      </c>
      <c r="G3" s="3427" t="s">
        <v>3478</v>
      </c>
      <c r="H3" s="3427" t="s">
        <v>3470</v>
      </c>
      <c r="I3" s="3427" t="s">
        <v>3471</v>
      </c>
      <c r="J3" s="3427" t="s">
        <v>3472</v>
      </c>
      <c r="K3" s="3427" t="s">
        <v>3473</v>
      </c>
      <c r="L3" s="3427" t="s">
        <v>3473</v>
      </c>
      <c r="M3" s="3427" t="s">
        <v>3474</v>
      </c>
      <c r="N3" s="3427" t="s">
        <v>3475</v>
      </c>
      <c r="O3" s="3427">
        <v>284</v>
      </c>
      <c r="P3" s="3427">
        <v>29</v>
      </c>
      <c r="Q3" s="3427" t="s">
        <v>3476</v>
      </c>
      <c r="R3" s="3427">
        <v>284</v>
      </c>
      <c r="S3" s="3427">
        <v>219</v>
      </c>
      <c r="T3" s="3427">
        <v>0</v>
      </c>
    </row>
    <row r="4" spans="1:20" ht="14.25">
      <c r="A4" s="3427" t="s">
        <v>3465</v>
      </c>
      <c r="B4" s="3427" t="s">
        <v>3466</v>
      </c>
      <c r="C4" s="3427" t="s">
        <v>3479</v>
      </c>
      <c r="D4" s="3427" t="s">
        <v>3468</v>
      </c>
      <c r="E4" s="3427">
        <v>300</v>
      </c>
      <c r="F4" s="3427">
        <v>900</v>
      </c>
      <c r="G4" s="3427" t="s">
        <v>3480</v>
      </c>
      <c r="H4" s="3427" t="s">
        <v>3470</v>
      </c>
      <c r="I4" s="3427" t="s">
        <v>3471</v>
      </c>
      <c r="J4" s="3427" t="s">
        <v>3472</v>
      </c>
      <c r="K4" s="3427" t="s">
        <v>3473</v>
      </c>
      <c r="L4" s="3427" t="s">
        <v>3473</v>
      </c>
      <c r="M4" s="3427" t="s">
        <v>3474</v>
      </c>
      <c r="N4" s="3427" t="s">
        <v>3475</v>
      </c>
      <c r="O4" s="3427">
        <v>26</v>
      </c>
      <c r="P4" s="3427">
        <v>3</v>
      </c>
      <c r="Q4" s="3427" t="s">
        <v>3476</v>
      </c>
      <c r="R4" s="3427">
        <v>26</v>
      </c>
      <c r="S4" s="3427">
        <v>289</v>
      </c>
      <c r="T4" s="3427">
        <v>0</v>
      </c>
    </row>
    <row r="5" spans="1:20" ht="14.25">
      <c r="A5" s="3427" t="s">
        <v>3465</v>
      </c>
      <c r="B5" s="3427" t="s">
        <v>3466</v>
      </c>
      <c r="C5" s="3427" t="s">
        <v>3481</v>
      </c>
      <c r="D5" s="3427" t="s">
        <v>3468</v>
      </c>
      <c r="E5" s="3427">
        <v>2452.8000000000002</v>
      </c>
      <c r="F5" s="3427">
        <v>10596.1</v>
      </c>
      <c r="G5" s="3427" t="s">
        <v>3482</v>
      </c>
      <c r="H5" s="3427" t="s">
        <v>3470</v>
      </c>
      <c r="I5" s="3427" t="s">
        <v>3471</v>
      </c>
      <c r="J5" s="3427" t="s">
        <v>3472</v>
      </c>
      <c r="K5" s="3427" t="s">
        <v>3473</v>
      </c>
      <c r="L5" s="3427" t="s">
        <v>3473</v>
      </c>
      <c r="M5" s="3427" t="s">
        <v>3474</v>
      </c>
      <c r="N5" s="3427" t="s">
        <v>3475</v>
      </c>
      <c r="O5" s="3427">
        <v>243</v>
      </c>
      <c r="P5" s="3427">
        <v>25</v>
      </c>
      <c r="Q5" s="3427" t="s">
        <v>3476</v>
      </c>
      <c r="R5" s="3427">
        <v>243</v>
      </c>
      <c r="S5" s="3427">
        <v>229</v>
      </c>
      <c r="T5" s="3427">
        <v>0</v>
      </c>
    </row>
    <row r="6" spans="1:20" ht="14.25">
      <c r="A6" s="3427" t="s">
        <v>3465</v>
      </c>
      <c r="B6" s="3427" t="s">
        <v>3466</v>
      </c>
      <c r="C6" s="3427" t="s">
        <v>3483</v>
      </c>
      <c r="D6" s="3427" t="s">
        <v>3468</v>
      </c>
      <c r="E6" s="3427">
        <v>461</v>
      </c>
      <c r="F6" s="3427">
        <v>2074.5</v>
      </c>
      <c r="G6" s="3427" t="s">
        <v>3484</v>
      </c>
      <c r="H6" s="3427" t="s">
        <v>3470</v>
      </c>
      <c r="I6" s="3427" t="s">
        <v>3471</v>
      </c>
      <c r="J6" s="3427" t="s">
        <v>3472</v>
      </c>
      <c r="K6" s="3427" t="s">
        <v>3473</v>
      </c>
      <c r="L6" s="3427" t="s">
        <v>3473</v>
      </c>
      <c r="M6" s="3427" t="s">
        <v>3474</v>
      </c>
      <c r="N6" s="3427" t="s">
        <v>3475</v>
      </c>
      <c r="O6" s="3427">
        <v>48</v>
      </c>
      <c r="P6" s="3427">
        <v>5</v>
      </c>
      <c r="Q6" s="3427" t="s">
        <v>3476</v>
      </c>
      <c r="R6" s="3427">
        <v>48</v>
      </c>
      <c r="S6" s="3427">
        <v>231</v>
      </c>
      <c r="T6" s="3427">
        <v>0</v>
      </c>
    </row>
    <row r="7" spans="1:20" ht="14.25">
      <c r="A7" s="3427" t="s">
        <v>3465</v>
      </c>
      <c r="B7" s="3427" t="s">
        <v>3466</v>
      </c>
      <c r="C7" s="3427" t="s">
        <v>3485</v>
      </c>
      <c r="D7" s="3427" t="s">
        <v>3468</v>
      </c>
      <c r="E7" s="3427">
        <v>1665.1</v>
      </c>
      <c r="F7" s="3427">
        <v>6660.4</v>
      </c>
      <c r="G7" s="3427" t="s">
        <v>3486</v>
      </c>
      <c r="H7" s="3427" t="s">
        <v>3470</v>
      </c>
      <c r="I7" s="3427" t="s">
        <v>3471</v>
      </c>
      <c r="J7" s="3427" t="s">
        <v>3472</v>
      </c>
      <c r="K7" s="3427" t="s">
        <v>3473</v>
      </c>
      <c r="L7" s="3427" t="s">
        <v>3473</v>
      </c>
      <c r="M7" s="3427" t="s">
        <v>3474</v>
      </c>
      <c r="N7" s="3427" t="s">
        <v>3475</v>
      </c>
      <c r="O7" s="3427">
        <v>159</v>
      </c>
      <c r="P7" s="3427">
        <v>16</v>
      </c>
      <c r="Q7" s="3427" t="s">
        <v>3476</v>
      </c>
      <c r="R7" s="3427">
        <v>159</v>
      </c>
      <c r="S7" s="3427">
        <v>239</v>
      </c>
      <c r="T7" s="3427">
        <v>0</v>
      </c>
    </row>
    <row r="8" spans="1:20" ht="14.25">
      <c r="A8" s="3428" t="s">
        <v>3487</v>
      </c>
      <c r="B8" s="3428" t="s">
        <v>3466</v>
      </c>
      <c r="C8" s="3428" t="s">
        <v>3488</v>
      </c>
      <c r="D8" s="3428" t="s">
        <v>3468</v>
      </c>
      <c r="E8" s="3428">
        <v>738.3</v>
      </c>
      <c r="F8" s="3428">
        <v>1107.45</v>
      </c>
      <c r="G8" s="3428" t="s">
        <v>3489</v>
      </c>
      <c r="H8" s="3428" t="s">
        <v>3470</v>
      </c>
      <c r="I8" s="3428" t="s">
        <v>3471</v>
      </c>
      <c r="J8" s="3428" t="s">
        <v>3472</v>
      </c>
      <c r="K8" s="3428" t="s">
        <v>3490</v>
      </c>
      <c r="L8" s="3428" t="s">
        <v>3490</v>
      </c>
      <c r="M8" s="3428" t="s">
        <v>3474</v>
      </c>
      <c r="N8" s="3428" t="s">
        <v>3491</v>
      </c>
      <c r="O8" s="3428">
        <v>190</v>
      </c>
      <c r="P8" s="3428">
        <v>19</v>
      </c>
      <c r="Q8" s="3428" t="s">
        <v>3492</v>
      </c>
      <c r="R8" s="3428">
        <v>190</v>
      </c>
      <c r="S8" s="3428">
        <v>1716</v>
      </c>
      <c r="T8" s="3428">
        <v>0</v>
      </c>
    </row>
    <row r="9" spans="1:20" ht="14.25">
      <c r="A9" s="3428" t="s">
        <v>3493</v>
      </c>
      <c r="B9" s="3428" t="s">
        <v>3466</v>
      </c>
      <c r="C9" s="3428" t="s">
        <v>3494</v>
      </c>
      <c r="D9" s="3428" t="s">
        <v>3468</v>
      </c>
      <c r="E9" s="3428">
        <v>1370.3</v>
      </c>
      <c r="F9" s="3428">
        <v>2055.4499999999998</v>
      </c>
      <c r="G9" s="3428" t="s">
        <v>3489</v>
      </c>
      <c r="H9" s="3428" t="s">
        <v>3470</v>
      </c>
      <c r="I9" s="3428" t="s">
        <v>2440</v>
      </c>
      <c r="J9" s="3428" t="s">
        <v>3472</v>
      </c>
      <c r="K9" s="3428" t="s">
        <v>3495</v>
      </c>
      <c r="L9" s="3428" t="s">
        <v>3495</v>
      </c>
      <c r="M9" s="3428" t="s">
        <v>3474</v>
      </c>
      <c r="N9" s="3428" t="s">
        <v>3496</v>
      </c>
      <c r="O9" s="3428">
        <v>360</v>
      </c>
      <c r="P9" s="3428">
        <v>36</v>
      </c>
      <c r="Q9" s="3428" t="s">
        <v>3497</v>
      </c>
      <c r="R9" s="3428">
        <v>360</v>
      </c>
      <c r="S9" s="3428">
        <v>1751</v>
      </c>
      <c r="T9" s="3428">
        <v>0</v>
      </c>
    </row>
    <row r="10" spans="1:20" ht="14.25">
      <c r="A10" s="3428" t="s">
        <v>3498</v>
      </c>
      <c r="B10" s="3428" t="s">
        <v>3466</v>
      </c>
      <c r="C10" s="3428" t="s">
        <v>3499</v>
      </c>
      <c r="D10" s="3428" t="s">
        <v>3468</v>
      </c>
      <c r="E10" s="3428">
        <v>27199.1</v>
      </c>
      <c r="F10" s="3428">
        <v>65277.84</v>
      </c>
      <c r="G10" s="3428" t="s">
        <v>3500</v>
      </c>
      <c r="H10" s="3428" t="s">
        <v>3470</v>
      </c>
      <c r="I10" s="3428" t="s">
        <v>2440</v>
      </c>
      <c r="J10" s="3428" t="s">
        <v>3472</v>
      </c>
      <c r="K10" s="3428" t="s">
        <v>3501</v>
      </c>
      <c r="L10" s="3428" t="s">
        <v>3501</v>
      </c>
      <c r="M10" s="3428" t="s">
        <v>3474</v>
      </c>
      <c r="N10" s="3428" t="s">
        <v>3502</v>
      </c>
      <c r="O10" s="3428">
        <v>8620</v>
      </c>
      <c r="P10" s="3428">
        <v>865</v>
      </c>
      <c r="Q10" s="3428" t="s">
        <v>3472</v>
      </c>
      <c r="R10" s="3428">
        <v>8620</v>
      </c>
      <c r="S10" s="3428">
        <v>1321</v>
      </c>
      <c r="T10" s="3428">
        <v>0</v>
      </c>
    </row>
    <row r="11" spans="1:20" ht="14.25">
      <c r="A11" s="3427" t="s">
        <v>3503</v>
      </c>
      <c r="B11" s="3427" t="s">
        <v>3466</v>
      </c>
      <c r="C11" s="3427" t="s">
        <v>3504</v>
      </c>
      <c r="D11" s="3427" t="s">
        <v>3468</v>
      </c>
      <c r="E11" s="3427">
        <v>3412</v>
      </c>
      <c r="F11" s="3427">
        <v>3412</v>
      </c>
      <c r="G11" s="3427" t="s">
        <v>3505</v>
      </c>
      <c r="H11" s="3427" t="s">
        <v>3470</v>
      </c>
      <c r="I11" s="3427" t="s">
        <v>2434</v>
      </c>
      <c r="J11" s="3427" t="s">
        <v>3472</v>
      </c>
      <c r="K11" s="3427" t="s">
        <v>3506</v>
      </c>
      <c r="L11" s="3427" t="s">
        <v>3506</v>
      </c>
      <c r="M11" s="3427" t="s">
        <v>3474</v>
      </c>
      <c r="N11" s="3427" t="s">
        <v>3507</v>
      </c>
      <c r="O11" s="3427">
        <v>260</v>
      </c>
      <c r="P11" s="3427">
        <v>26</v>
      </c>
      <c r="Q11" s="3427" t="s">
        <v>3508</v>
      </c>
      <c r="R11" s="3427">
        <v>260</v>
      </c>
      <c r="S11" s="3427">
        <v>762</v>
      </c>
      <c r="T11" s="3427">
        <v>0</v>
      </c>
    </row>
  </sheetData>
  <mergeCells count="220">
    <mergeCell ref="S11"/>
    <mergeCell ref="T11"/>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86"/>
  <sheetViews>
    <sheetView view="pageBreakPreview" topLeftCell="A163" zoomScaleNormal="100" workbookViewId="0">
      <selection activeCell="M191" sqref="M191"/>
    </sheetView>
  </sheetViews>
  <sheetFormatPr defaultColWidth="9" defaultRowHeight="14.25"/>
  <cols>
    <col min="1" max="2" width="5.625" style="3165" customWidth="1"/>
    <col min="3" max="3" width="15.25" style="3165" customWidth="1"/>
    <col min="4" max="4" width="24.25" style="3184" customWidth="1"/>
    <col min="5" max="5" width="18.25" style="3165" customWidth="1"/>
    <col min="6" max="6" width="10.375" style="3165" customWidth="1"/>
    <col min="7" max="7" width="9.875" style="3165" customWidth="1"/>
    <col min="8" max="9" width="11.875" style="3165" customWidth="1"/>
    <col min="10" max="10" width="9" style="3165"/>
    <col min="11" max="11" width="11.625" style="3165" bestFit="1" customWidth="1"/>
    <col min="12" max="256" width="9" style="3165"/>
    <col min="257" max="258" width="5.625" style="3165" customWidth="1"/>
    <col min="259" max="259" width="15.25" style="3165" customWidth="1"/>
    <col min="260" max="260" width="24.25" style="3165" customWidth="1"/>
    <col min="261" max="261" width="18.25" style="3165" customWidth="1"/>
    <col min="262" max="262" width="10.375" style="3165" customWidth="1"/>
    <col min="263" max="263" width="9.875" style="3165" customWidth="1"/>
    <col min="264" max="265" width="11.875" style="3165" customWidth="1"/>
    <col min="266" max="512" width="9" style="3165"/>
    <col min="513" max="514" width="5.625" style="3165" customWidth="1"/>
    <col min="515" max="515" width="15.25" style="3165" customWidth="1"/>
    <col min="516" max="516" width="24.25" style="3165" customWidth="1"/>
    <col min="517" max="517" width="18.25" style="3165" customWidth="1"/>
    <col min="518" max="518" width="10.375" style="3165" customWidth="1"/>
    <col min="519" max="519" width="9.875" style="3165" customWidth="1"/>
    <col min="520" max="521" width="11.875" style="3165" customWidth="1"/>
    <col min="522" max="768" width="9" style="3165"/>
    <col min="769" max="770" width="5.625" style="3165" customWidth="1"/>
    <col min="771" max="771" width="15.25" style="3165" customWidth="1"/>
    <col min="772" max="772" width="24.25" style="3165" customWidth="1"/>
    <col min="773" max="773" width="18.25" style="3165" customWidth="1"/>
    <col min="774" max="774" width="10.375" style="3165" customWidth="1"/>
    <col min="775" max="775" width="9.875" style="3165" customWidth="1"/>
    <col min="776" max="777" width="11.875" style="3165" customWidth="1"/>
    <col min="778" max="1024" width="9" style="3165"/>
    <col min="1025" max="1026" width="5.625" style="3165" customWidth="1"/>
    <col min="1027" max="1027" width="15.25" style="3165" customWidth="1"/>
    <col min="1028" max="1028" width="24.25" style="3165" customWidth="1"/>
    <col min="1029" max="1029" width="18.25" style="3165" customWidth="1"/>
    <col min="1030" max="1030" width="10.375" style="3165" customWidth="1"/>
    <col min="1031" max="1031" width="9.875" style="3165" customWidth="1"/>
    <col min="1032" max="1033" width="11.875" style="3165" customWidth="1"/>
    <col min="1034" max="1280" width="9" style="3165"/>
    <col min="1281" max="1282" width="5.625" style="3165" customWidth="1"/>
    <col min="1283" max="1283" width="15.25" style="3165" customWidth="1"/>
    <col min="1284" max="1284" width="24.25" style="3165" customWidth="1"/>
    <col min="1285" max="1285" width="18.25" style="3165" customWidth="1"/>
    <col min="1286" max="1286" width="10.375" style="3165" customWidth="1"/>
    <col min="1287" max="1287" width="9.875" style="3165" customWidth="1"/>
    <col min="1288" max="1289" width="11.875" style="3165" customWidth="1"/>
    <col min="1290" max="1536" width="9" style="3165"/>
    <col min="1537" max="1538" width="5.625" style="3165" customWidth="1"/>
    <col min="1539" max="1539" width="15.25" style="3165" customWidth="1"/>
    <col min="1540" max="1540" width="24.25" style="3165" customWidth="1"/>
    <col min="1541" max="1541" width="18.25" style="3165" customWidth="1"/>
    <col min="1542" max="1542" width="10.375" style="3165" customWidth="1"/>
    <col min="1543" max="1543" width="9.875" style="3165" customWidth="1"/>
    <col min="1544" max="1545" width="11.875" style="3165" customWidth="1"/>
    <col min="1546" max="1792" width="9" style="3165"/>
    <col min="1793" max="1794" width="5.625" style="3165" customWidth="1"/>
    <col min="1795" max="1795" width="15.25" style="3165" customWidth="1"/>
    <col min="1796" max="1796" width="24.25" style="3165" customWidth="1"/>
    <col min="1797" max="1797" width="18.25" style="3165" customWidth="1"/>
    <col min="1798" max="1798" width="10.375" style="3165" customWidth="1"/>
    <col min="1799" max="1799" width="9.875" style="3165" customWidth="1"/>
    <col min="1800" max="1801" width="11.875" style="3165" customWidth="1"/>
    <col min="1802" max="2048" width="9" style="3165"/>
    <col min="2049" max="2050" width="5.625" style="3165" customWidth="1"/>
    <col min="2051" max="2051" width="15.25" style="3165" customWidth="1"/>
    <col min="2052" max="2052" width="24.25" style="3165" customWidth="1"/>
    <col min="2053" max="2053" width="18.25" style="3165" customWidth="1"/>
    <col min="2054" max="2054" width="10.375" style="3165" customWidth="1"/>
    <col min="2055" max="2055" width="9.875" style="3165" customWidth="1"/>
    <col min="2056" max="2057" width="11.875" style="3165" customWidth="1"/>
    <col min="2058" max="2304" width="9" style="3165"/>
    <col min="2305" max="2306" width="5.625" style="3165" customWidth="1"/>
    <col min="2307" max="2307" width="15.25" style="3165" customWidth="1"/>
    <col min="2308" max="2308" width="24.25" style="3165" customWidth="1"/>
    <col min="2309" max="2309" width="18.25" style="3165" customWidth="1"/>
    <col min="2310" max="2310" width="10.375" style="3165" customWidth="1"/>
    <col min="2311" max="2311" width="9.875" style="3165" customWidth="1"/>
    <col min="2312" max="2313" width="11.875" style="3165" customWidth="1"/>
    <col min="2314" max="2560" width="9" style="3165"/>
    <col min="2561" max="2562" width="5.625" style="3165" customWidth="1"/>
    <col min="2563" max="2563" width="15.25" style="3165" customWidth="1"/>
    <col min="2564" max="2564" width="24.25" style="3165" customWidth="1"/>
    <col min="2565" max="2565" width="18.25" style="3165" customWidth="1"/>
    <col min="2566" max="2566" width="10.375" style="3165" customWidth="1"/>
    <col min="2567" max="2567" width="9.875" style="3165" customWidth="1"/>
    <col min="2568" max="2569" width="11.875" style="3165" customWidth="1"/>
    <col min="2570" max="2816" width="9" style="3165"/>
    <col min="2817" max="2818" width="5.625" style="3165" customWidth="1"/>
    <col min="2819" max="2819" width="15.25" style="3165" customWidth="1"/>
    <col min="2820" max="2820" width="24.25" style="3165" customWidth="1"/>
    <col min="2821" max="2821" width="18.25" style="3165" customWidth="1"/>
    <col min="2822" max="2822" width="10.375" style="3165" customWidth="1"/>
    <col min="2823" max="2823" width="9.875" style="3165" customWidth="1"/>
    <col min="2824" max="2825" width="11.875" style="3165" customWidth="1"/>
    <col min="2826" max="3072" width="9" style="3165"/>
    <col min="3073" max="3074" width="5.625" style="3165" customWidth="1"/>
    <col min="3075" max="3075" width="15.25" style="3165" customWidth="1"/>
    <col min="3076" max="3076" width="24.25" style="3165" customWidth="1"/>
    <col min="3077" max="3077" width="18.25" style="3165" customWidth="1"/>
    <col min="3078" max="3078" width="10.375" style="3165" customWidth="1"/>
    <col min="3079" max="3079" width="9.875" style="3165" customWidth="1"/>
    <col min="3080" max="3081" width="11.875" style="3165" customWidth="1"/>
    <col min="3082" max="3328" width="9" style="3165"/>
    <col min="3329" max="3330" width="5.625" style="3165" customWidth="1"/>
    <col min="3331" max="3331" width="15.25" style="3165" customWidth="1"/>
    <col min="3332" max="3332" width="24.25" style="3165" customWidth="1"/>
    <col min="3333" max="3333" width="18.25" style="3165" customWidth="1"/>
    <col min="3334" max="3334" width="10.375" style="3165" customWidth="1"/>
    <col min="3335" max="3335" width="9.875" style="3165" customWidth="1"/>
    <col min="3336" max="3337" width="11.875" style="3165" customWidth="1"/>
    <col min="3338" max="3584" width="9" style="3165"/>
    <col min="3585" max="3586" width="5.625" style="3165" customWidth="1"/>
    <col min="3587" max="3587" width="15.25" style="3165" customWidth="1"/>
    <col min="3588" max="3588" width="24.25" style="3165" customWidth="1"/>
    <col min="3589" max="3589" width="18.25" style="3165" customWidth="1"/>
    <col min="3590" max="3590" width="10.375" style="3165" customWidth="1"/>
    <col min="3591" max="3591" width="9.875" style="3165" customWidth="1"/>
    <col min="3592" max="3593" width="11.875" style="3165" customWidth="1"/>
    <col min="3594" max="3840" width="9" style="3165"/>
    <col min="3841" max="3842" width="5.625" style="3165" customWidth="1"/>
    <col min="3843" max="3843" width="15.25" style="3165" customWidth="1"/>
    <col min="3844" max="3844" width="24.25" style="3165" customWidth="1"/>
    <col min="3845" max="3845" width="18.25" style="3165" customWidth="1"/>
    <col min="3846" max="3846" width="10.375" style="3165" customWidth="1"/>
    <col min="3847" max="3847" width="9.875" style="3165" customWidth="1"/>
    <col min="3848" max="3849" width="11.875" style="3165" customWidth="1"/>
    <col min="3850" max="4096" width="9" style="3165"/>
    <col min="4097" max="4098" width="5.625" style="3165" customWidth="1"/>
    <col min="4099" max="4099" width="15.25" style="3165" customWidth="1"/>
    <col min="4100" max="4100" width="24.25" style="3165" customWidth="1"/>
    <col min="4101" max="4101" width="18.25" style="3165" customWidth="1"/>
    <col min="4102" max="4102" width="10.375" style="3165" customWidth="1"/>
    <col min="4103" max="4103" width="9.875" style="3165" customWidth="1"/>
    <col min="4104" max="4105" width="11.875" style="3165" customWidth="1"/>
    <col min="4106" max="4352" width="9" style="3165"/>
    <col min="4353" max="4354" width="5.625" style="3165" customWidth="1"/>
    <col min="4355" max="4355" width="15.25" style="3165" customWidth="1"/>
    <col min="4356" max="4356" width="24.25" style="3165" customWidth="1"/>
    <col min="4357" max="4357" width="18.25" style="3165" customWidth="1"/>
    <col min="4358" max="4358" width="10.375" style="3165" customWidth="1"/>
    <col min="4359" max="4359" width="9.875" style="3165" customWidth="1"/>
    <col min="4360" max="4361" width="11.875" style="3165" customWidth="1"/>
    <col min="4362" max="4608" width="9" style="3165"/>
    <col min="4609" max="4610" width="5.625" style="3165" customWidth="1"/>
    <col min="4611" max="4611" width="15.25" style="3165" customWidth="1"/>
    <col min="4612" max="4612" width="24.25" style="3165" customWidth="1"/>
    <col min="4613" max="4613" width="18.25" style="3165" customWidth="1"/>
    <col min="4614" max="4614" width="10.375" style="3165" customWidth="1"/>
    <col min="4615" max="4615" width="9.875" style="3165" customWidth="1"/>
    <col min="4616" max="4617" width="11.875" style="3165" customWidth="1"/>
    <col min="4618" max="4864" width="9" style="3165"/>
    <col min="4865" max="4866" width="5.625" style="3165" customWidth="1"/>
    <col min="4867" max="4867" width="15.25" style="3165" customWidth="1"/>
    <col min="4868" max="4868" width="24.25" style="3165" customWidth="1"/>
    <col min="4869" max="4869" width="18.25" style="3165" customWidth="1"/>
    <col min="4870" max="4870" width="10.375" style="3165" customWidth="1"/>
    <col min="4871" max="4871" width="9.875" style="3165" customWidth="1"/>
    <col min="4872" max="4873" width="11.875" style="3165" customWidth="1"/>
    <col min="4874" max="5120" width="9" style="3165"/>
    <col min="5121" max="5122" width="5.625" style="3165" customWidth="1"/>
    <col min="5123" max="5123" width="15.25" style="3165" customWidth="1"/>
    <col min="5124" max="5124" width="24.25" style="3165" customWidth="1"/>
    <col min="5125" max="5125" width="18.25" style="3165" customWidth="1"/>
    <col min="5126" max="5126" width="10.375" style="3165" customWidth="1"/>
    <col min="5127" max="5127" width="9.875" style="3165" customWidth="1"/>
    <col min="5128" max="5129" width="11.875" style="3165" customWidth="1"/>
    <col min="5130" max="5376" width="9" style="3165"/>
    <col min="5377" max="5378" width="5.625" style="3165" customWidth="1"/>
    <col min="5379" max="5379" width="15.25" style="3165" customWidth="1"/>
    <col min="5380" max="5380" width="24.25" style="3165" customWidth="1"/>
    <col min="5381" max="5381" width="18.25" style="3165" customWidth="1"/>
    <col min="5382" max="5382" width="10.375" style="3165" customWidth="1"/>
    <col min="5383" max="5383" width="9.875" style="3165" customWidth="1"/>
    <col min="5384" max="5385" width="11.875" style="3165" customWidth="1"/>
    <col min="5386" max="5632" width="9" style="3165"/>
    <col min="5633" max="5634" width="5.625" style="3165" customWidth="1"/>
    <col min="5635" max="5635" width="15.25" style="3165" customWidth="1"/>
    <col min="5636" max="5636" width="24.25" style="3165" customWidth="1"/>
    <col min="5637" max="5637" width="18.25" style="3165" customWidth="1"/>
    <col min="5638" max="5638" width="10.375" style="3165" customWidth="1"/>
    <col min="5639" max="5639" width="9.875" style="3165" customWidth="1"/>
    <col min="5640" max="5641" width="11.875" style="3165" customWidth="1"/>
    <col min="5642" max="5888" width="9" style="3165"/>
    <col min="5889" max="5890" width="5.625" style="3165" customWidth="1"/>
    <col min="5891" max="5891" width="15.25" style="3165" customWidth="1"/>
    <col min="5892" max="5892" width="24.25" style="3165" customWidth="1"/>
    <col min="5893" max="5893" width="18.25" style="3165" customWidth="1"/>
    <col min="5894" max="5894" width="10.375" style="3165" customWidth="1"/>
    <col min="5895" max="5895" width="9.875" style="3165" customWidth="1"/>
    <col min="5896" max="5897" width="11.875" style="3165" customWidth="1"/>
    <col min="5898" max="6144" width="9" style="3165"/>
    <col min="6145" max="6146" width="5.625" style="3165" customWidth="1"/>
    <col min="6147" max="6147" width="15.25" style="3165" customWidth="1"/>
    <col min="6148" max="6148" width="24.25" style="3165" customWidth="1"/>
    <col min="6149" max="6149" width="18.25" style="3165" customWidth="1"/>
    <col min="6150" max="6150" width="10.375" style="3165" customWidth="1"/>
    <col min="6151" max="6151" width="9.875" style="3165" customWidth="1"/>
    <col min="6152" max="6153" width="11.875" style="3165" customWidth="1"/>
    <col min="6154" max="6400" width="9" style="3165"/>
    <col min="6401" max="6402" width="5.625" style="3165" customWidth="1"/>
    <col min="6403" max="6403" width="15.25" style="3165" customWidth="1"/>
    <col min="6404" max="6404" width="24.25" style="3165" customWidth="1"/>
    <col min="6405" max="6405" width="18.25" style="3165" customWidth="1"/>
    <col min="6406" max="6406" width="10.375" style="3165" customWidth="1"/>
    <col min="6407" max="6407" width="9.875" style="3165" customWidth="1"/>
    <col min="6408" max="6409" width="11.875" style="3165" customWidth="1"/>
    <col min="6410" max="6656" width="9" style="3165"/>
    <col min="6657" max="6658" width="5.625" style="3165" customWidth="1"/>
    <col min="6659" max="6659" width="15.25" style="3165" customWidth="1"/>
    <col min="6660" max="6660" width="24.25" style="3165" customWidth="1"/>
    <col min="6661" max="6661" width="18.25" style="3165" customWidth="1"/>
    <col min="6662" max="6662" width="10.375" style="3165" customWidth="1"/>
    <col min="6663" max="6663" width="9.875" style="3165" customWidth="1"/>
    <col min="6664" max="6665" width="11.875" style="3165" customWidth="1"/>
    <col min="6666" max="6912" width="9" style="3165"/>
    <col min="6913" max="6914" width="5.625" style="3165" customWidth="1"/>
    <col min="6915" max="6915" width="15.25" style="3165" customWidth="1"/>
    <col min="6916" max="6916" width="24.25" style="3165" customWidth="1"/>
    <col min="6917" max="6917" width="18.25" style="3165" customWidth="1"/>
    <col min="6918" max="6918" width="10.375" style="3165" customWidth="1"/>
    <col min="6919" max="6919" width="9.875" style="3165" customWidth="1"/>
    <col min="6920" max="6921" width="11.875" style="3165" customWidth="1"/>
    <col min="6922" max="7168" width="9" style="3165"/>
    <col min="7169" max="7170" width="5.625" style="3165" customWidth="1"/>
    <col min="7171" max="7171" width="15.25" style="3165" customWidth="1"/>
    <col min="7172" max="7172" width="24.25" style="3165" customWidth="1"/>
    <col min="7173" max="7173" width="18.25" style="3165" customWidth="1"/>
    <col min="7174" max="7174" width="10.375" style="3165" customWidth="1"/>
    <col min="7175" max="7175" width="9.875" style="3165" customWidth="1"/>
    <col min="7176" max="7177" width="11.875" style="3165" customWidth="1"/>
    <col min="7178" max="7424" width="9" style="3165"/>
    <col min="7425" max="7426" width="5.625" style="3165" customWidth="1"/>
    <col min="7427" max="7427" width="15.25" style="3165" customWidth="1"/>
    <col min="7428" max="7428" width="24.25" style="3165" customWidth="1"/>
    <col min="7429" max="7429" width="18.25" style="3165" customWidth="1"/>
    <col min="7430" max="7430" width="10.375" style="3165" customWidth="1"/>
    <col min="7431" max="7431" width="9.875" style="3165" customWidth="1"/>
    <col min="7432" max="7433" width="11.875" style="3165" customWidth="1"/>
    <col min="7434" max="7680" width="9" style="3165"/>
    <col min="7681" max="7682" width="5.625" style="3165" customWidth="1"/>
    <col min="7683" max="7683" width="15.25" style="3165" customWidth="1"/>
    <col min="7684" max="7684" width="24.25" style="3165" customWidth="1"/>
    <col min="7685" max="7685" width="18.25" style="3165" customWidth="1"/>
    <col min="7686" max="7686" width="10.375" style="3165" customWidth="1"/>
    <col min="7687" max="7687" width="9.875" style="3165" customWidth="1"/>
    <col min="7688" max="7689" width="11.875" style="3165" customWidth="1"/>
    <col min="7690" max="7936" width="9" style="3165"/>
    <col min="7937" max="7938" width="5.625" style="3165" customWidth="1"/>
    <col min="7939" max="7939" width="15.25" style="3165" customWidth="1"/>
    <col min="7940" max="7940" width="24.25" style="3165" customWidth="1"/>
    <col min="7941" max="7941" width="18.25" style="3165" customWidth="1"/>
    <col min="7942" max="7942" width="10.375" style="3165" customWidth="1"/>
    <col min="7943" max="7943" width="9.875" style="3165" customWidth="1"/>
    <col min="7944" max="7945" width="11.875" style="3165" customWidth="1"/>
    <col min="7946" max="8192" width="9" style="3165"/>
    <col min="8193" max="8194" width="5.625" style="3165" customWidth="1"/>
    <col min="8195" max="8195" width="15.25" style="3165" customWidth="1"/>
    <col min="8196" max="8196" width="24.25" style="3165" customWidth="1"/>
    <col min="8197" max="8197" width="18.25" style="3165" customWidth="1"/>
    <col min="8198" max="8198" width="10.375" style="3165" customWidth="1"/>
    <col min="8199" max="8199" width="9.875" style="3165" customWidth="1"/>
    <col min="8200" max="8201" width="11.875" style="3165" customWidth="1"/>
    <col min="8202" max="8448" width="9" style="3165"/>
    <col min="8449" max="8450" width="5.625" style="3165" customWidth="1"/>
    <col min="8451" max="8451" width="15.25" style="3165" customWidth="1"/>
    <col min="8452" max="8452" width="24.25" style="3165" customWidth="1"/>
    <col min="8453" max="8453" width="18.25" style="3165" customWidth="1"/>
    <col min="8454" max="8454" width="10.375" style="3165" customWidth="1"/>
    <col min="8455" max="8455" width="9.875" style="3165" customWidth="1"/>
    <col min="8456" max="8457" width="11.875" style="3165" customWidth="1"/>
    <col min="8458" max="8704" width="9" style="3165"/>
    <col min="8705" max="8706" width="5.625" style="3165" customWidth="1"/>
    <col min="8707" max="8707" width="15.25" style="3165" customWidth="1"/>
    <col min="8708" max="8708" width="24.25" style="3165" customWidth="1"/>
    <col min="8709" max="8709" width="18.25" style="3165" customWidth="1"/>
    <col min="8710" max="8710" width="10.375" style="3165" customWidth="1"/>
    <col min="8711" max="8711" width="9.875" style="3165" customWidth="1"/>
    <col min="8712" max="8713" width="11.875" style="3165" customWidth="1"/>
    <col min="8714" max="8960" width="9" style="3165"/>
    <col min="8961" max="8962" width="5.625" style="3165" customWidth="1"/>
    <col min="8963" max="8963" width="15.25" style="3165" customWidth="1"/>
    <col min="8964" max="8964" width="24.25" style="3165" customWidth="1"/>
    <col min="8965" max="8965" width="18.25" style="3165" customWidth="1"/>
    <col min="8966" max="8966" width="10.375" style="3165" customWidth="1"/>
    <col min="8967" max="8967" width="9.875" style="3165" customWidth="1"/>
    <col min="8968" max="8969" width="11.875" style="3165" customWidth="1"/>
    <col min="8970" max="9216" width="9" style="3165"/>
    <col min="9217" max="9218" width="5.625" style="3165" customWidth="1"/>
    <col min="9219" max="9219" width="15.25" style="3165" customWidth="1"/>
    <col min="9220" max="9220" width="24.25" style="3165" customWidth="1"/>
    <col min="9221" max="9221" width="18.25" style="3165" customWidth="1"/>
    <col min="9222" max="9222" width="10.375" style="3165" customWidth="1"/>
    <col min="9223" max="9223" width="9.875" style="3165" customWidth="1"/>
    <col min="9224" max="9225" width="11.875" style="3165" customWidth="1"/>
    <col min="9226" max="9472" width="9" style="3165"/>
    <col min="9473" max="9474" width="5.625" style="3165" customWidth="1"/>
    <col min="9475" max="9475" width="15.25" style="3165" customWidth="1"/>
    <col min="9476" max="9476" width="24.25" style="3165" customWidth="1"/>
    <col min="9477" max="9477" width="18.25" style="3165" customWidth="1"/>
    <col min="9478" max="9478" width="10.375" style="3165" customWidth="1"/>
    <col min="9479" max="9479" width="9.875" style="3165" customWidth="1"/>
    <col min="9480" max="9481" width="11.875" style="3165" customWidth="1"/>
    <col min="9482" max="9728" width="9" style="3165"/>
    <col min="9729" max="9730" width="5.625" style="3165" customWidth="1"/>
    <col min="9731" max="9731" width="15.25" style="3165" customWidth="1"/>
    <col min="9732" max="9732" width="24.25" style="3165" customWidth="1"/>
    <col min="9733" max="9733" width="18.25" style="3165" customWidth="1"/>
    <col min="9734" max="9734" width="10.375" style="3165" customWidth="1"/>
    <col min="9735" max="9735" width="9.875" style="3165" customWidth="1"/>
    <col min="9736" max="9737" width="11.875" style="3165" customWidth="1"/>
    <col min="9738" max="9984" width="9" style="3165"/>
    <col min="9985" max="9986" width="5.625" style="3165" customWidth="1"/>
    <col min="9987" max="9987" width="15.25" style="3165" customWidth="1"/>
    <col min="9988" max="9988" width="24.25" style="3165" customWidth="1"/>
    <col min="9989" max="9989" width="18.25" style="3165" customWidth="1"/>
    <col min="9990" max="9990" width="10.375" style="3165" customWidth="1"/>
    <col min="9991" max="9991" width="9.875" style="3165" customWidth="1"/>
    <col min="9992" max="9993" width="11.875" style="3165" customWidth="1"/>
    <col min="9994" max="10240" width="9" style="3165"/>
    <col min="10241" max="10242" width="5.625" style="3165" customWidth="1"/>
    <col min="10243" max="10243" width="15.25" style="3165" customWidth="1"/>
    <col min="10244" max="10244" width="24.25" style="3165" customWidth="1"/>
    <col min="10245" max="10245" width="18.25" style="3165" customWidth="1"/>
    <col min="10246" max="10246" width="10.375" style="3165" customWidth="1"/>
    <col min="10247" max="10247" width="9.875" style="3165" customWidth="1"/>
    <col min="10248" max="10249" width="11.875" style="3165" customWidth="1"/>
    <col min="10250" max="10496" width="9" style="3165"/>
    <col min="10497" max="10498" width="5.625" style="3165" customWidth="1"/>
    <col min="10499" max="10499" width="15.25" style="3165" customWidth="1"/>
    <col min="10500" max="10500" width="24.25" style="3165" customWidth="1"/>
    <col min="10501" max="10501" width="18.25" style="3165" customWidth="1"/>
    <col min="10502" max="10502" width="10.375" style="3165" customWidth="1"/>
    <col min="10503" max="10503" width="9.875" style="3165" customWidth="1"/>
    <col min="10504" max="10505" width="11.875" style="3165" customWidth="1"/>
    <col min="10506" max="10752" width="9" style="3165"/>
    <col min="10753" max="10754" width="5.625" style="3165" customWidth="1"/>
    <col min="10755" max="10755" width="15.25" style="3165" customWidth="1"/>
    <col min="10756" max="10756" width="24.25" style="3165" customWidth="1"/>
    <col min="10757" max="10757" width="18.25" style="3165" customWidth="1"/>
    <col min="10758" max="10758" width="10.375" style="3165" customWidth="1"/>
    <col min="10759" max="10759" width="9.875" style="3165" customWidth="1"/>
    <col min="10760" max="10761" width="11.875" style="3165" customWidth="1"/>
    <col min="10762" max="11008" width="9" style="3165"/>
    <col min="11009" max="11010" width="5.625" style="3165" customWidth="1"/>
    <col min="11011" max="11011" width="15.25" style="3165" customWidth="1"/>
    <col min="11012" max="11012" width="24.25" style="3165" customWidth="1"/>
    <col min="11013" max="11013" width="18.25" style="3165" customWidth="1"/>
    <col min="11014" max="11014" width="10.375" style="3165" customWidth="1"/>
    <col min="11015" max="11015" width="9.875" style="3165" customWidth="1"/>
    <col min="11016" max="11017" width="11.875" style="3165" customWidth="1"/>
    <col min="11018" max="11264" width="9" style="3165"/>
    <col min="11265" max="11266" width="5.625" style="3165" customWidth="1"/>
    <col min="11267" max="11267" width="15.25" style="3165" customWidth="1"/>
    <col min="11268" max="11268" width="24.25" style="3165" customWidth="1"/>
    <col min="11269" max="11269" width="18.25" style="3165" customWidth="1"/>
    <col min="11270" max="11270" width="10.375" style="3165" customWidth="1"/>
    <col min="11271" max="11271" width="9.875" style="3165" customWidth="1"/>
    <col min="11272" max="11273" width="11.875" style="3165" customWidth="1"/>
    <col min="11274" max="11520" width="9" style="3165"/>
    <col min="11521" max="11522" width="5.625" style="3165" customWidth="1"/>
    <col min="11523" max="11523" width="15.25" style="3165" customWidth="1"/>
    <col min="11524" max="11524" width="24.25" style="3165" customWidth="1"/>
    <col min="11525" max="11525" width="18.25" style="3165" customWidth="1"/>
    <col min="11526" max="11526" width="10.375" style="3165" customWidth="1"/>
    <col min="11527" max="11527" width="9.875" style="3165" customWidth="1"/>
    <col min="11528" max="11529" width="11.875" style="3165" customWidth="1"/>
    <col min="11530" max="11776" width="9" style="3165"/>
    <col min="11777" max="11778" width="5.625" style="3165" customWidth="1"/>
    <col min="11779" max="11779" width="15.25" style="3165" customWidth="1"/>
    <col min="11780" max="11780" width="24.25" style="3165" customWidth="1"/>
    <col min="11781" max="11781" width="18.25" style="3165" customWidth="1"/>
    <col min="11782" max="11782" width="10.375" style="3165" customWidth="1"/>
    <col min="11783" max="11783" width="9.875" style="3165" customWidth="1"/>
    <col min="11784" max="11785" width="11.875" style="3165" customWidth="1"/>
    <col min="11786" max="12032" width="9" style="3165"/>
    <col min="12033" max="12034" width="5.625" style="3165" customWidth="1"/>
    <col min="12035" max="12035" width="15.25" style="3165" customWidth="1"/>
    <col min="12036" max="12036" width="24.25" style="3165" customWidth="1"/>
    <col min="12037" max="12037" width="18.25" style="3165" customWidth="1"/>
    <col min="12038" max="12038" width="10.375" style="3165" customWidth="1"/>
    <col min="12039" max="12039" width="9.875" style="3165" customWidth="1"/>
    <col min="12040" max="12041" width="11.875" style="3165" customWidth="1"/>
    <col min="12042" max="12288" width="9" style="3165"/>
    <col min="12289" max="12290" width="5.625" style="3165" customWidth="1"/>
    <col min="12291" max="12291" width="15.25" style="3165" customWidth="1"/>
    <col min="12292" max="12292" width="24.25" style="3165" customWidth="1"/>
    <col min="12293" max="12293" width="18.25" style="3165" customWidth="1"/>
    <col min="12294" max="12294" width="10.375" style="3165" customWidth="1"/>
    <col min="12295" max="12295" width="9.875" style="3165" customWidth="1"/>
    <col min="12296" max="12297" width="11.875" style="3165" customWidth="1"/>
    <col min="12298" max="12544" width="9" style="3165"/>
    <col min="12545" max="12546" width="5.625" style="3165" customWidth="1"/>
    <col min="12547" max="12547" width="15.25" style="3165" customWidth="1"/>
    <col min="12548" max="12548" width="24.25" style="3165" customWidth="1"/>
    <col min="12549" max="12549" width="18.25" style="3165" customWidth="1"/>
    <col min="12550" max="12550" width="10.375" style="3165" customWidth="1"/>
    <col min="12551" max="12551" width="9.875" style="3165" customWidth="1"/>
    <col min="12552" max="12553" width="11.875" style="3165" customWidth="1"/>
    <col min="12554" max="12800" width="9" style="3165"/>
    <col min="12801" max="12802" width="5.625" style="3165" customWidth="1"/>
    <col min="12803" max="12803" width="15.25" style="3165" customWidth="1"/>
    <col min="12804" max="12804" width="24.25" style="3165" customWidth="1"/>
    <col min="12805" max="12805" width="18.25" style="3165" customWidth="1"/>
    <col min="12806" max="12806" width="10.375" style="3165" customWidth="1"/>
    <col min="12807" max="12807" width="9.875" style="3165" customWidth="1"/>
    <col min="12808" max="12809" width="11.875" style="3165" customWidth="1"/>
    <col min="12810" max="13056" width="9" style="3165"/>
    <col min="13057" max="13058" width="5.625" style="3165" customWidth="1"/>
    <col min="13059" max="13059" width="15.25" style="3165" customWidth="1"/>
    <col min="13060" max="13060" width="24.25" style="3165" customWidth="1"/>
    <col min="13061" max="13061" width="18.25" style="3165" customWidth="1"/>
    <col min="13062" max="13062" width="10.375" style="3165" customWidth="1"/>
    <col min="13063" max="13063" width="9.875" style="3165" customWidth="1"/>
    <col min="13064" max="13065" width="11.875" style="3165" customWidth="1"/>
    <col min="13066" max="13312" width="9" style="3165"/>
    <col min="13313" max="13314" width="5.625" style="3165" customWidth="1"/>
    <col min="13315" max="13315" width="15.25" style="3165" customWidth="1"/>
    <col min="13316" max="13316" width="24.25" style="3165" customWidth="1"/>
    <col min="13317" max="13317" width="18.25" style="3165" customWidth="1"/>
    <col min="13318" max="13318" width="10.375" style="3165" customWidth="1"/>
    <col min="13319" max="13319" width="9.875" style="3165" customWidth="1"/>
    <col min="13320" max="13321" width="11.875" style="3165" customWidth="1"/>
    <col min="13322" max="13568" width="9" style="3165"/>
    <col min="13569" max="13570" width="5.625" style="3165" customWidth="1"/>
    <col min="13571" max="13571" width="15.25" style="3165" customWidth="1"/>
    <col min="13572" max="13572" width="24.25" style="3165" customWidth="1"/>
    <col min="13573" max="13573" width="18.25" style="3165" customWidth="1"/>
    <col min="13574" max="13574" width="10.375" style="3165" customWidth="1"/>
    <col min="13575" max="13575" width="9.875" style="3165" customWidth="1"/>
    <col min="13576" max="13577" width="11.875" style="3165" customWidth="1"/>
    <col min="13578" max="13824" width="9" style="3165"/>
    <col min="13825" max="13826" width="5.625" style="3165" customWidth="1"/>
    <col min="13827" max="13827" width="15.25" style="3165" customWidth="1"/>
    <col min="13828" max="13828" width="24.25" style="3165" customWidth="1"/>
    <col min="13829" max="13829" width="18.25" style="3165" customWidth="1"/>
    <col min="13830" max="13830" width="10.375" style="3165" customWidth="1"/>
    <col min="13831" max="13831" width="9.875" style="3165" customWidth="1"/>
    <col min="13832" max="13833" width="11.875" style="3165" customWidth="1"/>
    <col min="13834" max="14080" width="9" style="3165"/>
    <col min="14081" max="14082" width="5.625" style="3165" customWidth="1"/>
    <col min="14083" max="14083" width="15.25" style="3165" customWidth="1"/>
    <col min="14084" max="14084" width="24.25" style="3165" customWidth="1"/>
    <col min="14085" max="14085" width="18.25" style="3165" customWidth="1"/>
    <col min="14086" max="14086" width="10.375" style="3165" customWidth="1"/>
    <col min="14087" max="14087" width="9.875" style="3165" customWidth="1"/>
    <col min="14088" max="14089" width="11.875" style="3165" customWidth="1"/>
    <col min="14090" max="14336" width="9" style="3165"/>
    <col min="14337" max="14338" width="5.625" style="3165" customWidth="1"/>
    <col min="14339" max="14339" width="15.25" style="3165" customWidth="1"/>
    <col min="14340" max="14340" width="24.25" style="3165" customWidth="1"/>
    <col min="14341" max="14341" width="18.25" style="3165" customWidth="1"/>
    <col min="14342" max="14342" width="10.375" style="3165" customWidth="1"/>
    <col min="14343" max="14343" width="9.875" style="3165" customWidth="1"/>
    <col min="14344" max="14345" width="11.875" style="3165" customWidth="1"/>
    <col min="14346" max="14592" width="9" style="3165"/>
    <col min="14593" max="14594" width="5.625" style="3165" customWidth="1"/>
    <col min="14595" max="14595" width="15.25" style="3165" customWidth="1"/>
    <col min="14596" max="14596" width="24.25" style="3165" customWidth="1"/>
    <col min="14597" max="14597" width="18.25" style="3165" customWidth="1"/>
    <col min="14598" max="14598" width="10.375" style="3165" customWidth="1"/>
    <col min="14599" max="14599" width="9.875" style="3165" customWidth="1"/>
    <col min="14600" max="14601" width="11.875" style="3165" customWidth="1"/>
    <col min="14602" max="14848" width="9" style="3165"/>
    <col min="14849" max="14850" width="5.625" style="3165" customWidth="1"/>
    <col min="14851" max="14851" width="15.25" style="3165" customWidth="1"/>
    <col min="14852" max="14852" width="24.25" style="3165" customWidth="1"/>
    <col min="14853" max="14853" width="18.25" style="3165" customWidth="1"/>
    <col min="14854" max="14854" width="10.375" style="3165" customWidth="1"/>
    <col min="14855" max="14855" width="9.875" style="3165" customWidth="1"/>
    <col min="14856" max="14857" width="11.875" style="3165" customWidth="1"/>
    <col min="14858" max="15104" width="9" style="3165"/>
    <col min="15105" max="15106" width="5.625" style="3165" customWidth="1"/>
    <col min="15107" max="15107" width="15.25" style="3165" customWidth="1"/>
    <col min="15108" max="15108" width="24.25" style="3165" customWidth="1"/>
    <col min="15109" max="15109" width="18.25" style="3165" customWidth="1"/>
    <col min="15110" max="15110" width="10.375" style="3165" customWidth="1"/>
    <col min="15111" max="15111" width="9.875" style="3165" customWidth="1"/>
    <col min="15112" max="15113" width="11.875" style="3165" customWidth="1"/>
    <col min="15114" max="15360" width="9" style="3165"/>
    <col min="15361" max="15362" width="5.625" style="3165" customWidth="1"/>
    <col min="15363" max="15363" width="15.25" style="3165" customWidth="1"/>
    <col min="15364" max="15364" width="24.25" style="3165" customWidth="1"/>
    <col min="15365" max="15365" width="18.25" style="3165" customWidth="1"/>
    <col min="15366" max="15366" width="10.375" style="3165" customWidth="1"/>
    <col min="15367" max="15367" width="9.875" style="3165" customWidth="1"/>
    <col min="15368" max="15369" width="11.875" style="3165" customWidth="1"/>
    <col min="15370" max="15616" width="9" style="3165"/>
    <col min="15617" max="15618" width="5.625" style="3165" customWidth="1"/>
    <col min="15619" max="15619" width="15.25" style="3165" customWidth="1"/>
    <col min="15620" max="15620" width="24.25" style="3165" customWidth="1"/>
    <col min="15621" max="15621" width="18.25" style="3165" customWidth="1"/>
    <col min="15622" max="15622" width="10.375" style="3165" customWidth="1"/>
    <col min="15623" max="15623" width="9.875" style="3165" customWidth="1"/>
    <col min="15624" max="15625" width="11.875" style="3165" customWidth="1"/>
    <col min="15626" max="15872" width="9" style="3165"/>
    <col min="15873" max="15874" width="5.625" style="3165" customWidth="1"/>
    <col min="15875" max="15875" width="15.25" style="3165" customWidth="1"/>
    <col min="15876" max="15876" width="24.25" style="3165" customWidth="1"/>
    <col min="15877" max="15877" width="18.25" style="3165" customWidth="1"/>
    <col min="15878" max="15878" width="10.375" style="3165" customWidth="1"/>
    <col min="15879" max="15879" width="9.875" style="3165" customWidth="1"/>
    <col min="15880" max="15881" width="11.875" style="3165" customWidth="1"/>
    <col min="15882" max="16128" width="9" style="3165"/>
    <col min="16129" max="16130" width="5.625" style="3165" customWidth="1"/>
    <col min="16131" max="16131" width="15.25" style="3165" customWidth="1"/>
    <col min="16132" max="16132" width="24.25" style="3165" customWidth="1"/>
    <col min="16133" max="16133" width="18.25" style="3165" customWidth="1"/>
    <col min="16134" max="16134" width="10.375" style="3165" customWidth="1"/>
    <col min="16135" max="16135" width="9.875" style="3165" customWidth="1"/>
    <col min="16136" max="16137" width="11.875" style="3165" customWidth="1"/>
    <col min="16138" max="16384" width="9" style="3165"/>
  </cols>
  <sheetData>
    <row r="1" spans="1:11" ht="18.75">
      <c r="A1" s="3429" t="s">
        <v>3516</v>
      </c>
      <c r="B1" s="3429"/>
      <c r="C1" s="3429"/>
      <c r="D1" s="3430"/>
      <c r="E1" s="3431"/>
      <c r="F1" s="3429"/>
      <c r="G1" s="3429"/>
      <c r="H1" s="3429"/>
      <c r="I1" s="3432"/>
    </row>
    <row r="2" spans="1:11">
      <c r="A2" s="3166" t="s">
        <v>3517</v>
      </c>
      <c r="B2" s="3166" t="s">
        <v>3518</v>
      </c>
      <c r="C2" s="3166" t="s">
        <v>3519</v>
      </c>
      <c r="D2" s="3167" t="s">
        <v>3520</v>
      </c>
      <c r="E2" s="3168" t="s">
        <v>3521</v>
      </c>
      <c r="F2" s="3166" t="s">
        <v>3522</v>
      </c>
      <c r="G2" s="3166" t="s">
        <v>3523</v>
      </c>
      <c r="H2" s="3166" t="s">
        <v>3524</v>
      </c>
      <c r="I2" s="3169" t="s">
        <v>3525</v>
      </c>
    </row>
    <row r="3" spans="1:11" ht="15">
      <c r="A3" s="3170">
        <v>1</v>
      </c>
      <c r="B3" s="3171" t="s">
        <v>3526</v>
      </c>
      <c r="C3" s="3170" t="s">
        <v>3527</v>
      </c>
      <c r="D3" s="3172" t="s">
        <v>3528</v>
      </c>
      <c r="E3" s="3173" t="s">
        <v>3529</v>
      </c>
      <c r="F3" s="3170">
        <v>86.5</v>
      </c>
      <c r="G3" s="3170">
        <v>300</v>
      </c>
      <c r="H3" s="3170" t="s">
        <v>3530</v>
      </c>
      <c r="I3" s="3174" t="s">
        <v>3531</v>
      </c>
      <c r="J3" s="3165">
        <f>G3/30</f>
        <v>10</v>
      </c>
      <c r="K3" s="3165">
        <f>G3*F3*12</f>
        <v>311400</v>
      </c>
    </row>
    <row r="4" spans="1:11" ht="15">
      <c r="A4" s="3170">
        <v>2</v>
      </c>
      <c r="B4" s="3171" t="s">
        <v>3526</v>
      </c>
      <c r="C4" s="3170" t="s">
        <v>3532</v>
      </c>
      <c r="D4" s="3172" t="s">
        <v>3533</v>
      </c>
      <c r="E4" s="3173" t="s">
        <v>3534</v>
      </c>
      <c r="F4" s="3170">
        <v>107.41</v>
      </c>
      <c r="G4" s="3170">
        <v>300</v>
      </c>
      <c r="H4" s="3170" t="s">
        <v>3535</v>
      </c>
      <c r="I4" s="3174" t="s">
        <v>3531</v>
      </c>
      <c r="J4" s="3165">
        <f t="shared" ref="J4:J67" si="0">G4/30</f>
        <v>10</v>
      </c>
      <c r="K4" s="3165">
        <f t="shared" ref="K4:K67" si="1">G4*F4*12</f>
        <v>386676</v>
      </c>
    </row>
    <row r="5" spans="1:11" ht="15">
      <c r="A5" s="3170">
        <v>3</v>
      </c>
      <c r="B5" s="3171" t="s">
        <v>3526</v>
      </c>
      <c r="C5" s="3170" t="s">
        <v>3536</v>
      </c>
      <c r="D5" s="3172" t="s">
        <v>3537</v>
      </c>
      <c r="E5" s="3173" t="s">
        <v>3538</v>
      </c>
      <c r="F5" s="3170">
        <v>43.2</v>
      </c>
      <c r="G5" s="3170">
        <v>195</v>
      </c>
      <c r="H5" s="3170" t="s">
        <v>3539</v>
      </c>
      <c r="I5" s="3174" t="s">
        <v>3540</v>
      </c>
      <c r="J5" s="3165">
        <f t="shared" si="0"/>
        <v>6.5</v>
      </c>
      <c r="K5" s="3165">
        <f t="shared" si="1"/>
        <v>101088</v>
      </c>
    </row>
    <row r="6" spans="1:11" ht="15">
      <c r="A6" s="3170">
        <v>4</v>
      </c>
      <c r="B6" s="3171" t="s">
        <v>3526</v>
      </c>
      <c r="C6" s="3170" t="s">
        <v>3541</v>
      </c>
      <c r="D6" s="3172" t="s">
        <v>3542</v>
      </c>
      <c r="E6" s="3173" t="s">
        <v>3543</v>
      </c>
      <c r="F6" s="3170">
        <v>1.89</v>
      </c>
      <c r="G6" s="3170">
        <v>476</v>
      </c>
      <c r="H6" s="3170" t="s">
        <v>3544</v>
      </c>
      <c r="I6" s="3174" t="s">
        <v>3545</v>
      </c>
      <c r="J6" s="3165">
        <f t="shared" si="0"/>
        <v>15.866666666666667</v>
      </c>
      <c r="K6" s="3165">
        <f t="shared" si="1"/>
        <v>10795.68</v>
      </c>
    </row>
    <row r="7" spans="1:11" ht="15">
      <c r="A7" s="3170">
        <v>5</v>
      </c>
      <c r="B7" s="3171" t="s">
        <v>3526</v>
      </c>
      <c r="C7" s="3170" t="s">
        <v>3546</v>
      </c>
      <c r="D7" s="3172" t="s">
        <v>3547</v>
      </c>
      <c r="E7" s="3173" t="s">
        <v>3548</v>
      </c>
      <c r="F7" s="3170">
        <v>8.24</v>
      </c>
      <c r="G7" s="3170">
        <v>297</v>
      </c>
      <c r="H7" s="3170" t="s">
        <v>3544</v>
      </c>
      <c r="I7" s="3174" t="s">
        <v>3545</v>
      </c>
      <c r="J7" s="3165">
        <f t="shared" si="0"/>
        <v>9.9</v>
      </c>
      <c r="K7" s="3165">
        <f t="shared" si="1"/>
        <v>29367.360000000001</v>
      </c>
    </row>
    <row r="8" spans="1:11" ht="15">
      <c r="A8" s="3170">
        <v>6</v>
      </c>
      <c r="B8" s="3171" t="s">
        <v>3526</v>
      </c>
      <c r="C8" s="3170" t="s">
        <v>3549</v>
      </c>
      <c r="D8" s="3172" t="s">
        <v>3550</v>
      </c>
      <c r="E8" s="3173" t="s">
        <v>3551</v>
      </c>
      <c r="F8" s="3170">
        <v>94.62</v>
      </c>
      <c r="G8" s="3170">
        <v>55</v>
      </c>
      <c r="H8" s="3170" t="s">
        <v>3552</v>
      </c>
      <c r="I8" s="3174" t="s">
        <v>3553</v>
      </c>
      <c r="J8" s="3165">
        <f t="shared" si="0"/>
        <v>1.8333333333333333</v>
      </c>
      <c r="K8" s="3165">
        <f t="shared" si="1"/>
        <v>62449.200000000004</v>
      </c>
    </row>
    <row r="9" spans="1:11" ht="15">
      <c r="A9" s="3170">
        <v>7</v>
      </c>
      <c r="B9" s="3171" t="s">
        <v>3526</v>
      </c>
      <c r="C9" s="3170" t="s">
        <v>3554</v>
      </c>
      <c r="D9" s="3172" t="s">
        <v>3555</v>
      </c>
      <c r="E9" s="3173" t="s">
        <v>3556</v>
      </c>
      <c r="F9" s="3170">
        <v>17.16</v>
      </c>
      <c r="G9" s="3170">
        <v>210</v>
      </c>
      <c r="H9" s="3170" t="s">
        <v>3544</v>
      </c>
      <c r="I9" s="3174" t="s">
        <v>3545</v>
      </c>
      <c r="J9" s="3165">
        <f t="shared" si="0"/>
        <v>7</v>
      </c>
      <c r="K9" s="3165">
        <f t="shared" si="1"/>
        <v>43243.199999999997</v>
      </c>
    </row>
    <row r="10" spans="1:11" ht="15">
      <c r="A10" s="3170">
        <v>8</v>
      </c>
      <c r="B10" s="3171" t="s">
        <v>3526</v>
      </c>
      <c r="C10" s="3170" t="s">
        <v>3557</v>
      </c>
      <c r="D10" s="3172" t="s">
        <v>3558</v>
      </c>
      <c r="E10" s="3173" t="s">
        <v>3559</v>
      </c>
      <c r="F10" s="3170">
        <v>40</v>
      </c>
      <c r="G10" s="3170">
        <v>150</v>
      </c>
      <c r="H10" s="3170" t="s">
        <v>3560</v>
      </c>
      <c r="I10" s="3174" t="s">
        <v>3561</v>
      </c>
      <c r="J10" s="3165">
        <f t="shared" si="0"/>
        <v>5</v>
      </c>
      <c r="K10" s="3165">
        <f t="shared" si="1"/>
        <v>72000</v>
      </c>
    </row>
    <row r="11" spans="1:11" ht="15">
      <c r="A11" s="3170">
        <v>9</v>
      </c>
      <c r="B11" s="3171" t="s">
        <v>3526</v>
      </c>
      <c r="C11" s="3170" t="s">
        <v>3562</v>
      </c>
      <c r="D11" s="3172" t="s">
        <v>3563</v>
      </c>
      <c r="E11" s="3173" t="s">
        <v>3564</v>
      </c>
      <c r="F11" s="3170">
        <v>41.73</v>
      </c>
      <c r="G11" s="3170">
        <v>192</v>
      </c>
      <c r="H11" s="3170" t="s">
        <v>3565</v>
      </c>
      <c r="I11" s="3174" t="s">
        <v>3566</v>
      </c>
      <c r="J11" s="3165">
        <f t="shared" si="0"/>
        <v>6.4</v>
      </c>
      <c r="K11" s="3165">
        <f t="shared" si="1"/>
        <v>96145.919999999998</v>
      </c>
    </row>
    <row r="12" spans="1:11" ht="30">
      <c r="A12" s="3170">
        <v>10</v>
      </c>
      <c r="B12" s="3171" t="s">
        <v>3526</v>
      </c>
      <c r="C12" s="3170" t="s">
        <v>3567</v>
      </c>
      <c r="D12" s="3172" t="s">
        <v>3568</v>
      </c>
      <c r="E12" s="3173" t="s">
        <v>3569</v>
      </c>
      <c r="F12" s="3170">
        <v>86.53</v>
      </c>
      <c r="G12" s="3170">
        <v>200</v>
      </c>
      <c r="H12" s="3170" t="s">
        <v>3530</v>
      </c>
      <c r="I12" s="3174" t="s">
        <v>3531</v>
      </c>
      <c r="J12" s="3165">
        <f t="shared" si="0"/>
        <v>6.666666666666667</v>
      </c>
      <c r="K12" s="3165">
        <f t="shared" si="1"/>
        <v>207672</v>
      </c>
    </row>
    <row r="13" spans="1:11" ht="15">
      <c r="A13" s="3170">
        <v>11</v>
      </c>
      <c r="B13" s="3171" t="s">
        <v>3526</v>
      </c>
      <c r="C13" s="3170" t="s">
        <v>3570</v>
      </c>
      <c r="D13" s="3172" t="s">
        <v>3571</v>
      </c>
      <c r="E13" s="3173" t="s">
        <v>3572</v>
      </c>
      <c r="F13" s="3170">
        <v>150</v>
      </c>
      <c r="G13" s="3170">
        <v>200</v>
      </c>
      <c r="H13" s="3170" t="s">
        <v>3530</v>
      </c>
      <c r="I13" s="3174" t="s">
        <v>3531</v>
      </c>
      <c r="J13" s="3165">
        <f t="shared" si="0"/>
        <v>6.666666666666667</v>
      </c>
      <c r="K13" s="3165">
        <f t="shared" si="1"/>
        <v>360000</v>
      </c>
    </row>
    <row r="14" spans="1:11" ht="15">
      <c r="A14" s="3170">
        <v>12</v>
      </c>
      <c r="B14" s="3171" t="s">
        <v>3526</v>
      </c>
      <c r="C14" s="3170" t="s">
        <v>3573</v>
      </c>
      <c r="D14" s="3172" t="s">
        <v>3574</v>
      </c>
      <c r="E14" s="3173" t="s">
        <v>3575</v>
      </c>
      <c r="F14" s="3170">
        <v>150</v>
      </c>
      <c r="G14" s="3170">
        <v>190</v>
      </c>
      <c r="H14" s="3170" t="s">
        <v>3530</v>
      </c>
      <c r="I14" s="3174" t="s">
        <v>3531</v>
      </c>
      <c r="J14" s="3165">
        <f t="shared" si="0"/>
        <v>6.333333333333333</v>
      </c>
      <c r="K14" s="3165">
        <f t="shared" si="1"/>
        <v>342000</v>
      </c>
    </row>
    <row r="15" spans="1:11" ht="15">
      <c r="A15" s="3170">
        <v>13</v>
      </c>
      <c r="B15" s="3171" t="s">
        <v>3526</v>
      </c>
      <c r="C15" s="3170" t="s">
        <v>3576</v>
      </c>
      <c r="D15" s="3172" t="s">
        <v>3577</v>
      </c>
      <c r="E15" s="3173" t="s">
        <v>3578</v>
      </c>
      <c r="F15" s="3170">
        <v>142</v>
      </c>
      <c r="G15" s="3170">
        <v>160</v>
      </c>
      <c r="H15" s="3170" t="s">
        <v>3530</v>
      </c>
      <c r="I15" s="3174" t="s">
        <v>3531</v>
      </c>
      <c r="J15" s="3165">
        <f t="shared" si="0"/>
        <v>5.333333333333333</v>
      </c>
      <c r="K15" s="3165">
        <f t="shared" si="1"/>
        <v>272640</v>
      </c>
    </row>
    <row r="16" spans="1:11" ht="15">
      <c r="A16" s="3170">
        <v>14</v>
      </c>
      <c r="B16" s="3171" t="s">
        <v>3526</v>
      </c>
      <c r="C16" s="3170" t="s">
        <v>3579</v>
      </c>
      <c r="D16" s="3172" t="s">
        <v>3580</v>
      </c>
      <c r="E16" s="3173" t="s">
        <v>3581</v>
      </c>
      <c r="F16" s="3170">
        <v>316</v>
      </c>
      <c r="G16" s="3170">
        <v>125</v>
      </c>
      <c r="H16" s="3170" t="s">
        <v>3530</v>
      </c>
      <c r="I16" s="3174" t="s">
        <v>3582</v>
      </c>
      <c r="J16" s="3165">
        <f t="shared" si="0"/>
        <v>4.166666666666667</v>
      </c>
      <c r="K16" s="3165">
        <f t="shared" si="1"/>
        <v>474000</v>
      </c>
    </row>
    <row r="17" spans="1:11" ht="15">
      <c r="A17" s="3170">
        <v>15</v>
      </c>
      <c r="B17" s="3171" t="s">
        <v>3526</v>
      </c>
      <c r="C17" s="3170" t="s">
        <v>3583</v>
      </c>
      <c r="D17" s="3172" t="s">
        <v>3584</v>
      </c>
      <c r="E17" s="3173" t="s">
        <v>3585</v>
      </c>
      <c r="F17" s="3170">
        <v>136.03</v>
      </c>
      <c r="G17" s="3170">
        <v>20</v>
      </c>
      <c r="H17" s="3170" t="s">
        <v>3530</v>
      </c>
      <c r="I17" s="3174" t="s">
        <v>3586</v>
      </c>
      <c r="J17" s="3165">
        <f t="shared" si="0"/>
        <v>0.66666666666666663</v>
      </c>
      <c r="K17" s="3165">
        <f t="shared" si="1"/>
        <v>32647.199999999997</v>
      </c>
    </row>
    <row r="18" spans="1:11" ht="15">
      <c r="A18" s="3170">
        <v>16</v>
      </c>
      <c r="B18" s="3171" t="s">
        <v>3526</v>
      </c>
      <c r="C18" s="3170" t="s">
        <v>3587</v>
      </c>
      <c r="D18" s="3172" t="s">
        <v>3588</v>
      </c>
      <c r="E18" s="3173" t="s">
        <v>3589</v>
      </c>
      <c r="F18" s="3170">
        <v>31.5</v>
      </c>
      <c r="G18" s="3170">
        <v>191</v>
      </c>
      <c r="H18" s="3170" t="s">
        <v>3539</v>
      </c>
      <c r="I18" s="3174" t="s">
        <v>3590</v>
      </c>
      <c r="J18" s="3165">
        <f t="shared" si="0"/>
        <v>6.3666666666666663</v>
      </c>
      <c r="K18" s="3165">
        <f t="shared" si="1"/>
        <v>72198</v>
      </c>
    </row>
    <row r="19" spans="1:11" ht="15">
      <c r="A19" s="3170">
        <v>17</v>
      </c>
      <c r="B19" s="3171" t="s">
        <v>3526</v>
      </c>
      <c r="C19" s="3170" t="s">
        <v>3591</v>
      </c>
      <c r="D19" s="3172" t="s">
        <v>3592</v>
      </c>
      <c r="E19" s="3173" t="s">
        <v>3593</v>
      </c>
      <c r="F19" s="3170">
        <v>35.39</v>
      </c>
      <c r="G19" s="3170">
        <v>206</v>
      </c>
      <c r="H19" s="3170" t="s">
        <v>3539</v>
      </c>
      <c r="I19" s="3174" t="s">
        <v>3590</v>
      </c>
      <c r="J19" s="3165">
        <f t="shared" si="0"/>
        <v>6.8666666666666663</v>
      </c>
      <c r="K19" s="3165">
        <f t="shared" si="1"/>
        <v>87484.08</v>
      </c>
    </row>
    <row r="20" spans="1:11" ht="30">
      <c r="A20" s="3170">
        <v>18</v>
      </c>
      <c r="B20" s="3171" t="s">
        <v>3526</v>
      </c>
      <c r="C20" s="3170" t="s">
        <v>3594</v>
      </c>
      <c r="D20" s="3172" t="s">
        <v>3595</v>
      </c>
      <c r="E20" s="3173" t="s">
        <v>3596</v>
      </c>
      <c r="F20" s="3170">
        <v>60</v>
      </c>
      <c r="G20" s="3170">
        <v>16.66</v>
      </c>
      <c r="H20" s="3170" t="s">
        <v>3597</v>
      </c>
      <c r="I20" s="3174" t="s">
        <v>3545</v>
      </c>
      <c r="J20" s="3165">
        <f t="shared" si="0"/>
        <v>0.55533333333333335</v>
      </c>
      <c r="K20" s="3165">
        <f t="shared" si="1"/>
        <v>11995.2</v>
      </c>
    </row>
    <row r="21" spans="1:11" ht="30">
      <c r="A21" s="3170">
        <v>19</v>
      </c>
      <c r="B21" s="3171" t="s">
        <v>3526</v>
      </c>
      <c r="C21" s="3170" t="s">
        <v>3598</v>
      </c>
      <c r="D21" s="3172" t="s">
        <v>3599</v>
      </c>
      <c r="E21" s="3173" t="s">
        <v>3600</v>
      </c>
      <c r="F21" s="3170">
        <v>149.12</v>
      </c>
      <c r="G21" s="3170">
        <v>100.59</v>
      </c>
      <c r="H21" s="3170" t="s">
        <v>3565</v>
      </c>
      <c r="I21" s="3174" t="s">
        <v>3545</v>
      </c>
      <c r="J21" s="3165">
        <f t="shared" si="0"/>
        <v>3.3530000000000002</v>
      </c>
      <c r="K21" s="3165">
        <f t="shared" si="1"/>
        <v>179999.7696</v>
      </c>
    </row>
    <row r="22" spans="1:11" ht="15">
      <c r="A22" s="3170">
        <v>20</v>
      </c>
      <c r="B22" s="3171" t="s">
        <v>3526</v>
      </c>
      <c r="C22" s="3170" t="s">
        <v>3601</v>
      </c>
      <c r="D22" s="3172" t="s">
        <v>3602</v>
      </c>
      <c r="E22" s="3173" t="s">
        <v>3603</v>
      </c>
      <c r="F22" s="3170">
        <v>107.52</v>
      </c>
      <c r="G22" s="3170">
        <v>210</v>
      </c>
      <c r="H22" s="3170" t="s">
        <v>3604</v>
      </c>
      <c r="I22" s="3174" t="s">
        <v>3605</v>
      </c>
      <c r="J22" s="3165">
        <f t="shared" si="0"/>
        <v>7</v>
      </c>
      <c r="K22" s="3165">
        <f t="shared" si="1"/>
        <v>270950.40000000002</v>
      </c>
    </row>
    <row r="23" spans="1:11" ht="15">
      <c r="A23" s="3170">
        <v>21</v>
      </c>
      <c r="B23" s="3171" t="s">
        <v>3526</v>
      </c>
      <c r="C23" s="3170" t="s">
        <v>3606</v>
      </c>
      <c r="D23" s="3172" t="s">
        <v>3607</v>
      </c>
      <c r="E23" s="3173" t="s">
        <v>3608</v>
      </c>
      <c r="F23" s="3170">
        <v>147.25</v>
      </c>
      <c r="G23" s="3170">
        <v>102.75</v>
      </c>
      <c r="H23" s="3170" t="s">
        <v>3565</v>
      </c>
      <c r="I23" s="3174" t="s">
        <v>3609</v>
      </c>
      <c r="J23" s="3165">
        <f t="shared" si="0"/>
        <v>3.4249999999999998</v>
      </c>
      <c r="K23" s="3165">
        <f t="shared" si="1"/>
        <v>181559.25</v>
      </c>
    </row>
    <row r="24" spans="1:11" ht="15">
      <c r="A24" s="3170">
        <v>22</v>
      </c>
      <c r="B24" s="3171" t="s">
        <v>3526</v>
      </c>
      <c r="C24" s="3170" t="s">
        <v>3610</v>
      </c>
      <c r="D24" s="3172" t="s">
        <v>3611</v>
      </c>
      <c r="E24" s="3173" t="s">
        <v>3612</v>
      </c>
      <c r="F24" s="3170">
        <v>205.88</v>
      </c>
      <c r="G24" s="3170">
        <v>145</v>
      </c>
      <c r="H24" s="3170" t="s">
        <v>3565</v>
      </c>
      <c r="I24" s="3174" t="s">
        <v>3545</v>
      </c>
      <c r="J24" s="3165">
        <f t="shared" si="0"/>
        <v>4.833333333333333</v>
      </c>
      <c r="K24" s="3165">
        <f t="shared" si="1"/>
        <v>358231.19999999995</v>
      </c>
    </row>
    <row r="25" spans="1:11" ht="15">
      <c r="A25" s="3170">
        <v>23</v>
      </c>
      <c r="B25" s="3171" t="s">
        <v>3526</v>
      </c>
      <c r="C25" s="3170" t="s">
        <v>3613</v>
      </c>
      <c r="D25" s="3172" t="s">
        <v>3614</v>
      </c>
      <c r="E25" s="3173" t="s">
        <v>3615</v>
      </c>
      <c r="F25" s="3170">
        <v>200.7</v>
      </c>
      <c r="G25" s="3170">
        <v>35.93</v>
      </c>
      <c r="H25" s="3170" t="s">
        <v>3565</v>
      </c>
      <c r="I25" s="3174" t="s">
        <v>3545</v>
      </c>
      <c r="J25" s="3165">
        <f t="shared" si="0"/>
        <v>1.1976666666666667</v>
      </c>
      <c r="K25" s="3165">
        <f t="shared" si="1"/>
        <v>86533.812000000005</v>
      </c>
    </row>
    <row r="26" spans="1:11" ht="15">
      <c r="A26" s="3170">
        <v>24</v>
      </c>
      <c r="B26" s="3171" t="s">
        <v>3526</v>
      </c>
      <c r="C26" s="3170" t="s">
        <v>3616</v>
      </c>
      <c r="D26" s="3172" t="s">
        <v>3617</v>
      </c>
      <c r="E26" s="3173" t="s">
        <v>3618</v>
      </c>
      <c r="F26" s="3170">
        <v>238.22</v>
      </c>
      <c r="G26" s="3170">
        <v>41.15</v>
      </c>
      <c r="H26" s="3170" t="s">
        <v>3565</v>
      </c>
      <c r="I26" s="3174" t="s">
        <v>3545</v>
      </c>
      <c r="J26" s="3165">
        <f t="shared" si="0"/>
        <v>1.3716666666666666</v>
      </c>
      <c r="K26" s="3165">
        <f t="shared" si="1"/>
        <v>117633.03599999999</v>
      </c>
    </row>
    <row r="27" spans="1:11" ht="15">
      <c r="A27" s="3170">
        <v>25</v>
      </c>
      <c r="B27" s="3171" t="s">
        <v>3526</v>
      </c>
      <c r="C27" s="3170" t="s">
        <v>3619</v>
      </c>
      <c r="D27" s="3172" t="s">
        <v>3620</v>
      </c>
      <c r="E27" s="3173" t="s">
        <v>3621</v>
      </c>
      <c r="F27" s="3170">
        <v>144.16</v>
      </c>
      <c r="G27" s="3170">
        <v>145</v>
      </c>
      <c r="H27" s="3170" t="s">
        <v>3565</v>
      </c>
      <c r="I27" s="3174" t="s">
        <v>3545</v>
      </c>
      <c r="J27" s="3165">
        <f t="shared" si="0"/>
        <v>4.833333333333333</v>
      </c>
      <c r="K27" s="3165">
        <f t="shared" si="1"/>
        <v>250838.40000000002</v>
      </c>
    </row>
    <row r="28" spans="1:11" ht="15">
      <c r="A28" s="3170">
        <v>26</v>
      </c>
      <c r="B28" s="3171" t="s">
        <v>3526</v>
      </c>
      <c r="C28" s="3170" t="s">
        <v>3622</v>
      </c>
      <c r="D28" s="3172" t="s">
        <v>3623</v>
      </c>
      <c r="E28" s="3173" t="s">
        <v>3624</v>
      </c>
      <c r="F28" s="3170">
        <v>195.02</v>
      </c>
      <c r="G28" s="3170">
        <v>135</v>
      </c>
      <c r="H28" s="3170" t="s">
        <v>3544</v>
      </c>
      <c r="I28" s="3174" t="s">
        <v>3605</v>
      </c>
      <c r="J28" s="3165">
        <f t="shared" si="0"/>
        <v>4.5</v>
      </c>
      <c r="K28" s="3165">
        <f t="shared" si="1"/>
        <v>315932.40000000002</v>
      </c>
    </row>
    <row r="29" spans="1:11" ht="30">
      <c r="A29" s="3170">
        <v>27</v>
      </c>
      <c r="B29" s="3171" t="s">
        <v>3526</v>
      </c>
      <c r="C29" s="3170" t="s">
        <v>3625</v>
      </c>
      <c r="D29" s="3172" t="s">
        <v>3626</v>
      </c>
      <c r="E29" s="3173" t="s">
        <v>3627</v>
      </c>
      <c r="F29" s="3170">
        <v>286.14</v>
      </c>
      <c r="G29" s="3170">
        <v>87.37</v>
      </c>
      <c r="H29" s="3170" t="s">
        <v>3628</v>
      </c>
      <c r="I29" s="3174" t="s">
        <v>3629</v>
      </c>
      <c r="J29" s="3165">
        <f t="shared" si="0"/>
        <v>2.9123333333333337</v>
      </c>
      <c r="K29" s="3165">
        <f t="shared" si="1"/>
        <v>300000.62160000001</v>
      </c>
    </row>
    <row r="30" spans="1:11" ht="30">
      <c r="A30" s="3170">
        <v>28</v>
      </c>
      <c r="B30" s="3171" t="s">
        <v>3526</v>
      </c>
      <c r="C30" s="3170" t="s">
        <v>3630</v>
      </c>
      <c r="D30" s="3172" t="s">
        <v>3631</v>
      </c>
      <c r="E30" s="3173" t="s">
        <v>3632</v>
      </c>
      <c r="F30" s="3170">
        <v>100</v>
      </c>
      <c r="G30" s="3170">
        <v>260</v>
      </c>
      <c r="H30" s="3170" t="s">
        <v>3530</v>
      </c>
      <c r="I30" s="3174" t="s">
        <v>3531</v>
      </c>
      <c r="J30" s="3165">
        <f t="shared" si="0"/>
        <v>8.6666666666666661</v>
      </c>
      <c r="K30" s="3165">
        <f t="shared" si="1"/>
        <v>312000</v>
      </c>
    </row>
    <row r="31" spans="1:11" ht="15">
      <c r="A31" s="3170">
        <v>29</v>
      </c>
      <c r="B31" s="3171" t="s">
        <v>3526</v>
      </c>
      <c r="C31" s="3170" t="s">
        <v>3633</v>
      </c>
      <c r="D31" s="3172" t="s">
        <v>3614</v>
      </c>
      <c r="E31" s="3173" t="s">
        <v>3634</v>
      </c>
      <c r="F31" s="3170">
        <v>194.3</v>
      </c>
      <c r="G31" s="3170">
        <v>36.619999999999997</v>
      </c>
      <c r="H31" s="3170" t="s">
        <v>3565</v>
      </c>
      <c r="I31" s="3174" t="s">
        <v>3545</v>
      </c>
      <c r="J31" s="3165">
        <f t="shared" si="0"/>
        <v>1.2206666666666666</v>
      </c>
      <c r="K31" s="3165">
        <f t="shared" si="1"/>
        <v>85383.191999999995</v>
      </c>
    </row>
    <row r="32" spans="1:11" ht="15">
      <c r="A32" s="3170">
        <v>30</v>
      </c>
      <c r="B32" s="3171" t="s">
        <v>3526</v>
      </c>
      <c r="C32" s="3170" t="s">
        <v>3635</v>
      </c>
      <c r="D32" s="3172" t="s">
        <v>3636</v>
      </c>
      <c r="E32" s="3173" t="s">
        <v>3637</v>
      </c>
      <c r="F32" s="3170">
        <v>132.25</v>
      </c>
      <c r="G32" s="3170">
        <v>200</v>
      </c>
      <c r="H32" s="3170" t="s">
        <v>3565</v>
      </c>
      <c r="I32" s="3174" t="s">
        <v>3540</v>
      </c>
      <c r="J32" s="3165">
        <f t="shared" si="0"/>
        <v>6.666666666666667</v>
      </c>
      <c r="K32" s="3165">
        <f t="shared" si="1"/>
        <v>317400</v>
      </c>
    </row>
    <row r="33" spans="1:11" ht="15">
      <c r="A33" s="3170">
        <v>31</v>
      </c>
      <c r="B33" s="3171" t="s">
        <v>3526</v>
      </c>
      <c r="C33" s="3170" t="s">
        <v>3638</v>
      </c>
      <c r="D33" s="3172" t="s">
        <v>3639</v>
      </c>
      <c r="E33" s="3173" t="s">
        <v>3640</v>
      </c>
      <c r="F33" s="3170">
        <v>96.09</v>
      </c>
      <c r="G33" s="3170">
        <v>229</v>
      </c>
      <c r="H33" s="3170" t="s">
        <v>3544</v>
      </c>
      <c r="I33" s="3174" t="s">
        <v>3605</v>
      </c>
      <c r="J33" s="3165">
        <f t="shared" si="0"/>
        <v>7.6333333333333337</v>
      </c>
      <c r="K33" s="3165">
        <f t="shared" si="1"/>
        <v>264055.32</v>
      </c>
    </row>
    <row r="34" spans="1:11" ht="15">
      <c r="A34" s="3170">
        <v>32</v>
      </c>
      <c r="B34" s="3171" t="s">
        <v>3526</v>
      </c>
      <c r="C34" s="3170" t="s">
        <v>3641</v>
      </c>
      <c r="D34" s="3172" t="s">
        <v>3642</v>
      </c>
      <c r="E34" s="3173" t="s">
        <v>3643</v>
      </c>
      <c r="F34" s="3170">
        <v>75.33</v>
      </c>
      <c r="G34" s="3170">
        <v>220</v>
      </c>
      <c r="H34" s="3170" t="s">
        <v>3565</v>
      </c>
      <c r="I34" s="3174" t="s">
        <v>3540</v>
      </c>
      <c r="J34" s="3165">
        <f t="shared" si="0"/>
        <v>7.333333333333333</v>
      </c>
      <c r="K34" s="3165">
        <f t="shared" si="1"/>
        <v>198871.19999999998</v>
      </c>
    </row>
    <row r="35" spans="1:11" ht="15">
      <c r="A35" s="3170">
        <v>33</v>
      </c>
      <c r="B35" s="3171" t="s">
        <v>3526</v>
      </c>
      <c r="C35" s="3170" t="s">
        <v>3644</v>
      </c>
      <c r="D35" s="3172" t="s">
        <v>3645</v>
      </c>
      <c r="E35" s="3173" t="s">
        <v>3646</v>
      </c>
      <c r="F35" s="3170">
        <v>155.72</v>
      </c>
      <c r="G35" s="3170">
        <v>200</v>
      </c>
      <c r="H35" s="3170" t="s">
        <v>3604</v>
      </c>
      <c r="I35" s="3174" t="s">
        <v>3540</v>
      </c>
      <c r="J35" s="3165">
        <f t="shared" si="0"/>
        <v>6.666666666666667</v>
      </c>
      <c r="K35" s="3165">
        <f t="shared" si="1"/>
        <v>373728</v>
      </c>
    </row>
    <row r="36" spans="1:11" ht="15">
      <c r="A36" s="3170">
        <v>34</v>
      </c>
      <c r="B36" s="3171" t="s">
        <v>3526</v>
      </c>
      <c r="C36" s="3170" t="s">
        <v>3647</v>
      </c>
      <c r="D36" s="3172" t="s">
        <v>3648</v>
      </c>
      <c r="E36" s="3173" t="s">
        <v>3649</v>
      </c>
      <c r="F36" s="3170">
        <v>73.5</v>
      </c>
      <c r="G36" s="3170">
        <v>245</v>
      </c>
      <c r="H36" s="3170" t="s">
        <v>3565</v>
      </c>
      <c r="I36" s="3174" t="s">
        <v>3545</v>
      </c>
      <c r="J36" s="3165">
        <f t="shared" si="0"/>
        <v>8.1666666666666661</v>
      </c>
      <c r="K36" s="3165">
        <f t="shared" si="1"/>
        <v>216090</v>
      </c>
    </row>
    <row r="37" spans="1:11" ht="15">
      <c r="A37" s="3170">
        <v>35</v>
      </c>
      <c r="B37" s="3171" t="s">
        <v>3526</v>
      </c>
      <c r="C37" s="3170" t="s">
        <v>3650</v>
      </c>
      <c r="D37" s="3172" t="s">
        <v>3651</v>
      </c>
      <c r="E37" s="3173" t="s">
        <v>3652</v>
      </c>
      <c r="F37" s="3170">
        <v>238.72</v>
      </c>
      <c r="G37" s="3170">
        <v>180</v>
      </c>
      <c r="H37" s="3170" t="s">
        <v>3565</v>
      </c>
      <c r="I37" s="3174" t="s">
        <v>3545</v>
      </c>
      <c r="J37" s="3165">
        <f t="shared" si="0"/>
        <v>6</v>
      </c>
      <c r="K37" s="3165">
        <f t="shared" si="1"/>
        <v>515635.19999999995</v>
      </c>
    </row>
    <row r="38" spans="1:11" ht="15">
      <c r="A38" s="3170">
        <v>36</v>
      </c>
      <c r="B38" s="3171" t="s">
        <v>3526</v>
      </c>
      <c r="C38" s="3170" t="s">
        <v>3653</v>
      </c>
      <c r="D38" s="3172" t="s">
        <v>3654</v>
      </c>
      <c r="E38" s="3173" t="s">
        <v>3655</v>
      </c>
      <c r="F38" s="3170">
        <v>288.3</v>
      </c>
      <c r="G38" s="3170">
        <v>86.72</v>
      </c>
      <c r="H38" s="3170" t="s">
        <v>3628</v>
      </c>
      <c r="I38" s="3174" t="s">
        <v>3656</v>
      </c>
      <c r="J38" s="3165">
        <f t="shared" si="0"/>
        <v>2.8906666666666667</v>
      </c>
      <c r="K38" s="3165">
        <f t="shared" si="1"/>
        <v>300016.51199999999</v>
      </c>
    </row>
    <row r="39" spans="1:11" ht="15">
      <c r="A39" s="3170">
        <v>37</v>
      </c>
      <c r="B39" s="3171" t="s">
        <v>3526</v>
      </c>
      <c r="C39" s="3170" t="s">
        <v>3657</v>
      </c>
      <c r="D39" s="3172" t="s">
        <v>3658</v>
      </c>
      <c r="E39" s="3173" t="s">
        <v>3659</v>
      </c>
      <c r="F39" s="3170">
        <v>792</v>
      </c>
      <c r="G39" s="3170">
        <v>77</v>
      </c>
      <c r="H39" s="3170" t="s">
        <v>3628</v>
      </c>
      <c r="I39" s="3174" t="s">
        <v>3540</v>
      </c>
      <c r="J39" s="3165">
        <f t="shared" si="0"/>
        <v>2.5666666666666669</v>
      </c>
      <c r="K39" s="3165">
        <f t="shared" si="1"/>
        <v>731808</v>
      </c>
    </row>
    <row r="40" spans="1:11" ht="15">
      <c r="A40" s="3170">
        <v>38</v>
      </c>
      <c r="B40" s="3171" t="s">
        <v>3526</v>
      </c>
      <c r="C40" s="3170" t="s">
        <v>3660</v>
      </c>
      <c r="D40" s="3172" t="s">
        <v>3661</v>
      </c>
      <c r="E40" s="3173" t="s">
        <v>3662</v>
      </c>
      <c r="F40" s="3170">
        <v>45.88</v>
      </c>
      <c r="G40" s="3170">
        <v>230</v>
      </c>
      <c r="H40" s="3170" t="s">
        <v>3565</v>
      </c>
      <c r="I40" s="3174" t="s">
        <v>3663</v>
      </c>
      <c r="J40" s="3165">
        <f t="shared" si="0"/>
        <v>7.666666666666667</v>
      </c>
      <c r="K40" s="3165">
        <f t="shared" si="1"/>
        <v>126628.80000000002</v>
      </c>
    </row>
    <row r="41" spans="1:11" ht="30">
      <c r="A41" s="3170">
        <v>39</v>
      </c>
      <c r="B41" s="3171" t="s">
        <v>3526</v>
      </c>
      <c r="C41" s="3170" t="s">
        <v>3664</v>
      </c>
      <c r="D41" s="3172" t="s">
        <v>3665</v>
      </c>
      <c r="E41" s="3173" t="s">
        <v>3666</v>
      </c>
      <c r="F41" s="3170">
        <v>103.71</v>
      </c>
      <c r="G41" s="3170">
        <v>245</v>
      </c>
      <c r="H41" s="3170" t="s">
        <v>3530</v>
      </c>
      <c r="I41" s="3174" t="s">
        <v>3531</v>
      </c>
      <c r="J41" s="3165">
        <f t="shared" si="0"/>
        <v>8.1666666666666661</v>
      </c>
      <c r="K41" s="3165">
        <f t="shared" si="1"/>
        <v>304907.39999999997</v>
      </c>
    </row>
    <row r="42" spans="1:11" ht="15">
      <c r="A42" s="3170">
        <v>40</v>
      </c>
      <c r="B42" s="3171" t="s">
        <v>3526</v>
      </c>
      <c r="C42" s="3170" t="s">
        <v>3667</v>
      </c>
      <c r="D42" s="3172" t="s">
        <v>3607</v>
      </c>
      <c r="E42" s="3173" t="s">
        <v>3668</v>
      </c>
      <c r="F42" s="3170">
        <v>154.78</v>
      </c>
      <c r="G42" s="3170">
        <v>102.75</v>
      </c>
      <c r="H42" s="3170" t="s">
        <v>3565</v>
      </c>
      <c r="I42" s="3174" t="s">
        <v>3609</v>
      </c>
      <c r="J42" s="3165">
        <f t="shared" si="0"/>
        <v>3.4249999999999998</v>
      </c>
      <c r="K42" s="3165">
        <f t="shared" si="1"/>
        <v>190843.74</v>
      </c>
    </row>
    <row r="43" spans="1:11" ht="15">
      <c r="A43" s="3170">
        <v>41</v>
      </c>
      <c r="B43" s="3171" t="s">
        <v>3526</v>
      </c>
      <c r="C43" s="3170" t="s">
        <v>3669</v>
      </c>
      <c r="D43" s="3172" t="s">
        <v>3670</v>
      </c>
      <c r="E43" s="3173" t="s">
        <v>3671</v>
      </c>
      <c r="F43" s="3170">
        <v>24.5</v>
      </c>
      <c r="G43" s="3170">
        <v>295.93</v>
      </c>
      <c r="H43" s="3170" t="s">
        <v>3544</v>
      </c>
      <c r="I43" s="3174" t="s">
        <v>3545</v>
      </c>
      <c r="J43" s="3165">
        <f t="shared" si="0"/>
        <v>9.8643333333333327</v>
      </c>
      <c r="K43" s="3165">
        <f t="shared" si="1"/>
        <v>87003.42</v>
      </c>
    </row>
    <row r="44" spans="1:11" ht="15">
      <c r="A44" s="3170">
        <v>42</v>
      </c>
      <c r="B44" s="3171" t="s">
        <v>3526</v>
      </c>
      <c r="C44" s="3170" t="s">
        <v>3672</v>
      </c>
      <c r="D44" s="3172" t="s">
        <v>3673</v>
      </c>
      <c r="E44" s="3173" t="s">
        <v>3674</v>
      </c>
      <c r="F44" s="3170">
        <v>300</v>
      </c>
      <c r="G44" s="3170">
        <v>50</v>
      </c>
      <c r="H44" s="3170" t="s">
        <v>3604</v>
      </c>
      <c r="I44" s="3174" t="s">
        <v>3675</v>
      </c>
      <c r="J44" s="3165">
        <f t="shared" si="0"/>
        <v>1.6666666666666667</v>
      </c>
      <c r="K44" s="3165">
        <f t="shared" si="1"/>
        <v>180000</v>
      </c>
    </row>
    <row r="45" spans="1:11" ht="15">
      <c r="A45" s="3170">
        <v>43</v>
      </c>
      <c r="B45" s="3171" t="s">
        <v>3526</v>
      </c>
      <c r="C45" s="3170" t="s">
        <v>3676</v>
      </c>
      <c r="D45" s="3172" t="s">
        <v>3677</v>
      </c>
      <c r="E45" s="3173" t="s">
        <v>3678</v>
      </c>
      <c r="F45" s="3170">
        <v>0</v>
      </c>
      <c r="G45" s="3170">
        <v>0</v>
      </c>
      <c r="H45" s="3170" t="s">
        <v>3679</v>
      </c>
      <c r="I45" s="3174" t="s">
        <v>3680</v>
      </c>
      <c r="J45" s="3165">
        <f t="shared" si="0"/>
        <v>0</v>
      </c>
      <c r="K45" s="3165">
        <f t="shared" si="1"/>
        <v>0</v>
      </c>
    </row>
    <row r="46" spans="1:11" ht="15">
      <c r="A46" s="3170">
        <v>44</v>
      </c>
      <c r="B46" s="3171" t="s">
        <v>3526</v>
      </c>
      <c r="C46" s="3170" t="s">
        <v>3681</v>
      </c>
      <c r="D46" s="3172" t="s">
        <v>3528</v>
      </c>
      <c r="E46" s="3173" t="s">
        <v>3529</v>
      </c>
      <c r="F46" s="3170">
        <v>50</v>
      </c>
      <c r="G46" s="3170">
        <v>30</v>
      </c>
      <c r="H46" s="3170" t="s">
        <v>3604</v>
      </c>
      <c r="I46" s="3174" t="s">
        <v>3545</v>
      </c>
      <c r="J46" s="3165">
        <f t="shared" si="0"/>
        <v>1</v>
      </c>
      <c r="K46" s="3165">
        <f t="shared" si="1"/>
        <v>18000</v>
      </c>
    </row>
    <row r="47" spans="1:11" ht="15">
      <c r="A47" s="3170">
        <v>45</v>
      </c>
      <c r="B47" s="3171" t="s">
        <v>3526</v>
      </c>
      <c r="C47" s="3170" t="s">
        <v>3682</v>
      </c>
      <c r="D47" s="3172" t="s">
        <v>3683</v>
      </c>
      <c r="E47" s="3173" t="s">
        <v>3684</v>
      </c>
      <c r="F47" s="3170">
        <v>34.24</v>
      </c>
      <c r="G47" s="3170">
        <v>105</v>
      </c>
      <c r="H47" s="3170" t="s">
        <v>3604</v>
      </c>
      <c r="I47" s="3174" t="s">
        <v>3545</v>
      </c>
      <c r="J47" s="3165">
        <f t="shared" si="0"/>
        <v>3.5</v>
      </c>
      <c r="K47" s="3165">
        <f t="shared" si="1"/>
        <v>43142.400000000001</v>
      </c>
    </row>
    <row r="48" spans="1:11" ht="15">
      <c r="A48" s="3170">
        <v>46</v>
      </c>
      <c r="B48" s="3171" t="s">
        <v>3526</v>
      </c>
      <c r="C48" s="3170" t="s">
        <v>3685</v>
      </c>
      <c r="D48" s="3172" t="s">
        <v>3686</v>
      </c>
      <c r="E48" s="3173" t="s">
        <v>3687</v>
      </c>
      <c r="F48" s="3170">
        <v>25</v>
      </c>
      <c r="G48" s="3170">
        <v>160</v>
      </c>
      <c r="H48" s="3170" t="s">
        <v>3597</v>
      </c>
      <c r="I48" s="3174" t="s">
        <v>3545</v>
      </c>
      <c r="J48" s="3165">
        <f t="shared" si="0"/>
        <v>5.333333333333333</v>
      </c>
      <c r="K48" s="3165">
        <f t="shared" si="1"/>
        <v>48000</v>
      </c>
    </row>
    <row r="49" spans="1:11" ht="30">
      <c r="A49" s="3170">
        <v>47</v>
      </c>
      <c r="B49" s="3171" t="s">
        <v>3526</v>
      </c>
      <c r="C49" s="3170" t="s">
        <v>3688</v>
      </c>
      <c r="D49" s="3172" t="s">
        <v>3689</v>
      </c>
      <c r="E49" s="3173" t="s">
        <v>3690</v>
      </c>
      <c r="F49" s="3170">
        <v>901.23</v>
      </c>
      <c r="G49" s="3170">
        <v>29.15</v>
      </c>
      <c r="H49" s="3170" t="s">
        <v>3691</v>
      </c>
      <c r="I49" s="3174" t="s">
        <v>3692</v>
      </c>
      <c r="J49" s="3165">
        <f t="shared" si="0"/>
        <v>0.97166666666666657</v>
      </c>
      <c r="K49" s="3165">
        <f t="shared" si="1"/>
        <v>315250.25399999996</v>
      </c>
    </row>
    <row r="50" spans="1:11" ht="30">
      <c r="A50" s="3170">
        <v>48</v>
      </c>
      <c r="B50" s="3171" t="s">
        <v>3526</v>
      </c>
      <c r="C50" s="3170" t="s">
        <v>3693</v>
      </c>
      <c r="D50" s="3172" t="s">
        <v>3694</v>
      </c>
      <c r="E50" s="3173" t="s">
        <v>3695</v>
      </c>
      <c r="F50" s="3170">
        <v>295.83</v>
      </c>
      <c r="G50" s="3170">
        <v>36.5</v>
      </c>
      <c r="H50" s="3170" t="s">
        <v>3696</v>
      </c>
      <c r="I50" s="3174" t="s">
        <v>3697</v>
      </c>
      <c r="J50" s="3165">
        <f t="shared" si="0"/>
        <v>1.2166666666666666</v>
      </c>
      <c r="K50" s="3165">
        <f t="shared" si="1"/>
        <v>129573.54000000001</v>
      </c>
    </row>
    <row r="51" spans="1:11" ht="15">
      <c r="A51" s="3170">
        <v>49</v>
      </c>
      <c r="B51" s="3171" t="s">
        <v>3526</v>
      </c>
      <c r="C51" s="3170" t="s">
        <v>3698</v>
      </c>
      <c r="D51" s="3172" t="s">
        <v>3699</v>
      </c>
      <c r="E51" s="3173" t="s">
        <v>3700</v>
      </c>
      <c r="F51" s="3170">
        <v>136</v>
      </c>
      <c r="G51" s="3170">
        <v>76.5</v>
      </c>
      <c r="H51" s="3170" t="s">
        <v>3701</v>
      </c>
      <c r="I51" s="3174" t="s">
        <v>3545</v>
      </c>
      <c r="J51" s="3165">
        <f t="shared" si="0"/>
        <v>2.5499999999999998</v>
      </c>
      <c r="K51" s="3165">
        <f t="shared" si="1"/>
        <v>124848</v>
      </c>
    </row>
    <row r="52" spans="1:11" ht="15">
      <c r="A52" s="3170">
        <v>50</v>
      </c>
      <c r="B52" s="3171" t="s">
        <v>3526</v>
      </c>
      <c r="C52" s="3170" t="s">
        <v>3702</v>
      </c>
      <c r="D52" s="3172" t="s">
        <v>3703</v>
      </c>
      <c r="E52" s="3173" t="s">
        <v>3704</v>
      </c>
      <c r="F52" s="3170">
        <v>114</v>
      </c>
      <c r="G52" s="3170">
        <v>75</v>
      </c>
      <c r="H52" s="3170" t="s">
        <v>3597</v>
      </c>
      <c r="I52" s="3174" t="s">
        <v>3553</v>
      </c>
      <c r="J52" s="3165">
        <f t="shared" si="0"/>
        <v>2.5</v>
      </c>
      <c r="K52" s="3165">
        <f t="shared" si="1"/>
        <v>102600</v>
      </c>
    </row>
    <row r="53" spans="1:11" ht="15">
      <c r="A53" s="3170">
        <v>51</v>
      </c>
      <c r="B53" s="3171" t="s">
        <v>3526</v>
      </c>
      <c r="C53" s="3170" t="s">
        <v>3705</v>
      </c>
      <c r="D53" s="3172" t="s">
        <v>3686</v>
      </c>
      <c r="E53" s="3173" t="s">
        <v>3687</v>
      </c>
      <c r="F53" s="3170">
        <v>10</v>
      </c>
      <c r="G53" s="3170">
        <v>150</v>
      </c>
      <c r="H53" s="3170" t="s">
        <v>3706</v>
      </c>
      <c r="I53" s="3174" t="s">
        <v>3545</v>
      </c>
      <c r="J53" s="3165">
        <f t="shared" si="0"/>
        <v>5</v>
      </c>
      <c r="K53" s="3165">
        <f t="shared" si="1"/>
        <v>18000</v>
      </c>
    </row>
    <row r="54" spans="1:11" ht="30">
      <c r="A54" s="3170">
        <v>52</v>
      </c>
      <c r="B54" s="3171" t="s">
        <v>3526</v>
      </c>
      <c r="C54" s="3170" t="s">
        <v>3707</v>
      </c>
      <c r="D54" s="3172" t="s">
        <v>3708</v>
      </c>
      <c r="E54" s="3173" t="s">
        <v>3709</v>
      </c>
      <c r="F54" s="3170">
        <v>364.28</v>
      </c>
      <c r="G54" s="3170">
        <v>28</v>
      </c>
      <c r="H54" s="3170" t="s">
        <v>3544</v>
      </c>
      <c r="I54" s="3174" t="s">
        <v>3561</v>
      </c>
      <c r="J54" s="3165">
        <f t="shared" si="0"/>
        <v>0.93333333333333335</v>
      </c>
      <c r="K54" s="3165">
        <f t="shared" si="1"/>
        <v>122398.08</v>
      </c>
    </row>
    <row r="55" spans="1:11" ht="15">
      <c r="A55" s="3170">
        <v>53</v>
      </c>
      <c r="B55" s="3171" t="s">
        <v>3526</v>
      </c>
      <c r="C55" s="3170" t="s">
        <v>3710</v>
      </c>
      <c r="D55" s="3172" t="s">
        <v>3711</v>
      </c>
      <c r="E55" s="3173" t="s">
        <v>3712</v>
      </c>
      <c r="F55" s="3170">
        <v>170.28</v>
      </c>
      <c r="G55" s="3170">
        <v>108</v>
      </c>
      <c r="H55" s="3170" t="s">
        <v>3565</v>
      </c>
      <c r="I55" s="3174" t="s">
        <v>3545</v>
      </c>
      <c r="J55" s="3165">
        <f t="shared" si="0"/>
        <v>3.6</v>
      </c>
      <c r="K55" s="3165">
        <f t="shared" si="1"/>
        <v>220682.88</v>
      </c>
    </row>
    <row r="56" spans="1:11" ht="15">
      <c r="A56" s="3170">
        <v>54</v>
      </c>
      <c r="B56" s="3171" t="s">
        <v>3526</v>
      </c>
      <c r="C56" s="3170" t="s">
        <v>3713</v>
      </c>
      <c r="D56" s="3172" t="s">
        <v>3714</v>
      </c>
      <c r="E56" s="3173" t="s">
        <v>3715</v>
      </c>
      <c r="F56" s="3170">
        <v>156.75</v>
      </c>
      <c r="G56" s="3170">
        <v>70</v>
      </c>
      <c r="H56" s="3170" t="s">
        <v>3628</v>
      </c>
      <c r="I56" s="3174" t="s">
        <v>3540</v>
      </c>
      <c r="J56" s="3165">
        <f t="shared" si="0"/>
        <v>2.3333333333333335</v>
      </c>
      <c r="K56" s="3165">
        <f t="shared" si="1"/>
        <v>131670</v>
      </c>
    </row>
    <row r="57" spans="1:11" ht="15">
      <c r="A57" s="3170">
        <v>55</v>
      </c>
      <c r="B57" s="3171" t="s">
        <v>3526</v>
      </c>
      <c r="C57" s="3170" t="s">
        <v>3716</v>
      </c>
      <c r="D57" s="3172" t="s">
        <v>3714</v>
      </c>
      <c r="E57" s="3173" t="s">
        <v>3717</v>
      </c>
      <c r="F57" s="3170">
        <v>153.72999999999999</v>
      </c>
      <c r="G57" s="3170">
        <v>70</v>
      </c>
      <c r="H57" s="3170" t="s">
        <v>3628</v>
      </c>
      <c r="I57" s="3174" t="s">
        <v>3540</v>
      </c>
      <c r="J57" s="3165">
        <f t="shared" si="0"/>
        <v>2.3333333333333335</v>
      </c>
      <c r="K57" s="3165">
        <f t="shared" si="1"/>
        <v>129133.19999999998</v>
      </c>
    </row>
    <row r="58" spans="1:11" ht="15">
      <c r="A58" s="3170">
        <v>56</v>
      </c>
      <c r="B58" s="3171" t="s">
        <v>3526</v>
      </c>
      <c r="C58" s="3170" t="s">
        <v>3718</v>
      </c>
      <c r="D58" s="3172" t="s">
        <v>3714</v>
      </c>
      <c r="E58" s="3173" t="s">
        <v>3719</v>
      </c>
      <c r="F58" s="3170">
        <v>164.66</v>
      </c>
      <c r="G58" s="3170">
        <v>70</v>
      </c>
      <c r="H58" s="3170" t="s">
        <v>3628</v>
      </c>
      <c r="I58" s="3174" t="s">
        <v>3540</v>
      </c>
      <c r="J58" s="3165">
        <f t="shared" si="0"/>
        <v>2.3333333333333335</v>
      </c>
      <c r="K58" s="3165">
        <f t="shared" si="1"/>
        <v>138314.4</v>
      </c>
    </row>
    <row r="59" spans="1:11" ht="15">
      <c r="A59" s="3170">
        <v>57</v>
      </c>
      <c r="B59" s="3171" t="s">
        <v>3526</v>
      </c>
      <c r="C59" s="3170" t="s">
        <v>3720</v>
      </c>
      <c r="D59" s="3172" t="s">
        <v>3714</v>
      </c>
      <c r="E59" s="3173" t="s">
        <v>3721</v>
      </c>
      <c r="F59" s="3170">
        <v>165.48</v>
      </c>
      <c r="G59" s="3170">
        <v>70</v>
      </c>
      <c r="H59" s="3170" t="s">
        <v>3628</v>
      </c>
      <c r="I59" s="3174" t="s">
        <v>3540</v>
      </c>
      <c r="J59" s="3165">
        <f t="shared" si="0"/>
        <v>2.3333333333333335</v>
      </c>
      <c r="K59" s="3165">
        <f t="shared" si="1"/>
        <v>139003.19999999998</v>
      </c>
    </row>
    <row r="60" spans="1:11" ht="15">
      <c r="A60" s="3170">
        <v>58</v>
      </c>
      <c r="B60" s="3171" t="s">
        <v>3526</v>
      </c>
      <c r="C60" s="3170" t="s">
        <v>3722</v>
      </c>
      <c r="D60" s="3172" t="s">
        <v>3714</v>
      </c>
      <c r="E60" s="3173" t="s">
        <v>3723</v>
      </c>
      <c r="F60" s="3170">
        <v>164.29</v>
      </c>
      <c r="G60" s="3170">
        <v>70</v>
      </c>
      <c r="H60" s="3170" t="s">
        <v>3628</v>
      </c>
      <c r="I60" s="3174" t="s">
        <v>3540</v>
      </c>
      <c r="J60" s="3165">
        <f t="shared" si="0"/>
        <v>2.3333333333333335</v>
      </c>
      <c r="K60" s="3165">
        <f t="shared" si="1"/>
        <v>138003.59999999998</v>
      </c>
    </row>
    <row r="61" spans="1:11" ht="15">
      <c r="A61" s="3170">
        <v>59</v>
      </c>
      <c r="B61" s="3171" t="s">
        <v>3526</v>
      </c>
      <c r="C61" s="3170" t="s">
        <v>3724</v>
      </c>
      <c r="D61" s="3172" t="s">
        <v>3725</v>
      </c>
      <c r="E61" s="3173" t="s">
        <v>3726</v>
      </c>
      <c r="F61" s="3170">
        <v>135.69999999999999</v>
      </c>
      <c r="G61" s="3170">
        <v>70</v>
      </c>
      <c r="H61" s="3170" t="s">
        <v>3539</v>
      </c>
      <c r="I61" s="3174" t="s">
        <v>3545</v>
      </c>
      <c r="J61" s="3165">
        <f t="shared" si="0"/>
        <v>2.3333333333333335</v>
      </c>
      <c r="K61" s="3165">
        <f t="shared" si="1"/>
        <v>113988</v>
      </c>
    </row>
    <row r="62" spans="1:11" ht="15">
      <c r="A62" s="3170">
        <v>60</v>
      </c>
      <c r="B62" s="3171" t="s">
        <v>3526</v>
      </c>
      <c r="C62" s="3170" t="s">
        <v>3727</v>
      </c>
      <c r="D62" s="3172" t="s">
        <v>3728</v>
      </c>
      <c r="E62" s="3173" t="s">
        <v>3729</v>
      </c>
      <c r="F62" s="3170">
        <v>153.66999999999999</v>
      </c>
      <c r="G62" s="3170">
        <v>52.06</v>
      </c>
      <c r="H62" s="3170" t="s">
        <v>3604</v>
      </c>
      <c r="I62" s="3174" t="s">
        <v>3545</v>
      </c>
      <c r="J62" s="3165">
        <f t="shared" si="0"/>
        <v>1.7353333333333334</v>
      </c>
      <c r="K62" s="3165">
        <f t="shared" si="1"/>
        <v>96000.722399999999</v>
      </c>
    </row>
    <row r="63" spans="1:11" ht="15">
      <c r="A63" s="3170">
        <v>61</v>
      </c>
      <c r="B63" s="3171" t="s">
        <v>3526</v>
      </c>
      <c r="C63" s="3170" t="s">
        <v>3730</v>
      </c>
      <c r="D63" s="3172" t="s">
        <v>3731</v>
      </c>
      <c r="E63" s="3173" t="s">
        <v>3732</v>
      </c>
      <c r="F63" s="3170">
        <v>168.11</v>
      </c>
      <c r="G63" s="3170">
        <v>60</v>
      </c>
      <c r="H63" s="3170" t="s">
        <v>3733</v>
      </c>
      <c r="I63" s="3174" t="s">
        <v>3734</v>
      </c>
      <c r="J63" s="3165">
        <f t="shared" si="0"/>
        <v>2</v>
      </c>
      <c r="K63" s="3165">
        <f t="shared" si="1"/>
        <v>121039.20000000001</v>
      </c>
    </row>
    <row r="64" spans="1:11" ht="15">
      <c r="A64" s="3170">
        <v>62</v>
      </c>
      <c r="B64" s="3171" t="s">
        <v>3526</v>
      </c>
      <c r="C64" s="3170" t="s">
        <v>3735</v>
      </c>
      <c r="D64" s="3172" t="s">
        <v>3736</v>
      </c>
      <c r="E64" s="3173" t="s">
        <v>3737</v>
      </c>
      <c r="F64" s="3170">
        <v>81.709999999999994</v>
      </c>
      <c r="G64" s="3170">
        <v>129</v>
      </c>
      <c r="H64" s="3170" t="s">
        <v>3565</v>
      </c>
      <c r="I64" s="3174" t="s">
        <v>3545</v>
      </c>
      <c r="J64" s="3165">
        <f t="shared" si="0"/>
        <v>4.3</v>
      </c>
      <c r="K64" s="3165">
        <f t="shared" si="1"/>
        <v>126487.07999999999</v>
      </c>
    </row>
    <row r="65" spans="1:11" ht="15">
      <c r="A65" s="3170">
        <v>63</v>
      </c>
      <c r="B65" s="3171" t="s">
        <v>3526</v>
      </c>
      <c r="C65" s="3170" t="s">
        <v>3738</v>
      </c>
      <c r="D65" s="3172" t="s">
        <v>3739</v>
      </c>
      <c r="E65" s="3175" t="s">
        <v>3740</v>
      </c>
      <c r="F65" s="3170">
        <v>131.01</v>
      </c>
      <c r="G65" s="3170">
        <v>90</v>
      </c>
      <c r="H65" s="3170" t="s">
        <v>3706</v>
      </c>
      <c r="I65" s="3174" t="s">
        <v>3545</v>
      </c>
      <c r="J65" s="3165">
        <f t="shared" si="0"/>
        <v>3</v>
      </c>
      <c r="K65" s="3165">
        <f t="shared" si="1"/>
        <v>141490.79999999999</v>
      </c>
    </row>
    <row r="66" spans="1:11" ht="15">
      <c r="A66" s="3170">
        <v>64</v>
      </c>
      <c r="B66" s="3171" t="s">
        <v>3526</v>
      </c>
      <c r="C66" s="3170" t="s">
        <v>3741</v>
      </c>
      <c r="D66" s="3172" t="s">
        <v>3742</v>
      </c>
      <c r="E66" s="3173" t="s">
        <v>3743</v>
      </c>
      <c r="F66" s="3170">
        <v>280.66000000000003</v>
      </c>
      <c r="G66" s="3170">
        <v>70</v>
      </c>
      <c r="H66" s="3170" t="s">
        <v>3565</v>
      </c>
      <c r="I66" s="3174" t="s">
        <v>3545</v>
      </c>
      <c r="J66" s="3165">
        <f t="shared" si="0"/>
        <v>2.3333333333333335</v>
      </c>
      <c r="K66" s="3165">
        <f t="shared" si="1"/>
        <v>235754.40000000002</v>
      </c>
    </row>
    <row r="67" spans="1:11" ht="15">
      <c r="A67" s="3170">
        <v>65</v>
      </c>
      <c r="B67" s="3171" t="s">
        <v>3526</v>
      </c>
      <c r="C67" s="3170" t="s">
        <v>3744</v>
      </c>
      <c r="D67" s="3172" t="s">
        <v>3745</v>
      </c>
      <c r="E67" s="3175" t="s">
        <v>3746</v>
      </c>
      <c r="F67" s="3170">
        <v>169.62</v>
      </c>
      <c r="G67" s="3170">
        <v>129</v>
      </c>
      <c r="H67" s="3170" t="s">
        <v>3552</v>
      </c>
      <c r="I67" s="3174" t="s">
        <v>3545</v>
      </c>
      <c r="J67" s="3165">
        <f t="shared" si="0"/>
        <v>4.3</v>
      </c>
      <c r="K67" s="3165">
        <f t="shared" si="1"/>
        <v>262571.76</v>
      </c>
    </row>
    <row r="68" spans="1:11" ht="15">
      <c r="A68" s="3170">
        <v>66</v>
      </c>
      <c r="B68" s="3171" t="s">
        <v>3526</v>
      </c>
      <c r="C68" s="3170" t="s">
        <v>3747</v>
      </c>
      <c r="D68" s="3172" t="s">
        <v>3748</v>
      </c>
      <c r="E68" s="3173" t="s">
        <v>3749</v>
      </c>
      <c r="F68" s="3170">
        <v>184.24</v>
      </c>
      <c r="G68" s="3170">
        <v>92</v>
      </c>
      <c r="H68" s="3170" t="s">
        <v>3565</v>
      </c>
      <c r="I68" s="3174" t="s">
        <v>3545</v>
      </c>
      <c r="J68" s="3165">
        <f t="shared" ref="J68:J131" si="2">G68/30</f>
        <v>3.0666666666666669</v>
      </c>
      <c r="K68" s="3165">
        <f t="shared" ref="K68:K131" si="3">G68*F68*12</f>
        <v>203400.96000000002</v>
      </c>
    </row>
    <row r="69" spans="1:11" ht="15">
      <c r="A69" s="3170">
        <v>67</v>
      </c>
      <c r="B69" s="3171" t="s">
        <v>3526</v>
      </c>
      <c r="C69" s="3170" t="s">
        <v>3750</v>
      </c>
      <c r="D69" s="3172" t="s">
        <v>3751</v>
      </c>
      <c r="E69" s="3173" t="s">
        <v>3752</v>
      </c>
      <c r="F69" s="3170">
        <v>164.12</v>
      </c>
      <c r="G69" s="3170">
        <v>80</v>
      </c>
      <c r="H69" s="3170" t="s">
        <v>3753</v>
      </c>
      <c r="I69" s="3174" t="s">
        <v>3680</v>
      </c>
      <c r="J69" s="3165">
        <f t="shared" si="2"/>
        <v>2.6666666666666665</v>
      </c>
      <c r="K69" s="3165">
        <f t="shared" si="3"/>
        <v>157555.20000000001</v>
      </c>
    </row>
    <row r="70" spans="1:11" ht="15">
      <c r="A70" s="3170">
        <v>68</v>
      </c>
      <c r="B70" s="3171" t="s">
        <v>3526</v>
      </c>
      <c r="C70" s="3170" t="s">
        <v>3754</v>
      </c>
      <c r="D70" s="3172" t="s">
        <v>3755</v>
      </c>
      <c r="E70" s="3173" t="s">
        <v>3756</v>
      </c>
      <c r="F70" s="3170">
        <v>148.94</v>
      </c>
      <c r="G70" s="3170">
        <v>81.75</v>
      </c>
      <c r="H70" s="3170" t="s">
        <v>3552</v>
      </c>
      <c r="I70" s="3174" t="s">
        <v>3545</v>
      </c>
      <c r="J70" s="3165">
        <f t="shared" si="2"/>
        <v>2.7250000000000001</v>
      </c>
      <c r="K70" s="3165">
        <f t="shared" si="3"/>
        <v>146110.13999999998</v>
      </c>
    </row>
    <row r="71" spans="1:11" ht="15">
      <c r="A71" s="3170">
        <v>69</v>
      </c>
      <c r="B71" s="3171" t="s">
        <v>3526</v>
      </c>
      <c r="C71" s="3170" t="s">
        <v>3757</v>
      </c>
      <c r="D71" s="3172" t="s">
        <v>3758</v>
      </c>
      <c r="E71" s="3173" t="s">
        <v>3759</v>
      </c>
      <c r="F71" s="3170">
        <v>126.32</v>
      </c>
      <c r="G71" s="3170">
        <v>125</v>
      </c>
      <c r="H71" s="3170" t="s">
        <v>3539</v>
      </c>
      <c r="I71" s="3174" t="s">
        <v>3545</v>
      </c>
      <c r="J71" s="3165">
        <f t="shared" si="2"/>
        <v>4.166666666666667</v>
      </c>
      <c r="K71" s="3165">
        <f t="shared" si="3"/>
        <v>189480</v>
      </c>
    </row>
    <row r="72" spans="1:11" ht="15">
      <c r="A72" s="3170">
        <v>70</v>
      </c>
      <c r="B72" s="3171" t="s">
        <v>3526</v>
      </c>
      <c r="C72" s="3170" t="s">
        <v>3760</v>
      </c>
      <c r="D72" s="3172" t="s">
        <v>3761</v>
      </c>
      <c r="E72" s="3173" t="s">
        <v>3762</v>
      </c>
      <c r="F72" s="3170">
        <v>92.99</v>
      </c>
      <c r="G72" s="3170">
        <v>129</v>
      </c>
      <c r="H72" s="3170" t="s">
        <v>3565</v>
      </c>
      <c r="I72" s="3174" t="s">
        <v>3545</v>
      </c>
      <c r="J72" s="3165">
        <f t="shared" si="2"/>
        <v>4.3</v>
      </c>
      <c r="K72" s="3165">
        <f t="shared" si="3"/>
        <v>143948.51999999999</v>
      </c>
    </row>
    <row r="73" spans="1:11" ht="15">
      <c r="A73" s="3170">
        <v>71</v>
      </c>
      <c r="B73" s="3171" t="s">
        <v>3526</v>
      </c>
      <c r="C73" s="3170" t="s">
        <v>3763</v>
      </c>
      <c r="D73" s="3172" t="s">
        <v>3764</v>
      </c>
      <c r="E73" s="3173" t="s">
        <v>3765</v>
      </c>
      <c r="F73" s="3170">
        <v>43.76</v>
      </c>
      <c r="G73" s="3170">
        <v>170</v>
      </c>
      <c r="H73" s="3170" t="s">
        <v>3766</v>
      </c>
      <c r="I73" s="3174" t="s">
        <v>3605</v>
      </c>
      <c r="J73" s="3165">
        <f t="shared" si="2"/>
        <v>5.666666666666667</v>
      </c>
      <c r="K73" s="3165">
        <f t="shared" si="3"/>
        <v>89270.399999999994</v>
      </c>
    </row>
    <row r="74" spans="1:11" ht="15">
      <c r="A74" s="3170">
        <v>72</v>
      </c>
      <c r="B74" s="3171" t="s">
        <v>3526</v>
      </c>
      <c r="C74" s="3170" t="s">
        <v>3767</v>
      </c>
      <c r="D74" s="3172" t="s">
        <v>3768</v>
      </c>
      <c r="E74" s="3173" t="s">
        <v>3769</v>
      </c>
      <c r="F74" s="3170">
        <v>55.36</v>
      </c>
      <c r="G74" s="3170">
        <v>145</v>
      </c>
      <c r="H74" s="3170" t="s">
        <v>3770</v>
      </c>
      <c r="I74" s="3174" t="s">
        <v>3545</v>
      </c>
      <c r="J74" s="3165">
        <f t="shared" si="2"/>
        <v>4.833333333333333</v>
      </c>
      <c r="K74" s="3165">
        <f t="shared" si="3"/>
        <v>96326.399999999994</v>
      </c>
    </row>
    <row r="75" spans="1:11" ht="15">
      <c r="A75" s="3170">
        <v>73</v>
      </c>
      <c r="B75" s="3171" t="s">
        <v>3526</v>
      </c>
      <c r="C75" s="3170" t="s">
        <v>3771</v>
      </c>
      <c r="D75" s="3172" t="s">
        <v>3673</v>
      </c>
      <c r="E75" s="3173" t="s">
        <v>3674</v>
      </c>
      <c r="F75" s="3170">
        <v>726.8</v>
      </c>
      <c r="G75" s="3170">
        <v>62.25</v>
      </c>
      <c r="H75" s="3170" t="s">
        <v>3701</v>
      </c>
      <c r="I75" s="3174" t="s">
        <v>3772</v>
      </c>
      <c r="J75" s="3165">
        <f t="shared" si="2"/>
        <v>2.0750000000000002</v>
      </c>
      <c r="K75" s="3165">
        <f t="shared" si="3"/>
        <v>542919.6</v>
      </c>
    </row>
    <row r="76" spans="1:11" ht="15">
      <c r="A76" s="3170">
        <v>74</v>
      </c>
      <c r="B76" s="3171" t="s">
        <v>3526</v>
      </c>
      <c r="C76" s="3170" t="s">
        <v>3773</v>
      </c>
      <c r="D76" s="3172" t="s">
        <v>3774</v>
      </c>
      <c r="E76" s="3173" t="s">
        <v>3596</v>
      </c>
      <c r="F76" s="3170">
        <v>641.08000000000004</v>
      </c>
      <c r="G76" s="3170">
        <v>47</v>
      </c>
      <c r="H76" s="3170" t="s">
        <v>3706</v>
      </c>
      <c r="I76" s="3174" t="s">
        <v>3697</v>
      </c>
      <c r="J76" s="3165">
        <f t="shared" si="2"/>
        <v>1.5666666666666667</v>
      </c>
      <c r="K76" s="3165">
        <f t="shared" si="3"/>
        <v>361569.12</v>
      </c>
    </row>
    <row r="77" spans="1:11" ht="30">
      <c r="A77" s="3170">
        <v>75</v>
      </c>
      <c r="B77" s="3171" t="s">
        <v>3526</v>
      </c>
      <c r="C77" s="3170" t="s">
        <v>3775</v>
      </c>
      <c r="D77" s="3172" t="s">
        <v>3776</v>
      </c>
      <c r="E77" s="3173" t="s">
        <v>3777</v>
      </c>
      <c r="F77" s="3170">
        <v>127.68</v>
      </c>
      <c r="G77" s="3170">
        <v>129</v>
      </c>
      <c r="H77" s="3170" t="s">
        <v>3565</v>
      </c>
      <c r="I77" s="3174" t="s">
        <v>3545</v>
      </c>
      <c r="J77" s="3165">
        <f t="shared" si="2"/>
        <v>4.3</v>
      </c>
      <c r="K77" s="3165">
        <f t="shared" si="3"/>
        <v>197648.64000000001</v>
      </c>
    </row>
    <row r="78" spans="1:11" ht="30">
      <c r="A78" s="3170">
        <v>76</v>
      </c>
      <c r="B78" s="3171" t="s">
        <v>3526</v>
      </c>
      <c r="C78" s="3170" t="s">
        <v>3778</v>
      </c>
      <c r="D78" s="3172" t="s">
        <v>3776</v>
      </c>
      <c r="E78" s="3173" t="s">
        <v>3777</v>
      </c>
      <c r="F78" s="3170">
        <v>153.72</v>
      </c>
      <c r="G78" s="3170">
        <v>129</v>
      </c>
      <c r="H78" s="3170" t="s">
        <v>3565</v>
      </c>
      <c r="I78" s="3174" t="s">
        <v>3545</v>
      </c>
      <c r="J78" s="3165">
        <f t="shared" si="2"/>
        <v>4.3</v>
      </c>
      <c r="K78" s="3165">
        <f t="shared" si="3"/>
        <v>237958.56</v>
      </c>
    </row>
    <row r="79" spans="1:11" ht="15">
      <c r="A79" s="3170">
        <v>77</v>
      </c>
      <c r="B79" s="3171" t="s">
        <v>3526</v>
      </c>
      <c r="C79" s="3170" t="s">
        <v>3779</v>
      </c>
      <c r="D79" s="3172" t="s">
        <v>3780</v>
      </c>
      <c r="E79" s="3175" t="s">
        <v>3781</v>
      </c>
      <c r="F79" s="3170">
        <v>70.7</v>
      </c>
      <c r="G79" s="3170">
        <v>129</v>
      </c>
      <c r="H79" s="3170" t="s">
        <v>3552</v>
      </c>
      <c r="I79" s="3174" t="s">
        <v>3545</v>
      </c>
      <c r="J79" s="3165">
        <f t="shared" si="2"/>
        <v>4.3</v>
      </c>
      <c r="K79" s="3165">
        <f t="shared" si="3"/>
        <v>109443.6</v>
      </c>
    </row>
    <row r="80" spans="1:11" ht="15">
      <c r="A80" s="3170">
        <v>78</v>
      </c>
      <c r="B80" s="3171" t="s">
        <v>3526</v>
      </c>
      <c r="C80" s="3170" t="s">
        <v>3782</v>
      </c>
      <c r="D80" s="3172" t="s">
        <v>3714</v>
      </c>
      <c r="E80" s="3173" t="s">
        <v>3783</v>
      </c>
      <c r="F80" s="3170">
        <v>160.72</v>
      </c>
      <c r="G80" s="3170">
        <v>70</v>
      </c>
      <c r="H80" s="3170" t="s">
        <v>3628</v>
      </c>
      <c r="I80" s="3174" t="s">
        <v>3540</v>
      </c>
      <c r="J80" s="3165">
        <f t="shared" si="2"/>
        <v>2.3333333333333335</v>
      </c>
      <c r="K80" s="3165">
        <f t="shared" si="3"/>
        <v>135004.79999999999</v>
      </c>
    </row>
    <row r="81" spans="1:11" ht="15">
      <c r="A81" s="3170">
        <v>79</v>
      </c>
      <c r="B81" s="3171" t="s">
        <v>3526</v>
      </c>
      <c r="C81" s="3170" t="s">
        <v>3784</v>
      </c>
      <c r="D81" s="3172" t="s">
        <v>3785</v>
      </c>
      <c r="E81" s="3173" t="s">
        <v>3786</v>
      </c>
      <c r="F81" s="3170">
        <v>35.93</v>
      </c>
      <c r="G81" s="3170">
        <v>13.92</v>
      </c>
      <c r="H81" s="3170" t="s">
        <v>3597</v>
      </c>
      <c r="I81" s="3174" t="s">
        <v>3545</v>
      </c>
      <c r="J81" s="3165">
        <f t="shared" si="2"/>
        <v>0.46400000000000002</v>
      </c>
      <c r="K81" s="3165">
        <f t="shared" si="3"/>
        <v>6001.7471999999998</v>
      </c>
    </row>
    <row r="82" spans="1:11" ht="15">
      <c r="A82" s="3170">
        <v>80</v>
      </c>
      <c r="B82" s="3171" t="s">
        <v>3787</v>
      </c>
      <c r="C82" s="3170" t="s">
        <v>3788</v>
      </c>
      <c r="D82" s="3172" t="s">
        <v>3789</v>
      </c>
      <c r="E82" s="3173" t="s">
        <v>3790</v>
      </c>
      <c r="F82" s="3170">
        <v>35.75</v>
      </c>
      <c r="G82" s="3170">
        <v>60.6</v>
      </c>
      <c r="H82" s="3170" t="s">
        <v>3552</v>
      </c>
      <c r="I82" s="3174" t="s">
        <v>3545</v>
      </c>
      <c r="J82" s="3165">
        <f t="shared" si="2"/>
        <v>2.02</v>
      </c>
      <c r="K82" s="3165">
        <f t="shared" si="3"/>
        <v>25997.4</v>
      </c>
    </row>
    <row r="83" spans="1:11" ht="15">
      <c r="A83" s="3170">
        <v>81</v>
      </c>
      <c r="B83" s="3171" t="s">
        <v>3787</v>
      </c>
      <c r="C83" s="3170" t="s">
        <v>3791</v>
      </c>
      <c r="D83" s="3172" t="s">
        <v>3792</v>
      </c>
      <c r="E83" s="3173" t="s">
        <v>3793</v>
      </c>
      <c r="F83" s="3170">
        <v>17.43</v>
      </c>
      <c r="G83" s="3170">
        <v>60.1</v>
      </c>
      <c r="H83" s="3170" t="s">
        <v>3552</v>
      </c>
      <c r="I83" s="3174" t="s">
        <v>3545</v>
      </c>
      <c r="J83" s="3165">
        <f t="shared" si="2"/>
        <v>2.0033333333333334</v>
      </c>
      <c r="K83" s="3165">
        <f t="shared" si="3"/>
        <v>12570.516000000001</v>
      </c>
    </row>
    <row r="84" spans="1:11" ht="15">
      <c r="A84" s="3170">
        <v>82</v>
      </c>
      <c r="B84" s="3171" t="s">
        <v>3526</v>
      </c>
      <c r="C84" s="3170" t="s">
        <v>3794</v>
      </c>
      <c r="D84" s="3172" t="s">
        <v>3795</v>
      </c>
      <c r="E84" s="3175" t="s">
        <v>3796</v>
      </c>
      <c r="F84" s="3170">
        <v>589.48</v>
      </c>
      <c r="G84" s="3170">
        <v>23</v>
      </c>
      <c r="H84" s="3170" t="s">
        <v>3797</v>
      </c>
      <c r="I84" s="3174" t="s">
        <v>3605</v>
      </c>
      <c r="J84" s="3165">
        <f t="shared" si="2"/>
        <v>0.76666666666666672</v>
      </c>
      <c r="K84" s="3165">
        <f t="shared" si="3"/>
        <v>162696.48000000001</v>
      </c>
    </row>
    <row r="85" spans="1:11" ht="15">
      <c r="A85" s="3170">
        <v>83</v>
      </c>
      <c r="B85" s="3171" t="s">
        <v>3787</v>
      </c>
      <c r="C85" s="3170" t="s">
        <v>3798</v>
      </c>
      <c r="D85" s="3172" t="s">
        <v>3799</v>
      </c>
      <c r="E85" s="3173" t="s">
        <v>3800</v>
      </c>
      <c r="F85" s="3170">
        <v>439.81</v>
      </c>
      <c r="G85" s="3170">
        <v>60.1</v>
      </c>
      <c r="H85" s="3170" t="s">
        <v>3801</v>
      </c>
      <c r="I85" s="3174" t="s">
        <v>3545</v>
      </c>
      <c r="J85" s="3165">
        <f t="shared" si="2"/>
        <v>2.0033333333333334</v>
      </c>
      <c r="K85" s="3165">
        <f t="shared" si="3"/>
        <v>317190.97200000001</v>
      </c>
    </row>
    <row r="86" spans="1:11" ht="15">
      <c r="A86" s="3170">
        <v>84</v>
      </c>
      <c r="B86" s="3171" t="s">
        <v>3787</v>
      </c>
      <c r="C86" s="3170" t="s">
        <v>3802</v>
      </c>
      <c r="D86" s="3172" t="s">
        <v>3803</v>
      </c>
      <c r="E86" s="3173" t="s">
        <v>3804</v>
      </c>
      <c r="F86" s="3170">
        <v>444.09</v>
      </c>
      <c r="G86" s="3170">
        <v>60.1</v>
      </c>
      <c r="H86" s="3170" t="s">
        <v>3801</v>
      </c>
      <c r="I86" s="3174" t="s">
        <v>3545</v>
      </c>
      <c r="J86" s="3165">
        <f t="shared" si="2"/>
        <v>2.0033333333333334</v>
      </c>
      <c r="K86" s="3165">
        <f t="shared" si="3"/>
        <v>320277.70799999998</v>
      </c>
    </row>
    <row r="87" spans="1:11" ht="15">
      <c r="A87" s="3170">
        <v>85</v>
      </c>
      <c r="B87" s="3171" t="s">
        <v>3787</v>
      </c>
      <c r="C87" s="3170" t="s">
        <v>3805</v>
      </c>
      <c r="D87" s="3172" t="s">
        <v>3806</v>
      </c>
      <c r="E87" s="3173" t="s">
        <v>3807</v>
      </c>
      <c r="F87" s="3170">
        <v>467.67</v>
      </c>
      <c r="G87" s="3170">
        <v>60.1</v>
      </c>
      <c r="H87" s="3170" t="s">
        <v>3801</v>
      </c>
      <c r="I87" s="3174" t="s">
        <v>3545</v>
      </c>
      <c r="J87" s="3165">
        <f t="shared" si="2"/>
        <v>2.0033333333333334</v>
      </c>
      <c r="K87" s="3165">
        <f t="shared" si="3"/>
        <v>337283.60399999999</v>
      </c>
    </row>
    <row r="88" spans="1:11" ht="15">
      <c r="A88" s="3170">
        <v>86</v>
      </c>
      <c r="B88" s="3171" t="s">
        <v>3787</v>
      </c>
      <c r="C88" s="3170" t="s">
        <v>3808</v>
      </c>
      <c r="D88" s="3172" t="s">
        <v>3809</v>
      </c>
      <c r="E88" s="3173" t="s">
        <v>3807</v>
      </c>
      <c r="F88" s="3170">
        <v>375.59</v>
      </c>
      <c r="G88" s="3170">
        <v>60.1</v>
      </c>
      <c r="H88" s="3170" t="s">
        <v>3801</v>
      </c>
      <c r="I88" s="3174" t="s">
        <v>3545</v>
      </c>
      <c r="J88" s="3165">
        <f t="shared" si="2"/>
        <v>2.0033333333333334</v>
      </c>
      <c r="K88" s="3165">
        <f t="shared" si="3"/>
        <v>270875.50799999997</v>
      </c>
    </row>
    <row r="89" spans="1:11" ht="15">
      <c r="A89" s="3170">
        <v>87</v>
      </c>
      <c r="B89" s="3171" t="s">
        <v>3526</v>
      </c>
      <c r="C89" s="3170" t="s">
        <v>3810</v>
      </c>
      <c r="D89" s="3172" t="s">
        <v>3811</v>
      </c>
      <c r="E89" s="3175" t="s">
        <v>3812</v>
      </c>
      <c r="F89" s="3170">
        <v>1180</v>
      </c>
      <c r="G89" s="3170">
        <v>60</v>
      </c>
      <c r="H89" s="3170" t="s">
        <v>3813</v>
      </c>
      <c r="I89" s="3174" t="s">
        <v>3814</v>
      </c>
      <c r="J89" s="3165">
        <f t="shared" si="2"/>
        <v>2</v>
      </c>
      <c r="K89" s="3165">
        <f t="shared" si="3"/>
        <v>849600</v>
      </c>
    </row>
    <row r="90" spans="1:11" ht="15">
      <c r="A90" s="3170">
        <v>88</v>
      </c>
      <c r="B90" s="3171" t="s">
        <v>3787</v>
      </c>
      <c r="C90" s="3170" t="s">
        <v>3815</v>
      </c>
      <c r="D90" s="3172" t="s">
        <v>3816</v>
      </c>
      <c r="E90" s="3173" t="s">
        <v>3817</v>
      </c>
      <c r="F90" s="3170">
        <v>243.24</v>
      </c>
      <c r="G90" s="3170">
        <v>60.1</v>
      </c>
      <c r="H90" s="3170" t="s">
        <v>3801</v>
      </c>
      <c r="I90" s="3174" t="s">
        <v>3545</v>
      </c>
      <c r="J90" s="3165">
        <f t="shared" si="2"/>
        <v>2.0033333333333334</v>
      </c>
      <c r="K90" s="3165">
        <f t="shared" si="3"/>
        <v>175424.68799999999</v>
      </c>
    </row>
    <row r="91" spans="1:11" ht="15">
      <c r="A91" s="3170">
        <v>89</v>
      </c>
      <c r="B91" s="3171" t="s">
        <v>3787</v>
      </c>
      <c r="C91" s="3170" t="s">
        <v>3818</v>
      </c>
      <c r="D91" s="3172" t="s">
        <v>3819</v>
      </c>
      <c r="E91" s="3173" t="s">
        <v>3820</v>
      </c>
      <c r="F91" s="3170">
        <v>499.24</v>
      </c>
      <c r="G91" s="3170">
        <v>60.1</v>
      </c>
      <c r="H91" s="3170" t="s">
        <v>3801</v>
      </c>
      <c r="I91" s="3174" t="s">
        <v>3545</v>
      </c>
      <c r="J91" s="3165">
        <f t="shared" si="2"/>
        <v>2.0033333333333334</v>
      </c>
      <c r="K91" s="3165">
        <f t="shared" si="3"/>
        <v>360051.88800000004</v>
      </c>
    </row>
    <row r="92" spans="1:11" ht="15">
      <c r="A92" s="3170">
        <v>90</v>
      </c>
      <c r="B92" s="3171" t="s">
        <v>3787</v>
      </c>
      <c r="C92" s="3170" t="s">
        <v>3821</v>
      </c>
      <c r="D92" s="3172" t="s">
        <v>3822</v>
      </c>
      <c r="E92" s="3173" t="s">
        <v>3823</v>
      </c>
      <c r="F92" s="3170">
        <v>680.31</v>
      </c>
      <c r="G92" s="3170">
        <v>60.1</v>
      </c>
      <c r="H92" s="3170" t="s">
        <v>3801</v>
      </c>
      <c r="I92" s="3174" t="s">
        <v>3545</v>
      </c>
      <c r="J92" s="3165">
        <f t="shared" si="2"/>
        <v>2.0033333333333334</v>
      </c>
      <c r="K92" s="3165">
        <f t="shared" si="3"/>
        <v>490639.57200000004</v>
      </c>
    </row>
    <row r="93" spans="1:11" ht="15">
      <c r="A93" s="3170">
        <v>91</v>
      </c>
      <c r="B93" s="3171" t="s">
        <v>3787</v>
      </c>
      <c r="C93" s="3170" t="s">
        <v>3824</v>
      </c>
      <c r="D93" s="3172" t="s">
        <v>3822</v>
      </c>
      <c r="E93" s="3173" t="s">
        <v>3823</v>
      </c>
      <c r="F93" s="3170">
        <v>484.73</v>
      </c>
      <c r="G93" s="3170">
        <v>60.1</v>
      </c>
      <c r="H93" s="3170" t="s">
        <v>3801</v>
      </c>
      <c r="I93" s="3174" t="s">
        <v>3545</v>
      </c>
      <c r="J93" s="3165">
        <f t="shared" si="2"/>
        <v>2.0033333333333334</v>
      </c>
      <c r="K93" s="3165">
        <f t="shared" si="3"/>
        <v>349587.27600000001</v>
      </c>
    </row>
    <row r="94" spans="1:11" ht="15">
      <c r="A94" s="3170">
        <v>92</v>
      </c>
      <c r="B94" s="3171" t="s">
        <v>3787</v>
      </c>
      <c r="C94" s="3170" t="s">
        <v>3825</v>
      </c>
      <c r="D94" s="3172" t="s">
        <v>3822</v>
      </c>
      <c r="E94" s="3173" t="s">
        <v>3823</v>
      </c>
      <c r="F94" s="3170">
        <v>688.87</v>
      </c>
      <c r="G94" s="3170">
        <v>60.1</v>
      </c>
      <c r="H94" s="3170" t="s">
        <v>3801</v>
      </c>
      <c r="I94" s="3174" t="s">
        <v>3545</v>
      </c>
      <c r="J94" s="3165">
        <f t="shared" si="2"/>
        <v>2.0033333333333334</v>
      </c>
      <c r="K94" s="3165">
        <f t="shared" si="3"/>
        <v>496813.04399999999</v>
      </c>
    </row>
    <row r="95" spans="1:11" ht="15">
      <c r="A95" s="3170">
        <v>93</v>
      </c>
      <c r="B95" s="3171" t="s">
        <v>3787</v>
      </c>
      <c r="C95" s="3170" t="s">
        <v>3826</v>
      </c>
      <c r="D95" s="3172" t="s">
        <v>3827</v>
      </c>
      <c r="E95" s="3173" t="s">
        <v>3828</v>
      </c>
      <c r="F95" s="3170">
        <v>382.88</v>
      </c>
      <c r="G95" s="3170">
        <v>60.1</v>
      </c>
      <c r="H95" s="3170" t="s">
        <v>3801</v>
      </c>
      <c r="I95" s="3174" t="s">
        <v>3545</v>
      </c>
      <c r="J95" s="3165">
        <f t="shared" si="2"/>
        <v>2.0033333333333334</v>
      </c>
      <c r="K95" s="3165">
        <f t="shared" si="3"/>
        <v>276133.05599999998</v>
      </c>
    </row>
    <row r="96" spans="1:11" ht="15">
      <c r="A96" s="3170">
        <v>94</v>
      </c>
      <c r="B96" s="3171" t="s">
        <v>3787</v>
      </c>
      <c r="C96" s="3170" t="s">
        <v>3829</v>
      </c>
      <c r="D96" s="3172" t="s">
        <v>3830</v>
      </c>
      <c r="E96" s="3173" t="s">
        <v>3831</v>
      </c>
      <c r="F96" s="3170">
        <v>254.37</v>
      </c>
      <c r="G96" s="3170">
        <v>60.1</v>
      </c>
      <c r="H96" s="3170" t="s">
        <v>3801</v>
      </c>
      <c r="I96" s="3174" t="s">
        <v>3545</v>
      </c>
      <c r="J96" s="3165">
        <f t="shared" si="2"/>
        <v>2.0033333333333334</v>
      </c>
      <c r="K96" s="3165">
        <f t="shared" si="3"/>
        <v>183451.644</v>
      </c>
    </row>
    <row r="97" spans="1:11" ht="15">
      <c r="A97" s="3170">
        <v>95</v>
      </c>
      <c r="B97" s="3171" t="s">
        <v>3787</v>
      </c>
      <c r="C97" s="3170" t="s">
        <v>3832</v>
      </c>
      <c r="D97" s="3172" t="s">
        <v>3830</v>
      </c>
      <c r="E97" s="3173" t="s">
        <v>3831</v>
      </c>
      <c r="F97" s="3170">
        <v>275.95999999999998</v>
      </c>
      <c r="G97" s="3170">
        <v>60.1</v>
      </c>
      <c r="H97" s="3170" t="s">
        <v>3801</v>
      </c>
      <c r="I97" s="3174" t="s">
        <v>3545</v>
      </c>
      <c r="J97" s="3165">
        <f t="shared" si="2"/>
        <v>2.0033333333333334</v>
      </c>
      <c r="K97" s="3165">
        <f t="shared" si="3"/>
        <v>199022.35200000001</v>
      </c>
    </row>
    <row r="98" spans="1:11" ht="15">
      <c r="A98" s="3170">
        <v>96</v>
      </c>
      <c r="B98" s="3171" t="s">
        <v>3787</v>
      </c>
      <c r="C98" s="3170" t="s">
        <v>3833</v>
      </c>
      <c r="D98" s="3172" t="s">
        <v>3830</v>
      </c>
      <c r="E98" s="3173" t="s">
        <v>3831</v>
      </c>
      <c r="F98" s="3170">
        <v>374.66</v>
      </c>
      <c r="G98" s="3170">
        <v>60.1</v>
      </c>
      <c r="H98" s="3170" t="s">
        <v>3801</v>
      </c>
      <c r="I98" s="3174" t="s">
        <v>3545</v>
      </c>
      <c r="J98" s="3165">
        <f t="shared" si="2"/>
        <v>2.0033333333333334</v>
      </c>
      <c r="K98" s="3165">
        <f t="shared" si="3"/>
        <v>270204.79200000002</v>
      </c>
    </row>
    <row r="99" spans="1:11" ht="15">
      <c r="A99" s="3170">
        <v>97</v>
      </c>
      <c r="B99" s="3171" t="s">
        <v>3787</v>
      </c>
      <c r="C99" s="3170" t="s">
        <v>3834</v>
      </c>
      <c r="D99" s="3172" t="s">
        <v>3835</v>
      </c>
      <c r="E99" s="3173" t="s">
        <v>3836</v>
      </c>
      <c r="F99" s="3170">
        <v>451.92</v>
      </c>
      <c r="G99" s="3170">
        <v>60.1</v>
      </c>
      <c r="H99" s="3170" t="s">
        <v>3801</v>
      </c>
      <c r="I99" s="3174" t="s">
        <v>3545</v>
      </c>
      <c r="J99" s="3165">
        <f t="shared" si="2"/>
        <v>2.0033333333333334</v>
      </c>
      <c r="K99" s="3165">
        <f t="shared" si="3"/>
        <v>325924.70400000003</v>
      </c>
    </row>
    <row r="100" spans="1:11" ht="15">
      <c r="A100" s="3170">
        <v>98</v>
      </c>
      <c r="B100" s="3171" t="s">
        <v>3787</v>
      </c>
      <c r="C100" s="3170" t="s">
        <v>3837</v>
      </c>
      <c r="D100" s="3172" t="s">
        <v>3838</v>
      </c>
      <c r="E100" s="3173" t="s">
        <v>3839</v>
      </c>
      <c r="F100" s="3170">
        <v>592.61</v>
      </c>
      <c r="G100" s="3170">
        <v>68.099999999999994</v>
      </c>
      <c r="H100" s="3170" t="s">
        <v>3597</v>
      </c>
      <c r="I100" s="3174" t="s">
        <v>3545</v>
      </c>
      <c r="J100" s="3165">
        <f t="shared" si="2"/>
        <v>2.27</v>
      </c>
      <c r="K100" s="3165">
        <f t="shared" si="3"/>
        <v>484280.89199999993</v>
      </c>
    </row>
    <row r="101" spans="1:11" ht="15">
      <c r="A101" s="3170">
        <v>99</v>
      </c>
      <c r="B101" s="3171" t="s">
        <v>3787</v>
      </c>
      <c r="C101" s="3170" t="s">
        <v>3840</v>
      </c>
      <c r="D101" s="3172" t="s">
        <v>3841</v>
      </c>
      <c r="E101" s="3173" t="s">
        <v>3842</v>
      </c>
      <c r="F101" s="3170">
        <v>493.35</v>
      </c>
      <c r="G101" s="3170">
        <v>68.099999999999994</v>
      </c>
      <c r="H101" s="3170" t="s">
        <v>3597</v>
      </c>
      <c r="I101" s="3174" t="s">
        <v>3545</v>
      </c>
      <c r="J101" s="3165">
        <f t="shared" si="2"/>
        <v>2.27</v>
      </c>
      <c r="K101" s="3165">
        <f t="shared" si="3"/>
        <v>403165.62</v>
      </c>
    </row>
    <row r="102" spans="1:11" ht="15">
      <c r="A102" s="3170">
        <v>100</v>
      </c>
      <c r="B102" s="3171" t="s">
        <v>3787</v>
      </c>
      <c r="C102" s="3170" t="s">
        <v>3843</v>
      </c>
      <c r="D102" s="3172" t="s">
        <v>3841</v>
      </c>
      <c r="E102" s="3173" t="s">
        <v>3842</v>
      </c>
      <c r="F102" s="3170">
        <v>236.68</v>
      </c>
      <c r="G102" s="3170">
        <v>60.1</v>
      </c>
      <c r="H102" s="3170" t="s">
        <v>3539</v>
      </c>
      <c r="I102" s="3174" t="s">
        <v>3545</v>
      </c>
      <c r="J102" s="3165">
        <f t="shared" si="2"/>
        <v>2.0033333333333334</v>
      </c>
      <c r="K102" s="3165">
        <f t="shared" si="3"/>
        <v>170693.61600000001</v>
      </c>
    </row>
    <row r="103" spans="1:11" ht="15">
      <c r="A103" s="3170">
        <v>101</v>
      </c>
      <c r="B103" s="3171" t="s">
        <v>3787</v>
      </c>
      <c r="C103" s="3170" t="s">
        <v>3844</v>
      </c>
      <c r="D103" s="3172" t="s">
        <v>3845</v>
      </c>
      <c r="E103" s="3173" t="s">
        <v>3846</v>
      </c>
      <c r="F103" s="3170">
        <v>343.9</v>
      </c>
      <c r="G103" s="3170">
        <v>68.099999999999994</v>
      </c>
      <c r="H103" s="3170" t="s">
        <v>3597</v>
      </c>
      <c r="I103" s="3174" t="s">
        <v>3545</v>
      </c>
      <c r="J103" s="3165">
        <f t="shared" si="2"/>
        <v>2.27</v>
      </c>
      <c r="K103" s="3165">
        <f t="shared" si="3"/>
        <v>281035.07999999996</v>
      </c>
    </row>
    <row r="104" spans="1:11" ht="15">
      <c r="A104" s="3170">
        <v>102</v>
      </c>
      <c r="B104" s="3171" t="s">
        <v>3787</v>
      </c>
      <c r="C104" s="3170" t="s">
        <v>3847</v>
      </c>
      <c r="D104" s="3172" t="s">
        <v>3848</v>
      </c>
      <c r="E104" s="3173" t="s">
        <v>3849</v>
      </c>
      <c r="F104" s="3170">
        <v>468.53</v>
      </c>
      <c r="G104" s="3170">
        <v>68.099999999999994</v>
      </c>
      <c r="H104" s="3170" t="s">
        <v>3597</v>
      </c>
      <c r="I104" s="3174" t="s">
        <v>3545</v>
      </c>
      <c r="J104" s="3165">
        <f t="shared" si="2"/>
        <v>2.27</v>
      </c>
      <c r="K104" s="3165">
        <f t="shared" si="3"/>
        <v>382882.71599999996</v>
      </c>
    </row>
    <row r="105" spans="1:11" ht="15">
      <c r="A105" s="3170">
        <v>103</v>
      </c>
      <c r="B105" s="3171" t="s">
        <v>3787</v>
      </c>
      <c r="C105" s="3170" t="s">
        <v>3850</v>
      </c>
      <c r="D105" s="3172" t="s">
        <v>3851</v>
      </c>
      <c r="E105" s="3173" t="s">
        <v>3852</v>
      </c>
      <c r="F105" s="3170">
        <v>713.76</v>
      </c>
      <c r="G105" s="3170">
        <v>60.1</v>
      </c>
      <c r="H105" s="3170" t="s">
        <v>3565</v>
      </c>
      <c r="I105" s="3174" t="s">
        <v>3545</v>
      </c>
      <c r="J105" s="3165">
        <f t="shared" si="2"/>
        <v>2.0033333333333334</v>
      </c>
      <c r="K105" s="3165">
        <f t="shared" si="3"/>
        <v>514763.71200000006</v>
      </c>
    </row>
    <row r="106" spans="1:11" ht="15">
      <c r="A106" s="3170">
        <v>104</v>
      </c>
      <c r="B106" s="3171" t="s">
        <v>3787</v>
      </c>
      <c r="C106" s="3170" t="s">
        <v>3853</v>
      </c>
      <c r="D106" s="3172" t="s">
        <v>3854</v>
      </c>
      <c r="E106" s="3173" t="s">
        <v>3855</v>
      </c>
      <c r="F106" s="3170">
        <v>268.87</v>
      </c>
      <c r="G106" s="3170">
        <v>68.099999999999994</v>
      </c>
      <c r="H106" s="3170" t="s">
        <v>3597</v>
      </c>
      <c r="I106" s="3174" t="s">
        <v>3545</v>
      </c>
      <c r="J106" s="3165">
        <f t="shared" si="2"/>
        <v>2.27</v>
      </c>
      <c r="K106" s="3165">
        <f t="shared" si="3"/>
        <v>219720.56399999998</v>
      </c>
    </row>
    <row r="107" spans="1:11" ht="15">
      <c r="A107" s="3170">
        <v>105</v>
      </c>
      <c r="B107" s="3171" t="s">
        <v>3787</v>
      </c>
      <c r="C107" s="3170" t="s">
        <v>3856</v>
      </c>
      <c r="D107" s="3176" t="s">
        <v>3857</v>
      </c>
      <c r="E107" s="3175" t="s">
        <v>3858</v>
      </c>
      <c r="F107" s="3170">
        <v>858.59</v>
      </c>
      <c r="G107" s="3170">
        <v>68.099999999999994</v>
      </c>
      <c r="H107" s="3177">
        <v>45649</v>
      </c>
      <c r="I107" s="3178">
        <v>46203</v>
      </c>
      <c r="J107" s="3165">
        <f t="shared" si="2"/>
        <v>2.27</v>
      </c>
      <c r="K107" s="3165">
        <f t="shared" si="3"/>
        <v>701639.74800000002</v>
      </c>
    </row>
    <row r="108" spans="1:11" ht="15">
      <c r="A108" s="3170">
        <v>106</v>
      </c>
      <c r="B108" s="3171" t="s">
        <v>3787</v>
      </c>
      <c r="C108" s="3170" t="s">
        <v>3859</v>
      </c>
      <c r="D108" s="3172" t="s">
        <v>3860</v>
      </c>
      <c r="E108" s="3173" t="s">
        <v>3861</v>
      </c>
      <c r="F108" s="3170">
        <v>214.87</v>
      </c>
      <c r="G108" s="3170">
        <v>68.099999999999994</v>
      </c>
      <c r="H108" s="3170" t="s">
        <v>3544</v>
      </c>
      <c r="I108" s="3174" t="s">
        <v>3545</v>
      </c>
      <c r="J108" s="3165">
        <f t="shared" si="2"/>
        <v>2.27</v>
      </c>
      <c r="K108" s="3165">
        <f t="shared" si="3"/>
        <v>175591.764</v>
      </c>
    </row>
    <row r="109" spans="1:11" ht="15">
      <c r="A109" s="3170">
        <v>107</v>
      </c>
      <c r="B109" s="3171" t="s">
        <v>3787</v>
      </c>
      <c r="C109" s="3170" t="s">
        <v>3862</v>
      </c>
      <c r="D109" s="3172" t="s">
        <v>3860</v>
      </c>
      <c r="E109" s="3173" t="s">
        <v>3861</v>
      </c>
      <c r="F109" s="3170">
        <v>466.27</v>
      </c>
      <c r="G109" s="3170">
        <v>68.099999999999994</v>
      </c>
      <c r="H109" s="3170" t="s">
        <v>3597</v>
      </c>
      <c r="I109" s="3174" t="s">
        <v>3545</v>
      </c>
      <c r="J109" s="3165">
        <f t="shared" si="2"/>
        <v>2.27</v>
      </c>
      <c r="K109" s="3165">
        <f t="shared" si="3"/>
        <v>381035.84399999998</v>
      </c>
    </row>
    <row r="110" spans="1:11" ht="15">
      <c r="A110" s="3170">
        <v>108</v>
      </c>
      <c r="B110" s="3171" t="s">
        <v>3787</v>
      </c>
      <c r="C110" s="3170" t="s">
        <v>3863</v>
      </c>
      <c r="D110" s="3172" t="s">
        <v>3864</v>
      </c>
      <c r="E110" s="3173" t="s">
        <v>3865</v>
      </c>
      <c r="F110" s="3170">
        <v>1004.19</v>
      </c>
      <c r="G110" s="3170">
        <v>68.099999999999994</v>
      </c>
      <c r="H110" s="3170" t="s">
        <v>3597</v>
      </c>
      <c r="I110" s="3174" t="s">
        <v>3545</v>
      </c>
      <c r="J110" s="3165">
        <f t="shared" si="2"/>
        <v>2.27</v>
      </c>
      <c r="K110" s="3165">
        <f t="shared" si="3"/>
        <v>820624.06799999997</v>
      </c>
    </row>
    <row r="111" spans="1:11" ht="15">
      <c r="A111" s="3170">
        <v>109</v>
      </c>
      <c r="B111" s="3171" t="s">
        <v>3787</v>
      </c>
      <c r="C111" s="3170" t="s">
        <v>3866</v>
      </c>
      <c r="D111" s="3172" t="s">
        <v>3799</v>
      </c>
      <c r="E111" s="3173" t="s">
        <v>3867</v>
      </c>
      <c r="F111" s="3170">
        <v>201.63</v>
      </c>
      <c r="G111" s="3170">
        <v>68.099999999999994</v>
      </c>
      <c r="H111" s="3170" t="s">
        <v>3597</v>
      </c>
      <c r="I111" s="3174" t="s">
        <v>3545</v>
      </c>
      <c r="J111" s="3165">
        <f t="shared" si="2"/>
        <v>2.27</v>
      </c>
      <c r="K111" s="3165">
        <f t="shared" si="3"/>
        <v>164772.03599999999</v>
      </c>
    </row>
    <row r="112" spans="1:11" ht="15">
      <c r="A112" s="3170">
        <v>110</v>
      </c>
      <c r="B112" s="3171" t="s">
        <v>3787</v>
      </c>
      <c r="C112" s="3170" t="s">
        <v>3868</v>
      </c>
      <c r="D112" s="3172" t="s">
        <v>3869</v>
      </c>
      <c r="E112" s="3173" t="s">
        <v>3870</v>
      </c>
      <c r="F112" s="3170">
        <v>255.01</v>
      </c>
      <c r="G112" s="3170">
        <v>68.099999999999994</v>
      </c>
      <c r="H112" s="3170" t="s">
        <v>3597</v>
      </c>
      <c r="I112" s="3174" t="s">
        <v>3545</v>
      </c>
      <c r="J112" s="3165">
        <f t="shared" si="2"/>
        <v>2.27</v>
      </c>
      <c r="K112" s="3165">
        <f t="shared" si="3"/>
        <v>208394.17199999996</v>
      </c>
    </row>
    <row r="113" spans="1:11" ht="15">
      <c r="A113" s="3170">
        <v>111</v>
      </c>
      <c r="B113" s="3171" t="s">
        <v>3787</v>
      </c>
      <c r="C113" s="3170" t="s">
        <v>3871</v>
      </c>
      <c r="D113" s="3172" t="s">
        <v>3872</v>
      </c>
      <c r="E113" s="3173" t="s">
        <v>3873</v>
      </c>
      <c r="F113" s="3170">
        <v>137.18</v>
      </c>
      <c r="G113" s="3170">
        <v>68.099999999999994</v>
      </c>
      <c r="H113" s="3170" t="s">
        <v>3597</v>
      </c>
      <c r="I113" s="3174" t="s">
        <v>3545</v>
      </c>
      <c r="J113" s="3165">
        <f t="shared" si="2"/>
        <v>2.27</v>
      </c>
      <c r="K113" s="3165">
        <f t="shared" si="3"/>
        <v>112103.49600000001</v>
      </c>
    </row>
    <row r="114" spans="1:11" ht="15">
      <c r="A114" s="3170">
        <v>112</v>
      </c>
      <c r="B114" s="3171" t="s">
        <v>3787</v>
      </c>
      <c r="C114" s="3170" t="s">
        <v>3874</v>
      </c>
      <c r="D114" s="3172" t="s">
        <v>3875</v>
      </c>
      <c r="E114" s="3173" t="s">
        <v>3876</v>
      </c>
      <c r="F114" s="3170">
        <v>140.53</v>
      </c>
      <c r="G114" s="3170">
        <v>68.099999999999994</v>
      </c>
      <c r="H114" s="3170" t="s">
        <v>3597</v>
      </c>
      <c r="I114" s="3174" t="s">
        <v>3545</v>
      </c>
      <c r="J114" s="3165">
        <f t="shared" si="2"/>
        <v>2.27</v>
      </c>
      <c r="K114" s="3165">
        <f t="shared" si="3"/>
        <v>114841.11599999998</v>
      </c>
    </row>
    <row r="115" spans="1:11" ht="15">
      <c r="A115" s="3170">
        <v>113</v>
      </c>
      <c r="B115" s="3171" t="s">
        <v>3787</v>
      </c>
      <c r="C115" s="3170" t="s">
        <v>3877</v>
      </c>
      <c r="D115" s="3172" t="s">
        <v>3854</v>
      </c>
      <c r="E115" s="3173" t="s">
        <v>3878</v>
      </c>
      <c r="F115" s="3170">
        <v>483.57</v>
      </c>
      <c r="G115" s="3170">
        <v>68.099999999999994</v>
      </c>
      <c r="H115" s="3170" t="s">
        <v>3597</v>
      </c>
      <c r="I115" s="3174" t="s">
        <v>3545</v>
      </c>
      <c r="J115" s="3165">
        <f t="shared" si="2"/>
        <v>2.27</v>
      </c>
      <c r="K115" s="3165">
        <f t="shared" si="3"/>
        <v>395173.40399999998</v>
      </c>
    </row>
    <row r="116" spans="1:11" ht="30">
      <c r="A116" s="3170">
        <v>114</v>
      </c>
      <c r="B116" s="3171" t="s">
        <v>3787</v>
      </c>
      <c r="C116" s="3170" t="s">
        <v>3879</v>
      </c>
      <c r="D116" s="3172" t="s">
        <v>3880</v>
      </c>
      <c r="E116" s="3173" t="s">
        <v>3881</v>
      </c>
      <c r="F116" s="3170">
        <v>158.04</v>
      </c>
      <c r="G116" s="3170">
        <v>68.099999999999994</v>
      </c>
      <c r="H116" s="3170" t="s">
        <v>3597</v>
      </c>
      <c r="I116" s="3174" t="s">
        <v>3545</v>
      </c>
      <c r="J116" s="3165">
        <f t="shared" si="2"/>
        <v>2.27</v>
      </c>
      <c r="K116" s="3165">
        <f t="shared" si="3"/>
        <v>129150.288</v>
      </c>
    </row>
    <row r="117" spans="1:11" ht="15">
      <c r="A117" s="3170">
        <v>115</v>
      </c>
      <c r="B117" s="3171" t="s">
        <v>3787</v>
      </c>
      <c r="C117" s="3170" t="s">
        <v>3882</v>
      </c>
      <c r="D117" s="3172" t="s">
        <v>3883</v>
      </c>
      <c r="E117" s="3173" t="s">
        <v>3884</v>
      </c>
      <c r="F117" s="3170">
        <v>223.91</v>
      </c>
      <c r="G117" s="3170">
        <v>68.099999999999994</v>
      </c>
      <c r="H117" s="3170" t="s">
        <v>3597</v>
      </c>
      <c r="I117" s="3174" t="s">
        <v>3545</v>
      </c>
      <c r="J117" s="3165">
        <f t="shared" si="2"/>
        <v>2.27</v>
      </c>
      <c r="K117" s="3165">
        <f t="shared" si="3"/>
        <v>182979.25199999998</v>
      </c>
    </row>
    <row r="118" spans="1:11" ht="15">
      <c r="A118" s="3170">
        <v>116</v>
      </c>
      <c r="B118" s="3171" t="s">
        <v>3526</v>
      </c>
      <c r="C118" s="3170" t="s">
        <v>3885</v>
      </c>
      <c r="D118" s="3172" t="s">
        <v>3886</v>
      </c>
      <c r="E118" s="3173" t="s">
        <v>3887</v>
      </c>
      <c r="F118" s="3170">
        <v>28.54</v>
      </c>
      <c r="G118" s="3170">
        <v>15</v>
      </c>
      <c r="H118" s="3170" t="s">
        <v>3597</v>
      </c>
      <c r="I118" s="3174" t="s">
        <v>3609</v>
      </c>
      <c r="J118" s="3165">
        <f t="shared" si="2"/>
        <v>0.5</v>
      </c>
      <c r="K118" s="3165">
        <f t="shared" si="3"/>
        <v>5137.2</v>
      </c>
    </row>
    <row r="119" spans="1:11" ht="15">
      <c r="A119" s="3170">
        <v>117</v>
      </c>
      <c r="B119" s="3171" t="s">
        <v>3526</v>
      </c>
      <c r="C119" s="3170" t="s">
        <v>3888</v>
      </c>
      <c r="D119" s="3172" t="s">
        <v>3889</v>
      </c>
      <c r="E119" s="3173" t="s">
        <v>3890</v>
      </c>
      <c r="F119" s="3170">
        <v>36</v>
      </c>
      <c r="G119" s="3170">
        <v>15</v>
      </c>
      <c r="H119" s="3170" t="s">
        <v>3544</v>
      </c>
      <c r="I119" s="3174" t="s">
        <v>3545</v>
      </c>
      <c r="J119" s="3165">
        <f t="shared" si="2"/>
        <v>0.5</v>
      </c>
      <c r="K119" s="3165">
        <f t="shared" si="3"/>
        <v>6480</v>
      </c>
    </row>
    <row r="120" spans="1:11" ht="15">
      <c r="A120" s="3170">
        <v>118</v>
      </c>
      <c r="B120" s="3171" t="s">
        <v>3526</v>
      </c>
      <c r="C120" s="3170" t="s">
        <v>3891</v>
      </c>
      <c r="D120" s="3172" t="s">
        <v>3892</v>
      </c>
      <c r="E120" s="3173" t="s">
        <v>3893</v>
      </c>
      <c r="F120" s="3170">
        <v>19.55</v>
      </c>
      <c r="G120" s="3170">
        <v>245</v>
      </c>
      <c r="H120" s="3170" t="s">
        <v>3539</v>
      </c>
      <c r="I120" s="3174" t="s">
        <v>3590</v>
      </c>
      <c r="J120" s="3165">
        <f t="shared" si="2"/>
        <v>8.1666666666666661</v>
      </c>
      <c r="K120" s="3165">
        <f t="shared" si="3"/>
        <v>57477</v>
      </c>
    </row>
    <row r="121" spans="1:11" ht="15">
      <c r="A121" s="3170">
        <v>119</v>
      </c>
      <c r="B121" s="3171" t="s">
        <v>3526</v>
      </c>
      <c r="C121" s="3170" t="s">
        <v>3894</v>
      </c>
      <c r="D121" s="3172" t="s">
        <v>3889</v>
      </c>
      <c r="E121" s="3173" t="s">
        <v>3895</v>
      </c>
      <c r="F121" s="3170">
        <v>20</v>
      </c>
      <c r="G121" s="3170">
        <v>200</v>
      </c>
      <c r="H121" s="3170" t="s">
        <v>3565</v>
      </c>
      <c r="I121" s="3174" t="s">
        <v>3609</v>
      </c>
      <c r="J121" s="3165">
        <f t="shared" si="2"/>
        <v>6.666666666666667</v>
      </c>
      <c r="K121" s="3165">
        <f t="shared" si="3"/>
        <v>48000</v>
      </c>
    </row>
    <row r="122" spans="1:11" ht="15">
      <c r="A122" s="3170">
        <v>120</v>
      </c>
      <c r="B122" s="3171" t="s">
        <v>3526</v>
      </c>
      <c r="C122" s="3170" t="s">
        <v>3896</v>
      </c>
      <c r="D122" s="3172" t="s">
        <v>3897</v>
      </c>
      <c r="E122" s="3173" t="s">
        <v>3898</v>
      </c>
      <c r="F122" s="3170">
        <v>29.21</v>
      </c>
      <c r="G122" s="3170">
        <v>185</v>
      </c>
      <c r="H122" s="3170" t="s">
        <v>3565</v>
      </c>
      <c r="I122" s="3174" t="s">
        <v>3609</v>
      </c>
      <c r="J122" s="3165">
        <f t="shared" si="2"/>
        <v>6.166666666666667</v>
      </c>
      <c r="K122" s="3165">
        <f t="shared" si="3"/>
        <v>64846.200000000004</v>
      </c>
    </row>
    <row r="123" spans="1:11" ht="30">
      <c r="A123" s="3170">
        <v>121</v>
      </c>
      <c r="B123" s="3171" t="s">
        <v>3526</v>
      </c>
      <c r="C123" s="3170" t="s">
        <v>3899</v>
      </c>
      <c r="D123" s="3172" t="s">
        <v>3900</v>
      </c>
      <c r="E123" s="3173" t="s">
        <v>3901</v>
      </c>
      <c r="F123" s="3170">
        <v>42.9</v>
      </c>
      <c r="G123" s="3170">
        <v>187</v>
      </c>
      <c r="H123" s="3170" t="s">
        <v>3706</v>
      </c>
      <c r="I123" s="3174" t="s">
        <v>3545</v>
      </c>
      <c r="J123" s="3165">
        <f t="shared" si="2"/>
        <v>6.2333333333333334</v>
      </c>
      <c r="K123" s="3165">
        <f t="shared" si="3"/>
        <v>96267.6</v>
      </c>
    </row>
    <row r="124" spans="1:11" ht="15">
      <c r="A124" s="3170">
        <v>122</v>
      </c>
      <c r="B124" s="3171" t="s">
        <v>3526</v>
      </c>
      <c r="C124" s="3170" t="s">
        <v>3902</v>
      </c>
      <c r="D124" s="3172" t="s">
        <v>3903</v>
      </c>
      <c r="E124" s="3173" t="s">
        <v>3904</v>
      </c>
      <c r="F124" s="3170">
        <v>49.25</v>
      </c>
      <c r="G124" s="3170">
        <v>190</v>
      </c>
      <c r="H124" s="3170" t="s">
        <v>3706</v>
      </c>
      <c r="I124" s="3174" t="s">
        <v>3545</v>
      </c>
      <c r="J124" s="3165">
        <f t="shared" si="2"/>
        <v>6.333333333333333</v>
      </c>
      <c r="K124" s="3165">
        <f t="shared" si="3"/>
        <v>112290</v>
      </c>
    </row>
    <row r="125" spans="1:11" ht="15">
      <c r="A125" s="3170">
        <v>123</v>
      </c>
      <c r="B125" s="3171" t="s">
        <v>3526</v>
      </c>
      <c r="C125" s="3170" t="s">
        <v>3905</v>
      </c>
      <c r="D125" s="3172" t="s">
        <v>3906</v>
      </c>
      <c r="E125" s="3173" t="s">
        <v>3907</v>
      </c>
      <c r="F125" s="3170">
        <v>83.76</v>
      </c>
      <c r="G125" s="3170">
        <v>100</v>
      </c>
      <c r="H125" s="3170" t="s">
        <v>3544</v>
      </c>
      <c r="I125" s="3174" t="s">
        <v>3545</v>
      </c>
      <c r="J125" s="3165">
        <f t="shared" si="2"/>
        <v>3.3333333333333335</v>
      </c>
      <c r="K125" s="3165">
        <f t="shared" si="3"/>
        <v>100512</v>
      </c>
    </row>
    <row r="126" spans="1:11" ht="15">
      <c r="A126" s="3170">
        <v>124</v>
      </c>
      <c r="B126" s="3171" t="s">
        <v>3526</v>
      </c>
      <c r="C126" s="3170" t="s">
        <v>3908</v>
      </c>
      <c r="D126" s="3172" t="s">
        <v>3886</v>
      </c>
      <c r="E126" s="3173" t="s">
        <v>3887</v>
      </c>
      <c r="F126" s="3170">
        <v>324.55</v>
      </c>
      <c r="G126" s="3170">
        <v>97.5</v>
      </c>
      <c r="H126" s="3170" t="s">
        <v>3628</v>
      </c>
      <c r="I126" s="3174" t="s">
        <v>3609</v>
      </c>
      <c r="J126" s="3165">
        <f t="shared" si="2"/>
        <v>3.25</v>
      </c>
      <c r="K126" s="3165">
        <f t="shared" si="3"/>
        <v>379723.5</v>
      </c>
    </row>
    <row r="127" spans="1:11" ht="15">
      <c r="A127" s="3170">
        <v>125</v>
      </c>
      <c r="B127" s="3171" t="s">
        <v>3526</v>
      </c>
      <c r="C127" s="3170" t="s">
        <v>3909</v>
      </c>
      <c r="D127" s="3172" t="s">
        <v>3910</v>
      </c>
      <c r="E127" s="3173" t="s">
        <v>3911</v>
      </c>
      <c r="F127" s="3170">
        <v>281.27999999999997</v>
      </c>
      <c r="G127" s="3170">
        <v>115</v>
      </c>
      <c r="H127" s="3170" t="s">
        <v>3912</v>
      </c>
      <c r="I127" s="3174" t="s">
        <v>3913</v>
      </c>
      <c r="J127" s="3165">
        <f t="shared" si="2"/>
        <v>3.8333333333333335</v>
      </c>
      <c r="K127" s="3165">
        <f t="shared" si="3"/>
        <v>388166.39999999997</v>
      </c>
    </row>
    <row r="128" spans="1:11" ht="15">
      <c r="A128" s="3170">
        <v>126</v>
      </c>
      <c r="B128" s="3171" t="s">
        <v>3526</v>
      </c>
      <c r="C128" s="3170" t="s">
        <v>3914</v>
      </c>
      <c r="D128" s="3172" t="s">
        <v>3915</v>
      </c>
      <c r="E128" s="3173" t="s">
        <v>3916</v>
      </c>
      <c r="F128" s="3170">
        <v>298.76</v>
      </c>
      <c r="G128" s="3170">
        <v>81.75</v>
      </c>
      <c r="H128" s="3170" t="s">
        <v>3628</v>
      </c>
      <c r="I128" s="3174" t="s">
        <v>3540</v>
      </c>
      <c r="J128" s="3165">
        <f t="shared" si="2"/>
        <v>2.7250000000000001</v>
      </c>
      <c r="K128" s="3165">
        <f t="shared" si="3"/>
        <v>293083.56</v>
      </c>
    </row>
    <row r="129" spans="1:11" ht="15">
      <c r="A129" s="3170">
        <v>127</v>
      </c>
      <c r="B129" s="3171" t="s">
        <v>3526</v>
      </c>
      <c r="C129" s="3170" t="s">
        <v>3917</v>
      </c>
      <c r="D129" s="3172" t="s">
        <v>3915</v>
      </c>
      <c r="E129" s="3173" t="s">
        <v>3918</v>
      </c>
      <c r="F129" s="3170">
        <v>477.92</v>
      </c>
      <c r="G129" s="3170">
        <v>81.75</v>
      </c>
      <c r="H129" s="3170" t="s">
        <v>3628</v>
      </c>
      <c r="I129" s="3174" t="s">
        <v>3540</v>
      </c>
      <c r="J129" s="3165">
        <f t="shared" si="2"/>
        <v>2.7250000000000001</v>
      </c>
      <c r="K129" s="3165">
        <f t="shared" si="3"/>
        <v>468839.52</v>
      </c>
    </row>
    <row r="130" spans="1:11" ht="15">
      <c r="A130" s="3170">
        <v>128</v>
      </c>
      <c r="B130" s="3171" t="s">
        <v>3526</v>
      </c>
      <c r="C130" s="3170" t="s">
        <v>3919</v>
      </c>
      <c r="D130" s="3172" t="s">
        <v>3920</v>
      </c>
      <c r="E130" s="3173" t="s">
        <v>3921</v>
      </c>
      <c r="F130" s="3170">
        <v>578.76</v>
      </c>
      <c r="G130" s="3170">
        <v>71.25</v>
      </c>
      <c r="H130" s="3170" t="s">
        <v>3628</v>
      </c>
      <c r="I130" s="3174" t="s">
        <v>3540</v>
      </c>
      <c r="J130" s="3165">
        <f t="shared" si="2"/>
        <v>2.375</v>
      </c>
      <c r="K130" s="3165">
        <f t="shared" si="3"/>
        <v>494839.80000000005</v>
      </c>
    </row>
    <row r="131" spans="1:11" ht="15">
      <c r="A131" s="3170">
        <v>129</v>
      </c>
      <c r="B131" s="3171" t="s">
        <v>3526</v>
      </c>
      <c r="C131" s="3170" t="s">
        <v>3922</v>
      </c>
      <c r="D131" s="3172" t="s">
        <v>3915</v>
      </c>
      <c r="E131" s="3173" t="s">
        <v>3923</v>
      </c>
      <c r="F131" s="3170">
        <v>321.17</v>
      </c>
      <c r="G131" s="3170">
        <v>81.75</v>
      </c>
      <c r="H131" s="3170" t="s">
        <v>3628</v>
      </c>
      <c r="I131" s="3174" t="s">
        <v>3540</v>
      </c>
      <c r="J131" s="3165">
        <f t="shared" si="2"/>
        <v>2.7250000000000001</v>
      </c>
      <c r="K131" s="3165">
        <f t="shared" si="3"/>
        <v>315067.77</v>
      </c>
    </row>
    <row r="132" spans="1:11" ht="15">
      <c r="A132" s="3170">
        <v>130</v>
      </c>
      <c r="B132" s="3171" t="s">
        <v>3526</v>
      </c>
      <c r="C132" s="3170" t="s">
        <v>3924</v>
      </c>
      <c r="D132" s="3172" t="s">
        <v>3915</v>
      </c>
      <c r="E132" s="3175" t="s">
        <v>3925</v>
      </c>
      <c r="F132" s="3170">
        <v>137.43</v>
      </c>
      <c r="G132" s="3170">
        <v>81.75</v>
      </c>
      <c r="H132" s="3170" t="s">
        <v>3552</v>
      </c>
      <c r="I132" s="3174" t="s">
        <v>3540</v>
      </c>
      <c r="J132" s="3165">
        <f t="shared" ref="J132:J184" si="4">G132/30</f>
        <v>2.7250000000000001</v>
      </c>
      <c r="K132" s="3165">
        <f t="shared" ref="K132:K184" si="5">G132*F132*12</f>
        <v>134818.83000000002</v>
      </c>
    </row>
    <row r="133" spans="1:11" ht="15">
      <c r="A133" s="3170">
        <v>131</v>
      </c>
      <c r="B133" s="3171" t="s">
        <v>3526</v>
      </c>
      <c r="C133" s="3170" t="s">
        <v>3926</v>
      </c>
      <c r="D133" s="3172" t="s">
        <v>3927</v>
      </c>
      <c r="E133" s="3173" t="s">
        <v>3928</v>
      </c>
      <c r="F133" s="3170">
        <v>177.24</v>
      </c>
      <c r="G133" s="3170">
        <v>128</v>
      </c>
      <c r="H133" s="3170" t="s">
        <v>3544</v>
      </c>
      <c r="I133" s="3174" t="s">
        <v>3545</v>
      </c>
      <c r="J133" s="3165">
        <f t="shared" si="4"/>
        <v>4.2666666666666666</v>
      </c>
      <c r="K133" s="3165">
        <f t="shared" si="5"/>
        <v>272240.64000000001</v>
      </c>
    </row>
    <row r="134" spans="1:11" ht="15">
      <c r="A134" s="3170">
        <v>132</v>
      </c>
      <c r="B134" s="3171" t="s">
        <v>3526</v>
      </c>
      <c r="C134" s="3170" t="s">
        <v>3929</v>
      </c>
      <c r="D134" s="3172" t="s">
        <v>3889</v>
      </c>
      <c r="E134" s="3173" t="s">
        <v>3890</v>
      </c>
      <c r="F134" s="3170">
        <v>58.36</v>
      </c>
      <c r="G134" s="3170">
        <v>110</v>
      </c>
      <c r="H134" s="3170" t="s">
        <v>3544</v>
      </c>
      <c r="I134" s="3174" t="s">
        <v>3545</v>
      </c>
      <c r="J134" s="3165">
        <f t="shared" si="4"/>
        <v>3.6666666666666665</v>
      </c>
      <c r="K134" s="3165">
        <f t="shared" si="5"/>
        <v>77035.200000000012</v>
      </c>
    </row>
    <row r="135" spans="1:11" ht="15">
      <c r="A135" s="3170">
        <v>133</v>
      </c>
      <c r="B135" s="3171" t="s">
        <v>3526</v>
      </c>
      <c r="C135" s="3170" t="s">
        <v>3930</v>
      </c>
      <c r="D135" s="3172" t="s">
        <v>3897</v>
      </c>
      <c r="E135" s="3173" t="s">
        <v>3931</v>
      </c>
      <c r="F135" s="3170">
        <v>98.16</v>
      </c>
      <c r="G135" s="3170">
        <v>140</v>
      </c>
      <c r="H135" s="3170" t="s">
        <v>3544</v>
      </c>
      <c r="I135" s="3174" t="s">
        <v>3545</v>
      </c>
      <c r="J135" s="3165">
        <f t="shared" si="4"/>
        <v>4.666666666666667</v>
      </c>
      <c r="K135" s="3165">
        <f t="shared" si="5"/>
        <v>164908.79999999999</v>
      </c>
    </row>
    <row r="136" spans="1:11" ht="15">
      <c r="A136" s="3170">
        <v>134</v>
      </c>
      <c r="B136" s="3171" t="s">
        <v>3526</v>
      </c>
      <c r="C136" s="3170" t="s">
        <v>3932</v>
      </c>
      <c r="D136" s="3172" t="s">
        <v>3933</v>
      </c>
      <c r="E136" s="3173" t="s">
        <v>3934</v>
      </c>
      <c r="F136" s="3170">
        <v>115.3</v>
      </c>
      <c r="G136" s="3170">
        <v>130</v>
      </c>
      <c r="H136" s="3170" t="s">
        <v>3706</v>
      </c>
      <c r="I136" s="3174" t="s">
        <v>3545</v>
      </c>
      <c r="J136" s="3165">
        <f t="shared" si="4"/>
        <v>4.333333333333333</v>
      </c>
      <c r="K136" s="3165">
        <f t="shared" si="5"/>
        <v>179868</v>
      </c>
    </row>
    <row r="137" spans="1:11" ht="15">
      <c r="A137" s="3170">
        <v>135</v>
      </c>
      <c r="B137" s="3171" t="s">
        <v>3526</v>
      </c>
      <c r="C137" s="3170" t="s">
        <v>3935</v>
      </c>
      <c r="D137" s="3172" t="s">
        <v>3936</v>
      </c>
      <c r="E137" s="3173" t="s">
        <v>3937</v>
      </c>
      <c r="F137" s="3170">
        <v>82.12</v>
      </c>
      <c r="G137" s="3170">
        <v>120</v>
      </c>
      <c r="H137" s="3170" t="s">
        <v>3801</v>
      </c>
      <c r="I137" s="3174" t="s">
        <v>3545</v>
      </c>
      <c r="J137" s="3165">
        <f t="shared" si="4"/>
        <v>4</v>
      </c>
      <c r="K137" s="3165">
        <f t="shared" si="5"/>
        <v>118252.80000000002</v>
      </c>
    </row>
    <row r="138" spans="1:11" ht="30">
      <c r="A138" s="3170">
        <v>136</v>
      </c>
      <c r="B138" s="3171" t="s">
        <v>3526</v>
      </c>
      <c r="C138" s="3170" t="s">
        <v>3938</v>
      </c>
      <c r="D138" s="3172" t="s">
        <v>3939</v>
      </c>
      <c r="E138" s="3173" t="s">
        <v>3940</v>
      </c>
      <c r="F138" s="3170">
        <v>3029</v>
      </c>
      <c r="G138" s="3170">
        <v>0</v>
      </c>
      <c r="H138" s="3170" t="s">
        <v>3628</v>
      </c>
      <c r="I138" s="3174" t="s">
        <v>3656</v>
      </c>
      <c r="J138" s="3165">
        <f t="shared" si="4"/>
        <v>0</v>
      </c>
      <c r="K138" s="3165">
        <f t="shared" si="5"/>
        <v>0</v>
      </c>
    </row>
    <row r="139" spans="1:11" ht="15">
      <c r="A139" s="3170">
        <v>137</v>
      </c>
      <c r="B139" s="3171" t="s">
        <v>3526</v>
      </c>
      <c r="C139" s="3170" t="s">
        <v>3941</v>
      </c>
      <c r="D139" s="3172" t="s">
        <v>3889</v>
      </c>
      <c r="E139" s="3173" t="s">
        <v>3942</v>
      </c>
      <c r="F139" s="3170">
        <v>37.5</v>
      </c>
      <c r="G139" s="3170">
        <v>110</v>
      </c>
      <c r="H139" s="3170" t="s">
        <v>3544</v>
      </c>
      <c r="I139" s="3174" t="s">
        <v>3545</v>
      </c>
      <c r="J139" s="3165">
        <f t="shared" si="4"/>
        <v>3.6666666666666665</v>
      </c>
      <c r="K139" s="3165">
        <f t="shared" si="5"/>
        <v>49500</v>
      </c>
    </row>
    <row r="140" spans="1:11" ht="15">
      <c r="A140" s="3170">
        <v>138</v>
      </c>
      <c r="B140" s="3171" t="s">
        <v>3526</v>
      </c>
      <c r="C140" s="3170" t="s">
        <v>3943</v>
      </c>
      <c r="D140" s="3172" t="s">
        <v>3944</v>
      </c>
      <c r="E140" s="3173" t="s">
        <v>3945</v>
      </c>
      <c r="F140" s="3170">
        <v>19.350000000000001</v>
      </c>
      <c r="G140" s="3170">
        <v>200</v>
      </c>
      <c r="H140" s="3170" t="s">
        <v>3706</v>
      </c>
      <c r="I140" s="3174" t="s">
        <v>3609</v>
      </c>
      <c r="J140" s="3165">
        <f t="shared" si="4"/>
        <v>6.666666666666667</v>
      </c>
      <c r="K140" s="3165">
        <f t="shared" si="5"/>
        <v>46440.000000000007</v>
      </c>
    </row>
    <row r="141" spans="1:11" ht="15">
      <c r="A141" s="3170">
        <v>139</v>
      </c>
      <c r="B141" s="3171" t="s">
        <v>3526</v>
      </c>
      <c r="C141" s="3170" t="s">
        <v>3946</v>
      </c>
      <c r="D141" s="3172" t="s">
        <v>3947</v>
      </c>
      <c r="E141" s="3173" t="s">
        <v>3948</v>
      </c>
      <c r="F141" s="3170">
        <v>14.74</v>
      </c>
      <c r="G141" s="3170">
        <v>200</v>
      </c>
      <c r="H141" s="3170" t="s">
        <v>3565</v>
      </c>
      <c r="I141" s="3174" t="s">
        <v>3609</v>
      </c>
      <c r="J141" s="3165">
        <f t="shared" si="4"/>
        <v>6.666666666666667</v>
      </c>
      <c r="K141" s="3165">
        <f t="shared" si="5"/>
        <v>35376</v>
      </c>
    </row>
    <row r="142" spans="1:11" ht="15">
      <c r="A142" s="3170">
        <v>140</v>
      </c>
      <c r="B142" s="3171" t="s">
        <v>3526</v>
      </c>
      <c r="C142" s="3170" t="s">
        <v>3949</v>
      </c>
      <c r="D142" s="3172" t="s">
        <v>3950</v>
      </c>
      <c r="E142" s="3173" t="s">
        <v>3951</v>
      </c>
      <c r="F142" s="3170">
        <v>12.35</v>
      </c>
      <c r="G142" s="3170">
        <v>170</v>
      </c>
      <c r="H142" s="3170" t="s">
        <v>3565</v>
      </c>
      <c r="I142" s="3174" t="s">
        <v>3609</v>
      </c>
      <c r="J142" s="3165">
        <f t="shared" si="4"/>
        <v>5.666666666666667</v>
      </c>
      <c r="K142" s="3165">
        <f t="shared" si="5"/>
        <v>25194</v>
      </c>
    </row>
    <row r="143" spans="1:11" ht="15">
      <c r="A143" s="3170">
        <v>141</v>
      </c>
      <c r="B143" s="3171" t="s">
        <v>3526</v>
      </c>
      <c r="C143" s="3170" t="s">
        <v>3952</v>
      </c>
      <c r="D143" s="3172" t="s">
        <v>3953</v>
      </c>
      <c r="E143" s="3173" t="s">
        <v>3954</v>
      </c>
      <c r="F143" s="3170">
        <v>44.16</v>
      </c>
      <c r="G143" s="3170">
        <v>190</v>
      </c>
      <c r="H143" s="3170" t="s">
        <v>3565</v>
      </c>
      <c r="I143" s="3174" t="s">
        <v>3545</v>
      </c>
      <c r="J143" s="3165">
        <f t="shared" si="4"/>
        <v>6.333333333333333</v>
      </c>
      <c r="K143" s="3165">
        <f t="shared" si="5"/>
        <v>100684.79999999999</v>
      </c>
    </row>
    <row r="144" spans="1:11" ht="15">
      <c r="A144" s="3170">
        <v>142</v>
      </c>
      <c r="B144" s="3171" t="s">
        <v>3526</v>
      </c>
      <c r="C144" s="3170" t="s">
        <v>3955</v>
      </c>
      <c r="D144" s="3172" t="s">
        <v>3956</v>
      </c>
      <c r="E144" s="3175" t="s">
        <v>3957</v>
      </c>
      <c r="F144" s="3170">
        <v>30.22</v>
      </c>
      <c r="G144" s="3170">
        <v>200</v>
      </c>
      <c r="H144" s="3170" t="s">
        <v>3544</v>
      </c>
      <c r="I144" s="3174" t="s">
        <v>3545</v>
      </c>
      <c r="J144" s="3165">
        <f t="shared" si="4"/>
        <v>6.666666666666667</v>
      </c>
      <c r="K144" s="3165">
        <f t="shared" si="5"/>
        <v>72528</v>
      </c>
    </row>
    <row r="145" spans="1:11" ht="15">
      <c r="A145" s="3170">
        <v>143</v>
      </c>
      <c r="B145" s="3171" t="s">
        <v>3526</v>
      </c>
      <c r="C145" s="3170" t="s">
        <v>3958</v>
      </c>
      <c r="D145" s="3172" t="s">
        <v>3959</v>
      </c>
      <c r="E145" s="3173" t="s">
        <v>3960</v>
      </c>
      <c r="F145" s="3170">
        <v>72.83</v>
      </c>
      <c r="G145" s="3170">
        <v>15</v>
      </c>
      <c r="H145" s="3170" t="s">
        <v>3597</v>
      </c>
      <c r="I145" s="3174" t="s">
        <v>3545</v>
      </c>
      <c r="J145" s="3165">
        <f t="shared" si="4"/>
        <v>0.5</v>
      </c>
      <c r="K145" s="3165">
        <f t="shared" si="5"/>
        <v>13109.400000000001</v>
      </c>
    </row>
    <row r="146" spans="1:11" ht="15">
      <c r="A146" s="3170">
        <v>144</v>
      </c>
      <c r="B146" s="3171" t="s">
        <v>3526</v>
      </c>
      <c r="C146" s="3170" t="s">
        <v>3961</v>
      </c>
      <c r="D146" s="3172" t="s">
        <v>3915</v>
      </c>
      <c r="E146" s="3173" t="s">
        <v>3918</v>
      </c>
      <c r="F146" s="3170">
        <v>46.25</v>
      </c>
      <c r="G146" s="3170">
        <v>15</v>
      </c>
      <c r="H146" s="3170" t="s">
        <v>3597</v>
      </c>
      <c r="I146" s="3174" t="s">
        <v>3545</v>
      </c>
      <c r="J146" s="3165">
        <f t="shared" si="4"/>
        <v>0.5</v>
      </c>
      <c r="K146" s="3165">
        <f t="shared" si="5"/>
        <v>8325</v>
      </c>
    </row>
    <row r="147" spans="1:11" ht="15">
      <c r="A147" s="3170">
        <v>145</v>
      </c>
      <c r="B147" s="3171" t="s">
        <v>3526</v>
      </c>
      <c r="C147" s="3170" t="s">
        <v>3962</v>
      </c>
      <c r="D147" s="3172" t="s">
        <v>3963</v>
      </c>
      <c r="E147" s="3173" t="s">
        <v>3964</v>
      </c>
      <c r="F147" s="3170">
        <v>28.54</v>
      </c>
      <c r="G147" s="3170">
        <v>15</v>
      </c>
      <c r="H147" s="3170" t="s">
        <v>3597</v>
      </c>
      <c r="I147" s="3174" t="s">
        <v>3609</v>
      </c>
      <c r="J147" s="3165">
        <f t="shared" si="4"/>
        <v>0.5</v>
      </c>
      <c r="K147" s="3165">
        <f t="shared" si="5"/>
        <v>5137.2</v>
      </c>
    </row>
    <row r="148" spans="1:11" ht="15">
      <c r="A148" s="3170">
        <v>146</v>
      </c>
      <c r="B148" s="3171" t="s">
        <v>3526</v>
      </c>
      <c r="C148" s="3170" t="s">
        <v>3965</v>
      </c>
      <c r="D148" s="3172" t="s">
        <v>3966</v>
      </c>
      <c r="E148" s="3173" t="s">
        <v>3967</v>
      </c>
      <c r="F148" s="3170">
        <v>36</v>
      </c>
      <c r="G148" s="3170">
        <v>15</v>
      </c>
      <c r="H148" s="3170" t="s">
        <v>3544</v>
      </c>
      <c r="I148" s="3174" t="s">
        <v>3545</v>
      </c>
      <c r="J148" s="3165">
        <f t="shared" si="4"/>
        <v>0.5</v>
      </c>
      <c r="K148" s="3165">
        <f t="shared" si="5"/>
        <v>6480</v>
      </c>
    </row>
    <row r="149" spans="1:11" ht="15">
      <c r="A149" s="3170">
        <v>147</v>
      </c>
      <c r="B149" s="3171" t="s">
        <v>3526</v>
      </c>
      <c r="C149" s="3170" t="s">
        <v>3968</v>
      </c>
      <c r="D149" s="3172" t="s">
        <v>3969</v>
      </c>
      <c r="E149" s="3173" t="s">
        <v>3970</v>
      </c>
      <c r="F149" s="3170">
        <v>33.229999999999997</v>
      </c>
      <c r="G149" s="3170">
        <v>145</v>
      </c>
      <c r="H149" s="3170" t="s">
        <v>3971</v>
      </c>
      <c r="I149" s="3174" t="s">
        <v>3545</v>
      </c>
      <c r="J149" s="3165">
        <f t="shared" si="4"/>
        <v>4.833333333333333</v>
      </c>
      <c r="K149" s="3165">
        <f t="shared" si="5"/>
        <v>57820.2</v>
      </c>
    </row>
    <row r="150" spans="1:11" ht="15">
      <c r="A150" s="3170">
        <v>148</v>
      </c>
      <c r="B150" s="3171" t="s">
        <v>3526</v>
      </c>
      <c r="C150" s="3170" t="s">
        <v>3972</v>
      </c>
      <c r="D150" s="3172" t="s">
        <v>3973</v>
      </c>
      <c r="E150" s="3173" t="s">
        <v>3974</v>
      </c>
      <c r="F150" s="3170">
        <v>17.29</v>
      </c>
      <c r="G150" s="3170">
        <v>260</v>
      </c>
      <c r="H150" s="3170" t="s">
        <v>3706</v>
      </c>
      <c r="I150" s="3174" t="s">
        <v>3545</v>
      </c>
      <c r="J150" s="3165">
        <f t="shared" si="4"/>
        <v>8.6666666666666661</v>
      </c>
      <c r="K150" s="3165">
        <f t="shared" si="5"/>
        <v>53944.799999999996</v>
      </c>
    </row>
    <row r="151" spans="1:11" ht="15">
      <c r="A151" s="3170">
        <v>149</v>
      </c>
      <c r="B151" s="3171" t="s">
        <v>3526</v>
      </c>
      <c r="C151" s="3170" t="s">
        <v>3975</v>
      </c>
      <c r="D151" s="3172" t="s">
        <v>3976</v>
      </c>
      <c r="E151" s="3173" t="s">
        <v>3977</v>
      </c>
      <c r="F151" s="3170">
        <v>46.25</v>
      </c>
      <c r="G151" s="3170">
        <v>0</v>
      </c>
      <c r="H151" s="3170" t="s">
        <v>3797</v>
      </c>
      <c r="I151" s="3174" t="s">
        <v>3545</v>
      </c>
      <c r="J151" s="3165">
        <f t="shared" si="4"/>
        <v>0</v>
      </c>
      <c r="K151" s="3165">
        <f t="shared" si="5"/>
        <v>0</v>
      </c>
    </row>
    <row r="152" spans="1:11" ht="15">
      <c r="A152" s="3170">
        <v>150</v>
      </c>
      <c r="B152" s="3171" t="s">
        <v>3526</v>
      </c>
      <c r="C152" s="3170" t="s">
        <v>3978</v>
      </c>
      <c r="D152" s="3172" t="s">
        <v>3979</v>
      </c>
      <c r="E152" s="3175" t="s">
        <v>3980</v>
      </c>
      <c r="F152" s="3170">
        <v>180</v>
      </c>
      <c r="G152" s="3170">
        <v>115</v>
      </c>
      <c r="H152" s="3170" t="s">
        <v>3706</v>
      </c>
      <c r="I152" s="3174" t="s">
        <v>3697</v>
      </c>
      <c r="J152" s="3165">
        <f t="shared" si="4"/>
        <v>3.8333333333333335</v>
      </c>
      <c r="K152" s="3165">
        <f t="shared" si="5"/>
        <v>248400</v>
      </c>
    </row>
    <row r="153" spans="1:11" ht="30">
      <c r="A153" s="3170">
        <v>151</v>
      </c>
      <c r="B153" s="3171" t="s">
        <v>3526</v>
      </c>
      <c r="C153" s="3170" t="s">
        <v>3981</v>
      </c>
      <c r="D153" s="3172" t="s">
        <v>3982</v>
      </c>
      <c r="E153" s="3173" t="s">
        <v>3983</v>
      </c>
      <c r="F153" s="3170">
        <v>1016.89</v>
      </c>
      <c r="G153" s="3170">
        <v>32.96</v>
      </c>
      <c r="H153" s="3170" t="s">
        <v>3984</v>
      </c>
      <c r="I153" s="3174" t="s">
        <v>3985</v>
      </c>
      <c r="J153" s="3165">
        <f t="shared" si="4"/>
        <v>1.0986666666666667</v>
      </c>
      <c r="K153" s="3165">
        <f t="shared" si="5"/>
        <v>402200.33279999997</v>
      </c>
    </row>
    <row r="154" spans="1:11" ht="15">
      <c r="A154" s="3170">
        <v>152</v>
      </c>
      <c r="B154" s="3171" t="s">
        <v>3526</v>
      </c>
      <c r="C154" s="3170" t="s">
        <v>3986</v>
      </c>
      <c r="D154" s="3172" t="s">
        <v>3987</v>
      </c>
      <c r="E154" s="3173" t="s">
        <v>3988</v>
      </c>
      <c r="F154" s="3170">
        <v>133.87</v>
      </c>
      <c r="G154" s="3170">
        <v>125</v>
      </c>
      <c r="H154" s="3170" t="s">
        <v>3544</v>
      </c>
      <c r="I154" s="3174" t="s">
        <v>3545</v>
      </c>
      <c r="J154" s="3165">
        <f t="shared" si="4"/>
        <v>4.166666666666667</v>
      </c>
      <c r="K154" s="3165">
        <f t="shared" si="5"/>
        <v>200805</v>
      </c>
    </row>
    <row r="155" spans="1:11" ht="15">
      <c r="A155" s="3170">
        <v>153</v>
      </c>
      <c r="B155" s="3171" t="s">
        <v>3526</v>
      </c>
      <c r="C155" s="3170" t="s">
        <v>3989</v>
      </c>
      <c r="D155" s="3172" t="s">
        <v>3966</v>
      </c>
      <c r="E155" s="3173" t="s">
        <v>3967</v>
      </c>
      <c r="F155" s="3170">
        <v>386.7</v>
      </c>
      <c r="G155" s="3170">
        <v>117</v>
      </c>
      <c r="H155" s="3170" t="s">
        <v>3544</v>
      </c>
      <c r="I155" s="3174" t="s">
        <v>3545</v>
      </c>
      <c r="J155" s="3165">
        <f t="shared" si="4"/>
        <v>3.9</v>
      </c>
      <c r="K155" s="3165">
        <f t="shared" si="5"/>
        <v>542926.80000000005</v>
      </c>
    </row>
    <row r="156" spans="1:11" ht="15">
      <c r="A156" s="3170">
        <v>154</v>
      </c>
      <c r="B156" s="3171" t="s">
        <v>3526</v>
      </c>
      <c r="C156" s="3170" t="s">
        <v>3990</v>
      </c>
      <c r="D156" s="3172" t="s">
        <v>3963</v>
      </c>
      <c r="E156" s="3173" t="s">
        <v>3964</v>
      </c>
      <c r="F156" s="3170">
        <v>172.93</v>
      </c>
      <c r="G156" s="3170">
        <v>80</v>
      </c>
      <c r="H156" s="3170" t="s">
        <v>3991</v>
      </c>
      <c r="I156" s="3174" t="s">
        <v>3545</v>
      </c>
      <c r="J156" s="3165">
        <f t="shared" si="4"/>
        <v>2.6666666666666665</v>
      </c>
      <c r="K156" s="3165">
        <f t="shared" si="5"/>
        <v>166012.80000000002</v>
      </c>
    </row>
    <row r="157" spans="1:11" ht="15">
      <c r="A157" s="3170">
        <v>155</v>
      </c>
      <c r="B157" s="3171" t="s">
        <v>3526</v>
      </c>
      <c r="C157" s="3170" t="s">
        <v>3992</v>
      </c>
      <c r="D157" s="3172" t="s">
        <v>3915</v>
      </c>
      <c r="E157" s="3173" t="s">
        <v>3993</v>
      </c>
      <c r="F157" s="3170">
        <v>298.77</v>
      </c>
      <c r="G157" s="3170">
        <v>85.83</v>
      </c>
      <c r="H157" s="3170" t="s">
        <v>3628</v>
      </c>
      <c r="I157" s="3174" t="s">
        <v>3540</v>
      </c>
      <c r="J157" s="3165">
        <f t="shared" si="4"/>
        <v>2.8609999999999998</v>
      </c>
      <c r="K157" s="3165">
        <f t="shared" si="5"/>
        <v>307721.14919999999</v>
      </c>
    </row>
    <row r="158" spans="1:11" ht="15">
      <c r="A158" s="3170">
        <v>156</v>
      </c>
      <c r="B158" s="3171" t="s">
        <v>3526</v>
      </c>
      <c r="C158" s="3170" t="s">
        <v>3994</v>
      </c>
      <c r="D158" s="3172" t="s">
        <v>3995</v>
      </c>
      <c r="E158" s="3173" t="s">
        <v>3996</v>
      </c>
      <c r="F158" s="3170">
        <v>353.67</v>
      </c>
      <c r="G158" s="3170">
        <v>128</v>
      </c>
      <c r="H158" s="3170" t="s">
        <v>3604</v>
      </c>
      <c r="I158" s="3174" t="s">
        <v>3609</v>
      </c>
      <c r="J158" s="3165">
        <f t="shared" si="4"/>
        <v>4.2666666666666666</v>
      </c>
      <c r="K158" s="3165">
        <f t="shared" si="5"/>
        <v>543237.12</v>
      </c>
    </row>
    <row r="159" spans="1:11" ht="15">
      <c r="A159" s="3170">
        <v>157</v>
      </c>
      <c r="B159" s="3171" t="s">
        <v>3526</v>
      </c>
      <c r="C159" s="3170" t="s">
        <v>3997</v>
      </c>
      <c r="D159" s="3172" t="s">
        <v>3998</v>
      </c>
      <c r="E159" s="3173" t="s">
        <v>3999</v>
      </c>
      <c r="F159" s="3170">
        <v>70.459999999999994</v>
      </c>
      <c r="G159" s="3170">
        <v>145</v>
      </c>
      <c r="H159" s="3170" t="s">
        <v>3565</v>
      </c>
      <c r="I159" s="3174" t="s">
        <v>3609</v>
      </c>
      <c r="J159" s="3165">
        <f t="shared" si="4"/>
        <v>4.833333333333333</v>
      </c>
      <c r="K159" s="3165">
        <f t="shared" si="5"/>
        <v>122600.4</v>
      </c>
    </row>
    <row r="160" spans="1:11" ht="15">
      <c r="A160" s="3170">
        <v>158</v>
      </c>
      <c r="B160" s="3171" t="s">
        <v>3526</v>
      </c>
      <c r="C160" s="3170" t="s">
        <v>4000</v>
      </c>
      <c r="D160" s="3172" t="s">
        <v>4001</v>
      </c>
      <c r="E160" s="3173" t="s">
        <v>4002</v>
      </c>
      <c r="F160" s="3170">
        <v>52.37</v>
      </c>
      <c r="G160" s="3170">
        <v>134.25</v>
      </c>
      <c r="H160" s="3170" t="s">
        <v>3597</v>
      </c>
      <c r="I160" s="3174" t="s">
        <v>3545</v>
      </c>
      <c r="J160" s="3165">
        <f t="shared" si="4"/>
        <v>4.4749999999999996</v>
      </c>
      <c r="K160" s="3165">
        <f t="shared" si="5"/>
        <v>84368.069999999992</v>
      </c>
    </row>
    <row r="161" spans="1:11" ht="15">
      <c r="A161" s="3170">
        <v>159</v>
      </c>
      <c r="B161" s="3171" t="s">
        <v>3526</v>
      </c>
      <c r="C161" s="3170" t="s">
        <v>4003</v>
      </c>
      <c r="D161" s="3172" t="s">
        <v>3959</v>
      </c>
      <c r="E161" s="3173" t="s">
        <v>3960</v>
      </c>
      <c r="F161" s="3170">
        <v>785.57</v>
      </c>
      <c r="G161" s="3170">
        <v>71.25</v>
      </c>
      <c r="H161" s="3170" t="s">
        <v>3628</v>
      </c>
      <c r="I161" s="3174" t="s">
        <v>3540</v>
      </c>
      <c r="J161" s="3165">
        <f t="shared" si="4"/>
        <v>2.375</v>
      </c>
      <c r="K161" s="3165">
        <f t="shared" si="5"/>
        <v>671662.35000000009</v>
      </c>
    </row>
    <row r="162" spans="1:11" ht="15">
      <c r="A162" s="3170">
        <v>160</v>
      </c>
      <c r="B162" s="3171" t="s">
        <v>3526</v>
      </c>
      <c r="C162" s="3170" t="s">
        <v>4004</v>
      </c>
      <c r="D162" s="3172" t="s">
        <v>4005</v>
      </c>
      <c r="E162" s="3173" t="s">
        <v>4006</v>
      </c>
      <c r="F162" s="3170">
        <v>558</v>
      </c>
      <c r="G162" s="3170">
        <v>7.17</v>
      </c>
      <c r="H162" s="3170" t="s">
        <v>3530</v>
      </c>
      <c r="I162" s="3174" t="s">
        <v>4007</v>
      </c>
      <c r="J162" s="3165">
        <f t="shared" si="4"/>
        <v>0.23899999999999999</v>
      </c>
      <c r="K162" s="3165">
        <f t="shared" si="5"/>
        <v>48010.32</v>
      </c>
    </row>
    <row r="163" spans="1:11" ht="15">
      <c r="A163" s="3170">
        <v>161</v>
      </c>
      <c r="B163" s="3171" t="s">
        <v>3526</v>
      </c>
      <c r="C163" s="3170" t="s">
        <v>4008</v>
      </c>
      <c r="D163" s="3172" t="s">
        <v>4009</v>
      </c>
      <c r="E163" s="3173" t="s">
        <v>4010</v>
      </c>
      <c r="F163" s="3170">
        <v>787.82</v>
      </c>
      <c r="G163" s="3170">
        <v>25</v>
      </c>
      <c r="H163" s="3170" t="s">
        <v>3565</v>
      </c>
      <c r="I163" s="3174" t="s">
        <v>3540</v>
      </c>
      <c r="J163" s="3165">
        <f t="shared" si="4"/>
        <v>0.83333333333333337</v>
      </c>
      <c r="K163" s="3165">
        <f t="shared" si="5"/>
        <v>236346</v>
      </c>
    </row>
    <row r="164" spans="1:11" ht="30">
      <c r="A164" s="3170">
        <v>162</v>
      </c>
      <c r="B164" s="3171" t="s">
        <v>3526</v>
      </c>
      <c r="C164" s="3170" t="s">
        <v>4011</v>
      </c>
      <c r="D164" s="3172" t="s">
        <v>4012</v>
      </c>
      <c r="E164" s="3173" t="s">
        <v>4013</v>
      </c>
      <c r="F164" s="3170">
        <v>278.82</v>
      </c>
      <c r="G164" s="3170">
        <v>14.7</v>
      </c>
      <c r="H164" s="3170" t="s">
        <v>4014</v>
      </c>
      <c r="I164" s="3174" t="s">
        <v>3656</v>
      </c>
      <c r="J164" s="3165">
        <f t="shared" si="4"/>
        <v>0.49</v>
      </c>
      <c r="K164" s="3165">
        <f t="shared" si="5"/>
        <v>49183.847999999998</v>
      </c>
    </row>
    <row r="165" spans="1:11" ht="30">
      <c r="A165" s="3170">
        <v>163</v>
      </c>
      <c r="B165" s="3171" t="s">
        <v>3526</v>
      </c>
      <c r="C165" s="3170" t="s">
        <v>4015</v>
      </c>
      <c r="D165" s="3172" t="s">
        <v>4012</v>
      </c>
      <c r="E165" s="3173" t="s">
        <v>4013</v>
      </c>
      <c r="F165" s="3170">
        <v>3721.32</v>
      </c>
      <c r="G165" s="3170">
        <v>39.380000000000003</v>
      </c>
      <c r="H165" s="3170" t="s">
        <v>3628</v>
      </c>
      <c r="I165" s="3174" t="s">
        <v>3656</v>
      </c>
      <c r="J165" s="3165">
        <f t="shared" si="4"/>
        <v>1.3126666666666666</v>
      </c>
      <c r="K165" s="3165">
        <f t="shared" si="5"/>
        <v>1758546.9791999999</v>
      </c>
    </row>
    <row r="166" spans="1:11" ht="15">
      <c r="A166" s="3170">
        <v>164</v>
      </c>
      <c r="B166" s="3171" t="s">
        <v>3526</v>
      </c>
      <c r="C166" s="3170" t="s">
        <v>4016</v>
      </c>
      <c r="D166" s="3172" t="s">
        <v>4017</v>
      </c>
      <c r="E166" s="3173" t="s">
        <v>4018</v>
      </c>
      <c r="F166" s="3170">
        <v>56.33</v>
      </c>
      <c r="G166" s="3170">
        <v>70</v>
      </c>
      <c r="H166" s="3170" t="s">
        <v>3733</v>
      </c>
      <c r="I166" s="3174" t="s">
        <v>3675</v>
      </c>
      <c r="J166" s="3165">
        <f t="shared" si="4"/>
        <v>2.3333333333333335</v>
      </c>
      <c r="K166" s="3165">
        <f t="shared" si="5"/>
        <v>47317.2</v>
      </c>
    </row>
    <row r="167" spans="1:11" ht="15">
      <c r="A167" s="3170">
        <v>165</v>
      </c>
      <c r="B167" s="3171" t="s">
        <v>3526</v>
      </c>
      <c r="C167" s="3170" t="s">
        <v>4019</v>
      </c>
      <c r="D167" s="3172" t="s">
        <v>4020</v>
      </c>
      <c r="E167" s="3173" t="s">
        <v>4021</v>
      </c>
      <c r="F167" s="3170">
        <v>56.33</v>
      </c>
      <c r="G167" s="3170">
        <v>85</v>
      </c>
      <c r="H167" s="3170" t="s">
        <v>3733</v>
      </c>
      <c r="I167" s="3174" t="s">
        <v>3734</v>
      </c>
      <c r="J167" s="3165">
        <f t="shared" si="4"/>
        <v>2.8333333333333335</v>
      </c>
      <c r="K167" s="3165">
        <f t="shared" si="5"/>
        <v>57456.600000000006</v>
      </c>
    </row>
    <row r="168" spans="1:11" ht="15">
      <c r="A168" s="3170">
        <v>166</v>
      </c>
      <c r="B168" s="3171" t="s">
        <v>3526</v>
      </c>
      <c r="C168" s="3170" t="s">
        <v>4022</v>
      </c>
      <c r="D168" s="3172" t="s">
        <v>4023</v>
      </c>
      <c r="E168" s="3175" t="s">
        <v>4024</v>
      </c>
      <c r="F168" s="3170">
        <v>56.33</v>
      </c>
      <c r="G168" s="3170">
        <v>80</v>
      </c>
      <c r="H168" s="3170" t="s">
        <v>3552</v>
      </c>
      <c r="I168" s="3174" t="s">
        <v>3545</v>
      </c>
      <c r="J168" s="3165">
        <f t="shared" si="4"/>
        <v>2.6666666666666665</v>
      </c>
      <c r="K168" s="3165">
        <f t="shared" si="5"/>
        <v>54076.799999999996</v>
      </c>
    </row>
    <row r="169" spans="1:11" ht="15">
      <c r="A169" s="3170">
        <v>167</v>
      </c>
      <c r="B169" s="3171" t="s">
        <v>3526</v>
      </c>
      <c r="C169" s="3170" t="s">
        <v>4025</v>
      </c>
      <c r="D169" s="3172" t="s">
        <v>4026</v>
      </c>
      <c r="E169" s="3173" t="s">
        <v>4027</v>
      </c>
      <c r="F169" s="3170">
        <v>69.760000000000005</v>
      </c>
      <c r="G169" s="3170">
        <v>80</v>
      </c>
      <c r="H169" s="3170" t="s">
        <v>3766</v>
      </c>
      <c r="I169" s="3174" t="s">
        <v>3545</v>
      </c>
      <c r="J169" s="3165">
        <f t="shared" si="4"/>
        <v>2.6666666666666665</v>
      </c>
      <c r="K169" s="3165">
        <f t="shared" si="5"/>
        <v>66969.600000000006</v>
      </c>
    </row>
    <row r="170" spans="1:11" ht="15">
      <c r="A170" s="3170">
        <v>168</v>
      </c>
      <c r="B170" s="3171" t="s">
        <v>3526</v>
      </c>
      <c r="C170" s="3170" t="s">
        <v>4028</v>
      </c>
      <c r="D170" s="3172" t="s">
        <v>4029</v>
      </c>
      <c r="E170" s="3173" t="s">
        <v>4030</v>
      </c>
      <c r="F170" s="3170">
        <v>69.760000000000005</v>
      </c>
      <c r="G170" s="3170">
        <v>85</v>
      </c>
      <c r="H170" s="3170" t="s">
        <v>4031</v>
      </c>
      <c r="I170" s="3174" t="s">
        <v>3545</v>
      </c>
      <c r="J170" s="3165">
        <f t="shared" si="4"/>
        <v>2.8333333333333335</v>
      </c>
      <c r="K170" s="3165">
        <f t="shared" si="5"/>
        <v>71155.200000000012</v>
      </c>
    </row>
    <row r="171" spans="1:11" ht="15">
      <c r="A171" s="3170">
        <v>169</v>
      </c>
      <c r="B171" s="3171" t="s">
        <v>3526</v>
      </c>
      <c r="C171" s="3170" t="s">
        <v>4032</v>
      </c>
      <c r="D171" s="3172" t="s">
        <v>4033</v>
      </c>
      <c r="E171" s="3173" t="s">
        <v>4034</v>
      </c>
      <c r="F171" s="3170">
        <v>139.52000000000001</v>
      </c>
      <c r="G171" s="3170">
        <v>80</v>
      </c>
      <c r="H171" s="3170" t="s">
        <v>3766</v>
      </c>
      <c r="I171" s="3174" t="s">
        <v>3545</v>
      </c>
      <c r="J171" s="3165">
        <f t="shared" si="4"/>
        <v>2.6666666666666665</v>
      </c>
      <c r="K171" s="3165">
        <f t="shared" si="5"/>
        <v>133939.20000000001</v>
      </c>
    </row>
    <row r="172" spans="1:11" ht="15">
      <c r="A172" s="3170">
        <v>170</v>
      </c>
      <c r="B172" s="3171" t="s">
        <v>3526</v>
      </c>
      <c r="C172" s="3170" t="s">
        <v>4035</v>
      </c>
      <c r="D172" s="3172" t="s">
        <v>4036</v>
      </c>
      <c r="E172" s="3173" t="s">
        <v>4037</v>
      </c>
      <c r="F172" s="3170">
        <v>69.760000000000005</v>
      </c>
      <c r="G172" s="3170">
        <v>80</v>
      </c>
      <c r="H172" s="3170" t="s">
        <v>3766</v>
      </c>
      <c r="I172" s="3174" t="s">
        <v>3545</v>
      </c>
      <c r="J172" s="3165">
        <f t="shared" si="4"/>
        <v>2.6666666666666665</v>
      </c>
      <c r="K172" s="3165">
        <f t="shared" si="5"/>
        <v>66969.600000000006</v>
      </c>
    </row>
    <row r="173" spans="1:11" ht="15">
      <c r="A173" s="3170">
        <v>171</v>
      </c>
      <c r="B173" s="3171" t="s">
        <v>3526</v>
      </c>
      <c r="C173" s="3170" t="s">
        <v>4038</v>
      </c>
      <c r="D173" s="3172" t="s">
        <v>4039</v>
      </c>
      <c r="E173" s="3173" t="s">
        <v>4040</v>
      </c>
      <c r="F173" s="3170">
        <v>69.760000000000005</v>
      </c>
      <c r="G173" s="3170">
        <v>75</v>
      </c>
      <c r="H173" s="3170" t="s">
        <v>3604</v>
      </c>
      <c r="I173" s="3174" t="s">
        <v>3545</v>
      </c>
      <c r="J173" s="3165">
        <f t="shared" si="4"/>
        <v>2.5</v>
      </c>
      <c r="K173" s="3165">
        <f t="shared" si="5"/>
        <v>62784</v>
      </c>
    </row>
    <row r="174" spans="1:11" ht="15">
      <c r="A174" s="3170">
        <v>172</v>
      </c>
      <c r="B174" s="3171" t="s">
        <v>3526</v>
      </c>
      <c r="C174" s="3170" t="s">
        <v>4041</v>
      </c>
      <c r="D174" s="3172" t="s">
        <v>4042</v>
      </c>
      <c r="E174" s="3173" t="s">
        <v>4043</v>
      </c>
      <c r="F174" s="3170">
        <v>220.58</v>
      </c>
      <c r="G174" s="3170">
        <v>80</v>
      </c>
      <c r="H174" s="3170" t="s">
        <v>3604</v>
      </c>
      <c r="I174" s="3174" t="s">
        <v>3609</v>
      </c>
      <c r="J174" s="3165">
        <f t="shared" si="4"/>
        <v>2.6666666666666665</v>
      </c>
      <c r="K174" s="3165">
        <f t="shared" si="5"/>
        <v>211756.80000000002</v>
      </c>
    </row>
    <row r="175" spans="1:11" ht="15">
      <c r="A175" s="3170">
        <v>173</v>
      </c>
      <c r="B175" s="3171" t="s">
        <v>3526</v>
      </c>
      <c r="C175" s="3170" t="s">
        <v>4044</v>
      </c>
      <c r="D175" s="3172" t="s">
        <v>4045</v>
      </c>
      <c r="E175" s="3173" t="s">
        <v>4046</v>
      </c>
      <c r="F175" s="3170">
        <v>69.760000000000005</v>
      </c>
      <c r="G175" s="3170">
        <v>70</v>
      </c>
      <c r="H175" s="3170" t="s">
        <v>3604</v>
      </c>
      <c r="I175" s="3174" t="s">
        <v>3545</v>
      </c>
      <c r="J175" s="3165">
        <f t="shared" si="4"/>
        <v>2.3333333333333335</v>
      </c>
      <c r="K175" s="3165">
        <f t="shared" si="5"/>
        <v>58598.400000000009</v>
      </c>
    </row>
    <row r="176" spans="1:11" ht="15">
      <c r="A176" s="3170">
        <v>174</v>
      </c>
      <c r="B176" s="3171" t="s">
        <v>3526</v>
      </c>
      <c r="C176" s="3170" t="s">
        <v>4047</v>
      </c>
      <c r="D176" s="3172" t="s">
        <v>4048</v>
      </c>
      <c r="E176" s="3173" t="s">
        <v>4049</v>
      </c>
      <c r="F176" s="3170">
        <v>139.52000000000001</v>
      </c>
      <c r="G176" s="3170">
        <v>60</v>
      </c>
      <c r="H176" s="3170" t="s">
        <v>3604</v>
      </c>
      <c r="I176" s="3174" t="s">
        <v>3605</v>
      </c>
      <c r="J176" s="3165">
        <f t="shared" si="4"/>
        <v>2</v>
      </c>
      <c r="K176" s="3165">
        <f t="shared" si="5"/>
        <v>100454.40000000001</v>
      </c>
    </row>
    <row r="177" spans="1:11" ht="15">
      <c r="A177" s="3170">
        <v>175</v>
      </c>
      <c r="B177" s="3171" t="s">
        <v>3526</v>
      </c>
      <c r="C177" s="3170" t="s">
        <v>4050</v>
      </c>
      <c r="D177" s="3172" t="s">
        <v>4051</v>
      </c>
      <c r="E177" s="3173" t="s">
        <v>4052</v>
      </c>
      <c r="F177" s="3170">
        <v>69.760000000000005</v>
      </c>
      <c r="G177" s="3170">
        <v>80</v>
      </c>
      <c r="H177" s="3170" t="s">
        <v>3604</v>
      </c>
      <c r="I177" s="3174" t="s">
        <v>3545</v>
      </c>
      <c r="J177" s="3165">
        <f t="shared" si="4"/>
        <v>2.6666666666666665</v>
      </c>
      <c r="K177" s="3165">
        <f t="shared" si="5"/>
        <v>66969.600000000006</v>
      </c>
    </row>
    <row r="178" spans="1:11" ht="15">
      <c r="A178" s="3170">
        <v>176</v>
      </c>
      <c r="B178" s="3171" t="s">
        <v>3526</v>
      </c>
      <c r="C178" s="3170" t="s">
        <v>4053</v>
      </c>
      <c r="D178" s="3172" t="s">
        <v>4054</v>
      </c>
      <c r="E178" s="3173" t="s">
        <v>4055</v>
      </c>
      <c r="F178" s="3170">
        <v>69.760000000000005</v>
      </c>
      <c r="G178" s="3170">
        <v>80</v>
      </c>
      <c r="H178" s="3170" t="s">
        <v>3604</v>
      </c>
      <c r="I178" s="3174" t="s">
        <v>3545</v>
      </c>
      <c r="J178" s="3165">
        <f t="shared" si="4"/>
        <v>2.6666666666666665</v>
      </c>
      <c r="K178" s="3165">
        <f t="shared" si="5"/>
        <v>66969.600000000006</v>
      </c>
    </row>
    <row r="179" spans="1:11" ht="15">
      <c r="A179" s="3170">
        <v>177</v>
      </c>
      <c r="B179" s="3171" t="s">
        <v>3526</v>
      </c>
      <c r="C179" s="3170" t="s">
        <v>4056</v>
      </c>
      <c r="D179" s="3172" t="s">
        <v>4057</v>
      </c>
      <c r="E179" s="3173" t="s">
        <v>4058</v>
      </c>
      <c r="F179" s="3170">
        <v>69.760000000000005</v>
      </c>
      <c r="G179" s="3170">
        <v>75</v>
      </c>
      <c r="H179" s="3170" t="s">
        <v>3604</v>
      </c>
      <c r="I179" s="3174" t="s">
        <v>3545</v>
      </c>
      <c r="J179" s="3165">
        <f t="shared" si="4"/>
        <v>2.5</v>
      </c>
      <c r="K179" s="3165">
        <f t="shared" si="5"/>
        <v>62784</v>
      </c>
    </row>
    <row r="180" spans="1:11" ht="15">
      <c r="A180" s="3170">
        <v>178</v>
      </c>
      <c r="B180" s="3171" t="s">
        <v>3526</v>
      </c>
      <c r="C180" s="3170" t="s">
        <v>4059</v>
      </c>
      <c r="D180" s="3172" t="s">
        <v>4060</v>
      </c>
      <c r="E180" s="3173" t="s">
        <v>4061</v>
      </c>
      <c r="F180" s="3170">
        <v>73.8</v>
      </c>
      <c r="G180" s="3170">
        <v>80</v>
      </c>
      <c r="H180" s="3170" t="s">
        <v>3552</v>
      </c>
      <c r="I180" s="3174" t="s">
        <v>3545</v>
      </c>
      <c r="J180" s="3165">
        <f t="shared" si="4"/>
        <v>2.6666666666666665</v>
      </c>
      <c r="K180" s="3165">
        <f t="shared" si="5"/>
        <v>70848</v>
      </c>
    </row>
    <row r="181" spans="1:11" ht="30">
      <c r="A181" s="3170">
        <v>179</v>
      </c>
      <c r="B181" s="3171" t="s">
        <v>3526</v>
      </c>
      <c r="C181" s="3170" t="s">
        <v>4062</v>
      </c>
      <c r="D181" s="3172" t="s">
        <v>4063</v>
      </c>
      <c r="E181" s="3173" t="s">
        <v>4064</v>
      </c>
      <c r="F181" s="3170">
        <v>100</v>
      </c>
      <c r="G181" s="3170">
        <v>10</v>
      </c>
      <c r="H181" s="3170" t="s">
        <v>3604</v>
      </c>
      <c r="I181" s="3174" t="s">
        <v>3545</v>
      </c>
      <c r="J181" s="3165">
        <f t="shared" si="4"/>
        <v>0.33333333333333331</v>
      </c>
      <c r="K181" s="3165">
        <f t="shared" si="5"/>
        <v>12000</v>
      </c>
    </row>
    <row r="182" spans="1:11" ht="30">
      <c r="A182" s="3170">
        <v>180</v>
      </c>
      <c r="B182" s="3171" t="s">
        <v>3526</v>
      </c>
      <c r="C182" s="3170" t="s">
        <v>4065</v>
      </c>
      <c r="D182" s="3172" t="s">
        <v>4066</v>
      </c>
      <c r="E182" s="3173" t="s">
        <v>4067</v>
      </c>
      <c r="F182" s="3170">
        <v>421.21</v>
      </c>
      <c r="G182" s="3170">
        <v>50</v>
      </c>
      <c r="H182" s="3170" t="s">
        <v>3604</v>
      </c>
      <c r="I182" s="3174" t="s">
        <v>4068</v>
      </c>
      <c r="J182" s="3165">
        <f t="shared" si="4"/>
        <v>1.6666666666666667</v>
      </c>
      <c r="K182" s="3165">
        <f t="shared" si="5"/>
        <v>252726</v>
      </c>
    </row>
    <row r="183" spans="1:11" ht="15">
      <c r="A183" s="3170">
        <v>181</v>
      </c>
      <c r="B183" s="3171" t="s">
        <v>3526</v>
      </c>
      <c r="C183" s="3170" t="s">
        <v>4069</v>
      </c>
      <c r="D183" s="3172" t="s">
        <v>4070</v>
      </c>
      <c r="E183" s="3173" t="s">
        <v>4071</v>
      </c>
      <c r="F183" s="3170">
        <v>248.07</v>
      </c>
      <c r="G183" s="3170">
        <v>25</v>
      </c>
      <c r="H183" s="3170" t="s">
        <v>3560</v>
      </c>
      <c r="I183" s="3174" t="s">
        <v>3605</v>
      </c>
      <c r="J183" s="3165">
        <f t="shared" si="4"/>
        <v>0.83333333333333337</v>
      </c>
      <c r="K183" s="3165">
        <f t="shared" si="5"/>
        <v>74421</v>
      </c>
    </row>
    <row r="184" spans="1:11" ht="15">
      <c r="A184" s="3170">
        <v>182</v>
      </c>
      <c r="B184" s="3171" t="s">
        <v>3526</v>
      </c>
      <c r="C184" s="3170" t="s">
        <v>4072</v>
      </c>
      <c r="D184" s="3172" t="s">
        <v>4070</v>
      </c>
      <c r="E184" s="3173" t="s">
        <v>4071</v>
      </c>
      <c r="F184" s="3170">
        <v>100.22</v>
      </c>
      <c r="G184" s="3170">
        <v>25</v>
      </c>
      <c r="H184" s="3170" t="s">
        <v>3560</v>
      </c>
      <c r="I184" s="3174" t="s">
        <v>3605</v>
      </c>
      <c r="J184" s="3165">
        <f t="shared" si="4"/>
        <v>0.83333333333333337</v>
      </c>
      <c r="K184" s="3165">
        <f t="shared" si="5"/>
        <v>30066</v>
      </c>
    </row>
    <row r="185" spans="1:11" ht="15">
      <c r="A185" s="3170"/>
      <c r="B185" s="3179"/>
      <c r="C185" s="3180"/>
      <c r="D185" s="3181"/>
      <c r="E185" s="3182"/>
      <c r="F185" s="3180">
        <f>SUM(F3:F184)</f>
        <v>45598.540000000008</v>
      </c>
      <c r="G185" s="3180"/>
      <c r="H185" s="3180"/>
      <c r="I185" s="3183"/>
      <c r="K185" s="3165">
        <f>SUM(K3:K184)</f>
        <v>37241710.698000006</v>
      </c>
    </row>
    <row r="186" spans="1:11">
      <c r="F186" s="3165">
        <f>面积!I9</f>
        <v>71986.140000000014</v>
      </c>
      <c r="J186" s="3165">
        <f>K185/F186/365</f>
        <v>1.4173851258604724</v>
      </c>
    </row>
  </sheetData>
  <mergeCells count="1">
    <mergeCell ref="A1:I1"/>
  </mergeCells>
  <phoneticPr fontId="134" type="noConversion"/>
  <pageMargins left="0.75" right="0.75" top="1" bottom="1" header="0.51180555555555551" footer="0.51180555555555551"/>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24" t="s">
        <v>694</v>
      </c>
      <c r="C6" s="1010">
        <f ca="1">ROUND(F6*F8*F7*(1-F9),0)</f>
        <v>0</v>
      </c>
      <c r="D6" s="146" t="s">
        <v>2106</v>
      </c>
      <c r="E6" s="293" t="s">
        <v>696</v>
      </c>
      <c r="F6" s="294">
        <f ca="1">INDIRECT("'数据-取费表'!u"&amp;$G$1)</f>
        <v>0</v>
      </c>
      <c r="G6" s="1291"/>
      <c r="H6" s="1005" t="s">
        <v>398</v>
      </c>
      <c r="I6" s="3424" t="s">
        <v>694</v>
      </c>
      <c r="J6" s="292">
        <f ca="1">ROUND(M6*M8*M7*(1-M9),0)</f>
        <v>0</v>
      </c>
      <c r="K6" s="1283" t="s">
        <v>2107</v>
      </c>
      <c r="L6" s="293" t="s">
        <v>696</v>
      </c>
      <c r="M6" s="294">
        <f ca="1">INDIRECT("'数据-取费表'!z"&amp;$G$1)</f>
        <v>0</v>
      </c>
    </row>
    <row r="7" spans="1:37" ht="18" customHeight="1">
      <c r="A7" s="1009"/>
      <c r="B7" s="3425"/>
      <c r="C7" s="1011"/>
      <c r="D7" s="298"/>
      <c r="E7" s="1012" t="s">
        <v>697</v>
      </c>
      <c r="F7" s="294">
        <f ca="1">IF(INDIRECT("'数据-取费表'!ah"&amp;$G$1)="",INDIRECT("'数据-取费表'!k"&amp;$G$1),INDIRECT("'数据-取费表'!ah"&amp;$G$1))</f>
        <v>0</v>
      </c>
      <c r="G7" s="1291"/>
      <c r="H7" s="295"/>
      <c r="I7" s="3425"/>
      <c r="J7" s="297"/>
      <c r="K7" s="298"/>
      <c r="L7" s="293" t="s">
        <v>697</v>
      </c>
      <c r="M7" s="294">
        <f ca="1">F7</f>
        <v>0</v>
      </c>
    </row>
    <row r="8" spans="1:37" ht="18" customHeight="1">
      <c r="A8" s="295"/>
      <c r="B8" s="3425"/>
      <c r="C8" s="297"/>
      <c r="D8" s="298"/>
      <c r="E8" s="293" t="s">
        <v>698</v>
      </c>
      <c r="F8" s="294">
        <f ca="1">INDIRECT("'数据-取费表'!ai"&amp;$G$1)</f>
        <v>0</v>
      </c>
      <c r="G8" s="1291"/>
      <c r="H8" s="295"/>
      <c r="I8" s="3425"/>
      <c r="J8" s="297"/>
      <c r="K8" s="298"/>
      <c r="L8" s="293" t="s">
        <v>698</v>
      </c>
      <c r="M8" s="294">
        <f ca="1">INDIRECT("'数据-取费表'!ai"&amp;$G$1)</f>
        <v>0</v>
      </c>
    </row>
    <row r="9" spans="1:37" ht="18" customHeight="1">
      <c r="A9" s="295"/>
      <c r="B9" s="3426"/>
      <c r="C9" s="297"/>
      <c r="D9" s="298"/>
      <c r="E9" s="293" t="s">
        <v>699</v>
      </c>
      <c r="F9" s="303">
        <f ca="1">INDIRECT("'数据-取费表'!w"&amp;$G$1)</f>
        <v>0</v>
      </c>
      <c r="G9" s="1291"/>
      <c r="H9" s="295"/>
      <c r="I9" s="3426"/>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3327</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1.1000000000000001E-3</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2297</v>
      </c>
      <c r="I31" s="1304"/>
      <c r="J31" s="1305"/>
      <c r="K31" s="120"/>
      <c r="L31" s="2471"/>
      <c r="M31" s="2472"/>
    </row>
    <row r="32" spans="1:37" ht="18" customHeight="1">
      <c r="A32" s="927" t="s">
        <v>397</v>
      </c>
      <c r="B32" s="293" t="s">
        <v>723</v>
      </c>
      <c r="C32" s="20">
        <f ca="1">IF(项目基本情况!B11="自然人","——",ROUND(C6*F32/(1+'数据-取费表'!C42),0))</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3327</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1">
        <f ca="1">IF(项目基本情况!B11="自然人","——",ROUND(F34*F35,0))</f>
        <v>0</v>
      </c>
      <c r="D34" s="315" t="s">
        <v>731</v>
      </c>
      <c r="E34" s="293" t="s">
        <v>732</v>
      </c>
      <c r="F34" s="316">
        <f>'数据-取费表'!B52</f>
        <v>24</v>
      </c>
      <c r="G34" s="1291"/>
      <c r="H34" s="2470"/>
      <c r="I34" s="1304"/>
      <c r="J34" s="1305"/>
      <c r="K34" s="2475"/>
      <c r="L34" s="2476"/>
      <c r="M34" s="2476"/>
    </row>
    <row r="35" spans="1:18" ht="18" customHeight="1">
      <c r="A35" s="1039"/>
      <c r="B35" s="1037"/>
      <c r="C35" s="25"/>
      <c r="D35" s="318"/>
      <c r="E35" s="293" t="s">
        <v>736</v>
      </c>
      <c r="F35" s="294">
        <f ca="1">INDIRECT("'数据-取费表'!r"&amp;$G$1)</f>
        <v>0</v>
      </c>
      <c r="G35" s="1291"/>
      <c r="H35" s="2470"/>
      <c r="I35" s="1304"/>
      <c r="J35" s="1305"/>
      <c r="K35" s="2474"/>
      <c r="L35" s="2473"/>
      <c r="M35" s="2473"/>
    </row>
    <row r="36" spans="1:18" ht="18" customHeight="1">
      <c r="A36" s="1038" t="s">
        <v>402</v>
      </c>
      <c r="B36" s="293" t="s">
        <v>738</v>
      </c>
      <c r="C36" s="20">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0">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3343</v>
      </c>
      <c r="B45" s="1306"/>
      <c r="C45" s="1375" t="e">
        <f ca="1">ROUND((C68-C40)/10000,4)</f>
        <v>#DIV/0!</v>
      </c>
      <c r="D45" s="3130" t="s">
        <v>3344</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422" t="s">
        <v>837</v>
      </c>
      <c r="L53" s="3423"/>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IF(项目基本情况!B11="自然人","——",IF(D61="按租金收入计税",ROUND(C49*F61/(1+'数据-取费表'!C42),0),IF(D61="按房产原值计税",ROUND(C57*F61*0.7,0),INDIRECT("'数据-取费表'!Aj"&amp;$G$1))))</f>
        <v>0</v>
      </c>
      <c r="D61" s="1277" t="s">
        <v>3327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IF(项目基本情况!B11="自然人","——",ROUND(F62*F63,0))</f>
        <v>0</v>
      </c>
      <c r="D62" s="910" t="s">
        <v>786</v>
      </c>
      <c r="E62" s="895" t="s">
        <v>787</v>
      </c>
      <c r="F62" s="316">
        <f t="shared" si="0"/>
        <v>24</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8" t="s">
        <v>3350</v>
      </c>
      <c r="E2" s="3139"/>
      <c r="F2" s="2597"/>
      <c r="G2" s="2598"/>
      <c r="H2" s="2599"/>
      <c r="I2" s="2600"/>
      <c r="J2" s="3439" t="s">
        <v>2308</v>
      </c>
      <c r="K2" s="3440"/>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41" t="s">
        <v>2318</v>
      </c>
      <c r="K3" s="3442"/>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41" t="s">
        <v>2320</v>
      </c>
      <c r="K4" s="3442"/>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47" t="s">
        <v>2324</v>
      </c>
      <c r="B6" s="3448"/>
      <c r="C6" s="3449"/>
      <c r="D6" s="2621"/>
      <c r="E6" s="2622"/>
      <c r="F6" s="2623"/>
      <c r="G6" s="2624"/>
      <c r="H6" s="2599"/>
      <c r="I6" s="2600"/>
      <c r="J6" s="3433">
        <v>1</v>
      </c>
      <c r="K6" s="3434"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33"/>
      <c r="K7" s="3435"/>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50" t="s">
        <v>2338</v>
      </c>
      <c r="C8" s="3451"/>
      <c r="D8" s="2640" t="s">
        <v>2339</v>
      </c>
      <c r="E8" s="2641" t="s">
        <v>2340</v>
      </c>
      <c r="F8" s="2642" t="s">
        <v>2341</v>
      </c>
      <c r="G8" s="2643"/>
      <c r="H8" s="2599"/>
      <c r="I8" s="2600"/>
      <c r="J8" s="3433"/>
      <c r="K8" s="3435"/>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50" t="s">
        <v>2344</v>
      </c>
      <c r="C9" s="3451"/>
      <c r="D9" s="2640">
        <f>ROUND(D6*E9,0)</f>
        <v>0</v>
      </c>
      <c r="E9" s="2644"/>
      <c r="F9" s="2645" t="s">
        <v>2345</v>
      </c>
      <c r="G9" s="2624"/>
      <c r="H9" s="2599"/>
      <c r="I9" s="2600"/>
      <c r="J9" s="3433"/>
      <c r="K9" s="3435"/>
      <c r="L9" s="2634" t="s">
        <v>2346</v>
      </c>
      <c r="M9" s="2635"/>
      <c r="N9" s="2611"/>
      <c r="O9" s="2636"/>
      <c r="P9" s="2636"/>
      <c r="Q9" s="2637">
        <v>365</v>
      </c>
      <c r="R9" s="2638">
        <f t="shared" si="0"/>
        <v>0</v>
      </c>
      <c r="S9" s="2592"/>
      <c r="T9" s="2592"/>
      <c r="U9" s="2592"/>
      <c r="V9" s="2600"/>
    </row>
    <row r="10" spans="1:22" s="2604" customFormat="1" ht="13.15" customHeight="1">
      <c r="A10" s="2639">
        <v>2</v>
      </c>
      <c r="B10" s="3450" t="s">
        <v>2347</v>
      </c>
      <c r="C10" s="3451"/>
      <c r="D10" s="2640">
        <f>ROUND(D6*E10,0)</f>
        <v>0</v>
      </c>
      <c r="E10" s="2644"/>
      <c r="F10" s="2645" t="s">
        <v>2348</v>
      </c>
      <c r="G10" s="2624"/>
      <c r="H10" s="2599"/>
      <c r="I10" s="2600"/>
      <c r="J10" s="3433"/>
      <c r="K10" s="3435"/>
      <c r="L10" s="2634" t="s">
        <v>2349</v>
      </c>
      <c r="M10" s="2635"/>
      <c r="N10" s="2611"/>
      <c r="O10" s="2636"/>
      <c r="P10" s="2636"/>
      <c r="Q10" s="2637">
        <v>365</v>
      </c>
      <c r="R10" s="2638">
        <f t="shared" si="0"/>
        <v>0</v>
      </c>
      <c r="S10" s="2592"/>
      <c r="T10" s="2592"/>
      <c r="U10" s="2592"/>
      <c r="V10" s="2600"/>
    </row>
    <row r="11" spans="1:22" s="2604" customFormat="1" ht="13.15" customHeight="1">
      <c r="A11" s="2639">
        <v>3</v>
      </c>
      <c r="B11" s="3450" t="s">
        <v>2350</v>
      </c>
      <c r="C11" s="3451"/>
      <c r="D11" s="2640">
        <f>D12+D14+D15+D16</f>
        <v>0</v>
      </c>
      <c r="E11" s="2646" t="e">
        <f>D11/D6</f>
        <v>#DIV/0!</v>
      </c>
      <c r="F11" s="2642"/>
      <c r="G11" s="2643"/>
      <c r="H11" s="2599"/>
      <c r="I11" s="2600"/>
      <c r="J11" s="3433"/>
      <c r="K11" s="3435"/>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43" t="s">
        <v>2353</v>
      </c>
      <c r="C12" s="3444"/>
      <c r="D12" s="2648">
        <f>ROUND(D13*1.2%*(1-30%),0)</f>
        <v>0</v>
      </c>
      <c r="E12" s="2649">
        <v>1.2E-2</v>
      </c>
      <c r="F12" s="2642" t="s">
        <v>2354</v>
      </c>
      <c r="G12" s="2643"/>
      <c r="H12" s="2599"/>
      <c r="I12" s="2600"/>
      <c r="J12" s="3433"/>
      <c r="K12" s="3435"/>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33"/>
      <c r="K13" s="3435"/>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43" t="s">
        <v>2359</v>
      </c>
      <c r="C14" s="3444"/>
      <c r="D14" s="2648">
        <f>ROUND(E14*B5/10000,0)</f>
        <v>0</v>
      </c>
      <c r="E14" s="2637"/>
      <c r="F14" s="2642" t="s">
        <v>2360</v>
      </c>
      <c r="G14" s="2643"/>
      <c r="H14" s="2599"/>
      <c r="I14" s="2600"/>
      <c r="J14" s="3433"/>
      <c r="K14" s="3436"/>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43" t="s">
        <v>2363</v>
      </c>
      <c r="C15" s="3444"/>
      <c r="D15" s="2648">
        <f>ROUND(D6*E15,0)</f>
        <v>0</v>
      </c>
      <c r="E15" s="2649">
        <v>5.5E-2</v>
      </c>
      <c r="F15" s="2642" t="s">
        <v>2364</v>
      </c>
      <c r="G15" s="2624"/>
      <c r="H15" s="2599"/>
      <c r="I15" s="2600"/>
      <c r="J15" s="3433">
        <v>2</v>
      </c>
      <c r="K15" s="3434"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43" t="s">
        <v>2372</v>
      </c>
      <c r="C16" s="3444"/>
      <c r="D16" s="2659">
        <f>D6*E16</f>
        <v>0</v>
      </c>
      <c r="E16" s="2660"/>
      <c r="F16" s="2645" t="s">
        <v>2373</v>
      </c>
      <c r="G16" s="2624"/>
      <c r="H16" s="2599"/>
      <c r="I16" s="2600"/>
      <c r="J16" s="3433"/>
      <c r="K16" s="3435"/>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45" t="s">
        <v>2375</v>
      </c>
      <c r="C17" s="3446"/>
      <c r="D17" s="2662">
        <f>ROUND(D6*E17,0)</f>
        <v>0</v>
      </c>
      <c r="E17" s="2663"/>
      <c r="F17" s="2664" t="s">
        <v>2376</v>
      </c>
      <c r="G17" s="2624"/>
      <c r="H17" s="2599"/>
      <c r="I17" s="2600"/>
      <c r="J17" s="3433"/>
      <c r="K17" s="3435"/>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33"/>
      <c r="K18" s="3435"/>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33"/>
      <c r="K19" s="3436"/>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33">
        <v>3</v>
      </c>
      <c r="K20" s="3434"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33"/>
      <c r="K21" s="3435"/>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33"/>
      <c r="K22" s="3435"/>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33"/>
      <c r="K23" s="3435"/>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33"/>
      <c r="K24" s="3436"/>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37">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3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39" t="s">
        <v>2308</v>
      </c>
      <c r="K32" s="3440"/>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41" t="s">
        <v>2318</v>
      </c>
      <c r="K33" s="3442"/>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41" t="s">
        <v>2320</v>
      </c>
      <c r="K34" s="344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33">
        <v>1</v>
      </c>
      <c r="K36" s="3434"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33"/>
      <c r="K37" s="3435"/>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33"/>
      <c r="K38" s="3435"/>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33"/>
      <c r="K39" s="3435"/>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33"/>
      <c r="K40" s="3436"/>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7">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3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估价对象为房地产，为所有。根据《国有土地使用证》[]，估价对象（分摊）出让国有建设用地使用权面积为8784.46平方米，建筑面积为71986.14平方米。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估价对象为房地产,属开发建设的，该项目尚在开发建设中。根据《国有土地使用证》[]，估价对象（分摊）出让国有建设用地使用权面积为8784.46平方米，规划建筑面积为71986.14平方米。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2025年6月11日（评估专业人员实地查勘之日）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51485</v>
      </c>
      <c r="C2" s="1728" t="s">
        <v>1651</v>
      </c>
      <c r="D2" s="1729" t="s">
        <v>1652</v>
      </c>
      <c r="E2" s="2392">
        <f>SUM(E6:E13)</f>
        <v>71986.14</v>
      </c>
      <c r="F2" s="2479"/>
      <c r="G2" s="458"/>
      <c r="H2" s="458"/>
      <c r="I2" s="458"/>
      <c r="J2" s="458"/>
      <c r="K2" s="458"/>
      <c r="L2" s="458"/>
      <c r="M2" s="458"/>
      <c r="N2" s="458"/>
      <c r="O2" s="458"/>
      <c r="P2" s="458"/>
      <c r="Q2" s="458"/>
      <c r="R2" s="458"/>
      <c r="S2" s="458"/>
    </row>
    <row r="3" spans="1:22" ht="15.75">
      <c r="A3" s="1727" t="s">
        <v>686</v>
      </c>
      <c r="B3" s="2386">
        <f ca="1">ROUND(B2*10000/E2,0)</f>
        <v>7152</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452" t="s">
        <v>1654</v>
      </c>
      <c r="C5" s="3453"/>
      <c r="D5" s="2480"/>
      <c r="E5" s="1730" t="s">
        <v>1655</v>
      </c>
      <c r="F5" s="128" t="s">
        <v>1656</v>
      </c>
      <c r="G5" s="458"/>
      <c r="H5" s="458"/>
      <c r="I5" s="458"/>
      <c r="J5" s="458"/>
      <c r="K5" s="458"/>
      <c r="L5" s="458"/>
      <c r="M5" s="458"/>
      <c r="N5" s="458"/>
      <c r="O5" s="458"/>
      <c r="P5" s="458"/>
      <c r="Q5" s="458"/>
      <c r="R5" s="458"/>
      <c r="S5" s="458"/>
    </row>
    <row r="6" spans="1:22">
      <c r="A6" s="2389" t="str">
        <f>'数据-取费表'!AN6</f>
        <v>收益法</v>
      </c>
      <c r="B6" s="2387">
        <f ca="1">IF(F6="是",'数据-取费表'!AO6,0)</f>
        <v>51485</v>
      </c>
      <c r="C6" s="1728" t="s">
        <v>1651</v>
      </c>
      <c r="D6" s="2479"/>
      <c r="E6" s="2391">
        <f>IF(OR(A6=0,F6="否"),0,'数据-取费表'!K6+'数据-取费表'!S6)</f>
        <v>71986.14</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71986.14</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84" t="s">
        <v>1667</v>
      </c>
      <c r="D4" s="3396"/>
      <c r="E4" s="3397" t="s">
        <v>1668</v>
      </c>
      <c r="F4" s="3398"/>
      <c r="G4" s="3384" t="s">
        <v>1669</v>
      </c>
      <c r="H4" s="3396"/>
      <c r="I4" s="3384" t="s">
        <v>1670</v>
      </c>
      <c r="J4" s="3396"/>
      <c r="K4" s="1743" t="s">
        <v>1671</v>
      </c>
      <c r="L4" s="2486"/>
      <c r="M4" s="2487"/>
      <c r="N4" s="2487"/>
      <c r="O4" s="2487"/>
      <c r="P4" s="3399" t="s">
        <v>1672</v>
      </c>
      <c r="Q4" s="3400"/>
      <c r="R4" s="3405" t="s">
        <v>1668</v>
      </c>
      <c r="S4" s="3406"/>
      <c r="T4" s="3405" t="s">
        <v>1669</v>
      </c>
      <c r="U4" s="3406"/>
      <c r="V4" s="3392" t="s">
        <v>1670</v>
      </c>
      <c r="W4" s="3392"/>
      <c r="X4" s="1264"/>
      <c r="Y4" s="3405" t="s">
        <v>1672</v>
      </c>
      <c r="Z4" s="3406"/>
      <c r="AA4" s="3393" t="s">
        <v>1668</v>
      </c>
      <c r="AB4" s="3393" t="s">
        <v>1669</v>
      </c>
      <c r="AC4" s="3393" t="s">
        <v>1670</v>
      </c>
    </row>
    <row r="5" spans="1:29" ht="15">
      <c r="A5" s="347"/>
      <c r="B5" s="348"/>
      <c r="C5" s="3413" t="s">
        <v>1673</v>
      </c>
      <c r="D5" s="3414"/>
      <c r="E5" s="3420" t="s">
        <v>1674</v>
      </c>
      <c r="F5" s="3421"/>
      <c r="G5" s="3413" t="s">
        <v>1675</v>
      </c>
      <c r="H5" s="3414"/>
      <c r="I5" s="3413" t="s">
        <v>1676</v>
      </c>
      <c r="J5" s="3414"/>
      <c r="K5" s="1744"/>
      <c r="L5" s="2486"/>
      <c r="M5" s="2487"/>
      <c r="N5" s="2487"/>
      <c r="O5" s="2487"/>
      <c r="P5" s="3401"/>
      <c r="Q5" s="3402"/>
      <c r="R5" s="3407"/>
      <c r="S5" s="3408"/>
      <c r="T5" s="3407"/>
      <c r="U5" s="3408"/>
      <c r="V5" s="3392"/>
      <c r="W5" s="3392"/>
      <c r="X5" s="1264"/>
      <c r="Y5" s="3407"/>
      <c r="Z5" s="3408"/>
      <c r="AA5" s="3394"/>
      <c r="AB5" s="3394"/>
      <c r="AC5" s="3394"/>
    </row>
    <row r="6" spans="1:29" ht="15.75" thickBot="1">
      <c r="A6" s="349"/>
      <c r="B6" s="350"/>
      <c r="C6" s="3411" t="s">
        <v>1677</v>
      </c>
      <c r="D6" s="3412"/>
      <c r="E6" s="3418" t="s">
        <v>1677</v>
      </c>
      <c r="F6" s="3419"/>
      <c r="G6" s="3411" t="s">
        <v>1677</v>
      </c>
      <c r="H6" s="3412"/>
      <c r="I6" s="3411" t="s">
        <v>1677</v>
      </c>
      <c r="J6" s="3412"/>
      <c r="K6" s="1744" t="s">
        <v>1678</v>
      </c>
      <c r="L6" s="2486"/>
      <c r="M6" s="2487"/>
      <c r="N6" s="2487"/>
      <c r="O6" s="2487"/>
      <c r="P6" s="3403"/>
      <c r="Q6" s="3404"/>
      <c r="R6" s="3407"/>
      <c r="S6" s="3408"/>
      <c r="T6" s="3409"/>
      <c r="U6" s="3410"/>
      <c r="V6" s="3392"/>
      <c r="W6" s="3392"/>
      <c r="X6" s="1264"/>
      <c r="Y6" s="3409"/>
      <c r="Z6" s="3410"/>
      <c r="AA6" s="3395"/>
      <c r="AB6" s="3395"/>
      <c r="AC6" s="3395"/>
    </row>
    <row r="7" spans="1:29" s="101" customFormat="1" ht="15.75" thickBot="1">
      <c r="A7" s="351" t="s">
        <v>1679</v>
      </c>
      <c r="B7" s="352"/>
      <c r="C7" s="353">
        <f>'数据-取费表'!B2</f>
        <v>45819</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15" t="s">
        <v>1680</v>
      </c>
      <c r="Q7" s="3417"/>
      <c r="R7" s="663" t="s">
        <v>20</v>
      </c>
      <c r="S7" s="664">
        <f t="shared" ref="S7:S15" si="0">F7</f>
        <v>0</v>
      </c>
      <c r="T7" s="663" t="s">
        <v>20</v>
      </c>
      <c r="U7" s="664">
        <f t="shared" ref="U7:U15" si="1">H7</f>
        <v>0</v>
      </c>
      <c r="V7" s="663" t="s">
        <v>20</v>
      </c>
      <c r="W7" s="664">
        <f t="shared" ref="W7:W15" si="2">J7</f>
        <v>0</v>
      </c>
      <c r="X7" s="665"/>
      <c r="Y7" s="3415" t="s">
        <v>1680</v>
      </c>
      <c r="Z7" s="3416"/>
      <c r="AA7" s="49" t="e">
        <f>D7/F7</f>
        <v>#DIV/0!</v>
      </c>
      <c r="AB7" s="49" t="e">
        <f>D7/H7</f>
        <v>#DIV/0!</v>
      </c>
      <c r="AC7" s="49"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15" t="s">
        <v>1683</v>
      </c>
      <c r="Q8" s="3416"/>
      <c r="R8" s="663" t="s">
        <v>20</v>
      </c>
      <c r="S8" s="664">
        <f t="shared" si="0"/>
        <v>100</v>
      </c>
      <c r="T8" s="663" t="s">
        <v>20</v>
      </c>
      <c r="U8" s="664">
        <f t="shared" si="1"/>
        <v>100</v>
      </c>
      <c r="V8" s="663" t="s">
        <v>20</v>
      </c>
      <c r="W8" s="664">
        <f t="shared" si="2"/>
        <v>100</v>
      </c>
      <c r="X8" s="665"/>
      <c r="Y8" s="3415" t="s">
        <v>1683</v>
      </c>
      <c r="Z8" s="3416"/>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8"/>
      <c r="M9" s="2439"/>
      <c r="N9" s="2439"/>
      <c r="O9" s="2439"/>
      <c r="P9" s="3386" t="s">
        <v>1686</v>
      </c>
      <c r="Q9" s="529" t="str">
        <f t="shared" ref="Q9:Q15" si="6">B9</f>
        <v>用途</v>
      </c>
      <c r="R9" s="663" t="s">
        <v>14</v>
      </c>
      <c r="S9" s="664">
        <f t="shared" si="0"/>
        <v>100</v>
      </c>
      <c r="T9" s="663" t="s">
        <v>14</v>
      </c>
      <c r="U9" s="664">
        <f t="shared" si="1"/>
        <v>100</v>
      </c>
      <c r="V9" s="663" t="s">
        <v>14</v>
      </c>
      <c r="W9" s="664">
        <f t="shared" si="2"/>
        <v>100</v>
      </c>
      <c r="X9" s="665"/>
      <c r="Y9" s="3284" t="s">
        <v>1687</v>
      </c>
      <c r="Z9" s="49" t="str">
        <f t="shared" ref="Z9:Z15" si="7">Q9</f>
        <v>用途</v>
      </c>
      <c r="AA9" s="49">
        <f t="shared" si="3"/>
        <v>1</v>
      </c>
      <c r="AB9" s="49">
        <f t="shared" si="4"/>
        <v>1</v>
      </c>
      <c r="AC9" s="49">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86"/>
      <c r="Q10" s="529" t="str">
        <f t="shared" si="6"/>
        <v>土地使用年限（年）</v>
      </c>
      <c r="R10" s="663" t="s">
        <v>14</v>
      </c>
      <c r="S10" s="664">
        <f t="shared" si="0"/>
        <v>100</v>
      </c>
      <c r="T10" s="663" t="s">
        <v>14</v>
      </c>
      <c r="U10" s="664">
        <f t="shared" si="1"/>
        <v>100</v>
      </c>
      <c r="V10" s="663" t="s">
        <v>14</v>
      </c>
      <c r="W10" s="664">
        <f t="shared" si="2"/>
        <v>100</v>
      </c>
      <c r="X10" s="665"/>
      <c r="Y10" s="3284"/>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86"/>
      <c r="Q11" s="529" t="str">
        <f t="shared" si="6"/>
        <v>容积率</v>
      </c>
      <c r="R11" s="663" t="s">
        <v>18</v>
      </c>
      <c r="S11" s="664" t="e">
        <f t="shared" si="0"/>
        <v>#N/A</v>
      </c>
      <c r="T11" s="663" t="s">
        <v>18</v>
      </c>
      <c r="U11" s="664" t="e">
        <f t="shared" si="1"/>
        <v>#N/A</v>
      </c>
      <c r="V11" s="663" t="s">
        <v>18</v>
      </c>
      <c r="W11" s="664" t="e">
        <f t="shared" si="2"/>
        <v>#N/A</v>
      </c>
      <c r="X11" s="665"/>
      <c r="Y11" s="3284"/>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86"/>
      <c r="Q12" s="529">
        <f t="shared" si="6"/>
        <v>111</v>
      </c>
      <c r="R12" s="663" t="s">
        <v>18</v>
      </c>
      <c r="S12" s="664">
        <f t="shared" si="0"/>
        <v>100</v>
      </c>
      <c r="T12" s="663" t="s">
        <v>18</v>
      </c>
      <c r="U12" s="664">
        <f t="shared" si="1"/>
        <v>100</v>
      </c>
      <c r="V12" s="663" t="s">
        <v>18</v>
      </c>
      <c r="W12" s="664">
        <f t="shared" si="2"/>
        <v>100</v>
      </c>
      <c r="X12" s="665"/>
      <c r="Y12" s="3284"/>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86"/>
      <c r="Q13" s="529">
        <f t="shared" si="6"/>
        <v>111</v>
      </c>
      <c r="R13" s="663" t="s">
        <v>18</v>
      </c>
      <c r="S13" s="664">
        <f t="shared" si="0"/>
        <v>100</v>
      </c>
      <c r="T13" s="663" t="s">
        <v>18</v>
      </c>
      <c r="U13" s="664">
        <f t="shared" si="1"/>
        <v>100</v>
      </c>
      <c r="V13" s="663" t="s">
        <v>18</v>
      </c>
      <c r="W13" s="664">
        <f t="shared" si="2"/>
        <v>100</v>
      </c>
      <c r="X13" s="665"/>
      <c r="Y13" s="3284"/>
      <c r="Z13" s="49">
        <f t="shared" si="7"/>
        <v>111</v>
      </c>
      <c r="AA13" s="49">
        <f t="shared" si="3"/>
        <v>1</v>
      </c>
      <c r="AB13" s="49">
        <f t="shared" si="4"/>
        <v>1</v>
      </c>
      <c r="AC13" s="49">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86"/>
      <c r="Q14" s="529">
        <f t="shared" si="6"/>
        <v>111</v>
      </c>
      <c r="R14" s="663" t="s">
        <v>18</v>
      </c>
      <c r="S14" s="664">
        <f t="shared" si="0"/>
        <v>100</v>
      </c>
      <c r="T14" s="663" t="s">
        <v>18</v>
      </c>
      <c r="U14" s="664">
        <f t="shared" si="1"/>
        <v>100</v>
      </c>
      <c r="V14" s="663" t="s">
        <v>18</v>
      </c>
      <c r="W14" s="664">
        <f t="shared" si="2"/>
        <v>100</v>
      </c>
      <c r="X14" s="665"/>
      <c r="Y14" s="3284"/>
      <c r="Z14" s="49">
        <f t="shared" si="7"/>
        <v>111</v>
      </c>
      <c r="AA14" s="49">
        <f t="shared" si="3"/>
        <v>1</v>
      </c>
      <c r="AB14" s="49">
        <f t="shared" si="4"/>
        <v>1</v>
      </c>
      <c r="AC14" s="49">
        <f t="shared" si="5"/>
        <v>1</v>
      </c>
    </row>
    <row r="15" spans="1:29" ht="1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59" t="s">
        <v>1691</v>
      </c>
      <c r="Q15" s="1262" t="str">
        <f t="shared" si="6"/>
        <v>居住社区成熟度</v>
      </c>
      <c r="R15" s="666" t="s">
        <v>18</v>
      </c>
      <c r="S15" s="667">
        <f t="shared" si="0"/>
        <v>100</v>
      </c>
      <c r="T15" s="666" t="s">
        <v>18</v>
      </c>
      <c r="U15" s="667">
        <f t="shared" si="1"/>
        <v>100</v>
      </c>
      <c r="V15" s="666" t="s">
        <v>18</v>
      </c>
      <c r="W15" s="667">
        <f t="shared" si="2"/>
        <v>100</v>
      </c>
      <c r="X15" s="1264"/>
      <c r="Y15" s="3388"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60"/>
      <c r="Q16" s="1262"/>
      <c r="R16" s="666"/>
      <c r="S16" s="667"/>
      <c r="T16" s="666"/>
      <c r="U16" s="667"/>
      <c r="V16" s="666"/>
      <c r="W16" s="667"/>
      <c r="X16" s="1264"/>
      <c r="Y16" s="3389"/>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60"/>
      <c r="Q17" s="1262" t="str">
        <f>B17</f>
        <v>交通便捷度</v>
      </c>
      <c r="R17" s="666" t="s">
        <v>18</v>
      </c>
      <c r="S17" s="667">
        <f>F17</f>
        <v>100</v>
      </c>
      <c r="T17" s="666" t="s">
        <v>18</v>
      </c>
      <c r="U17" s="667">
        <f>H17</f>
        <v>100</v>
      </c>
      <c r="V17" s="666" t="s">
        <v>18</v>
      </c>
      <c r="W17" s="667">
        <f>J17</f>
        <v>100</v>
      </c>
      <c r="X17" s="1264"/>
      <c r="Y17" s="3389"/>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60"/>
      <c r="Q18" s="1262"/>
      <c r="R18" s="666"/>
      <c r="S18" s="667"/>
      <c r="T18" s="666"/>
      <c r="U18" s="667"/>
      <c r="V18" s="666"/>
      <c r="W18" s="667"/>
      <c r="X18" s="1264"/>
      <c r="Y18" s="3389"/>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60"/>
      <c r="Q19" s="1262" t="str">
        <f>B19</f>
        <v>公共配套设施</v>
      </c>
      <c r="R19" s="666" t="s">
        <v>18</v>
      </c>
      <c r="S19" s="667">
        <f>F19</f>
        <v>100</v>
      </c>
      <c r="T19" s="666" t="s">
        <v>18</v>
      </c>
      <c r="U19" s="667">
        <f>H19</f>
        <v>100</v>
      </c>
      <c r="V19" s="666" t="s">
        <v>18</v>
      </c>
      <c r="W19" s="667">
        <f>J19</f>
        <v>100</v>
      </c>
      <c r="X19" s="1264"/>
      <c r="Y19" s="3389"/>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60"/>
      <c r="Q20" s="1262"/>
      <c r="R20" s="666"/>
      <c r="S20" s="667"/>
      <c r="T20" s="666"/>
      <c r="U20" s="667"/>
      <c r="V20" s="666"/>
      <c r="W20" s="667"/>
      <c r="X20" s="1264"/>
      <c r="Y20" s="3389"/>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60"/>
      <c r="Q21" s="1262" t="str">
        <f>B21</f>
        <v>基础设施水平</v>
      </c>
      <c r="R21" s="666" t="s">
        <v>14</v>
      </c>
      <c r="S21" s="667">
        <f>F21</f>
        <v>100</v>
      </c>
      <c r="T21" s="666" t="s">
        <v>14</v>
      </c>
      <c r="U21" s="667">
        <f>H21</f>
        <v>100</v>
      </c>
      <c r="V21" s="666" t="s">
        <v>14</v>
      </c>
      <c r="W21" s="667">
        <f>J21</f>
        <v>100</v>
      </c>
      <c r="X21" s="1264"/>
      <c r="Y21" s="338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60"/>
      <c r="Q22" s="1262"/>
      <c r="R22" s="666"/>
      <c r="S22" s="667"/>
      <c r="T22" s="666"/>
      <c r="U22" s="667"/>
      <c r="V22" s="666"/>
      <c r="W22" s="667"/>
      <c r="X22" s="1264"/>
      <c r="Y22" s="3389"/>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60"/>
      <c r="Q23" s="1262" t="str">
        <f>B23</f>
        <v>自然及人文环境</v>
      </c>
      <c r="R23" s="666" t="s">
        <v>18</v>
      </c>
      <c r="S23" s="667">
        <f>F23</f>
        <v>100</v>
      </c>
      <c r="T23" s="666" t="s">
        <v>18</v>
      </c>
      <c r="U23" s="667">
        <f>H23</f>
        <v>100</v>
      </c>
      <c r="V23" s="666" t="s">
        <v>18</v>
      </c>
      <c r="W23" s="667">
        <f>J23</f>
        <v>100</v>
      </c>
      <c r="X23" s="1264"/>
      <c r="Y23" s="3389"/>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60"/>
      <c r="Q24" s="1262"/>
      <c r="R24" s="666"/>
      <c r="S24" s="667"/>
      <c r="T24" s="666"/>
      <c r="U24" s="667"/>
      <c r="V24" s="666"/>
      <c r="W24" s="667"/>
      <c r="X24" s="1264"/>
      <c r="Y24" s="3389"/>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6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9"/>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60"/>
      <c r="Q26" s="1262" t="str">
        <f t="shared" si="11"/>
        <v>朝向</v>
      </c>
      <c r="R26" s="666" t="s">
        <v>18</v>
      </c>
      <c r="S26" s="667">
        <f t="shared" si="12"/>
        <v>100</v>
      </c>
      <c r="T26" s="666" t="s">
        <v>18</v>
      </c>
      <c r="U26" s="667">
        <f t="shared" si="13"/>
        <v>100</v>
      </c>
      <c r="V26" s="666" t="s">
        <v>18</v>
      </c>
      <c r="W26" s="667">
        <f t="shared" si="14"/>
        <v>100</v>
      </c>
      <c r="X26" s="1264"/>
      <c r="Y26" s="3389"/>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60"/>
      <c r="Q27" s="529">
        <f t="shared" si="11"/>
        <v>111</v>
      </c>
      <c r="R27" s="663" t="s">
        <v>18</v>
      </c>
      <c r="S27" s="664">
        <f t="shared" si="12"/>
        <v>100</v>
      </c>
      <c r="T27" s="663" t="s">
        <v>18</v>
      </c>
      <c r="U27" s="664">
        <f t="shared" si="13"/>
        <v>100</v>
      </c>
      <c r="V27" s="663" t="s">
        <v>18</v>
      </c>
      <c r="W27" s="664">
        <f t="shared" si="14"/>
        <v>100</v>
      </c>
      <c r="X27" s="665"/>
      <c r="Y27" s="3389"/>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60"/>
      <c r="Q28" s="1262">
        <f t="shared" si="11"/>
        <v>111</v>
      </c>
      <c r="R28" s="666" t="s">
        <v>18</v>
      </c>
      <c r="S28" s="667">
        <f t="shared" si="12"/>
        <v>100</v>
      </c>
      <c r="T28" s="666" t="s">
        <v>18</v>
      </c>
      <c r="U28" s="667">
        <f t="shared" si="13"/>
        <v>100</v>
      </c>
      <c r="V28" s="666" t="s">
        <v>18</v>
      </c>
      <c r="W28" s="667">
        <f t="shared" si="14"/>
        <v>100</v>
      </c>
      <c r="X28" s="1264"/>
      <c r="Y28" s="3389"/>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60"/>
      <c r="Q29" s="1262">
        <f t="shared" si="11"/>
        <v>111</v>
      </c>
      <c r="R29" s="666" t="s">
        <v>18</v>
      </c>
      <c r="S29" s="667">
        <f t="shared" si="12"/>
        <v>100</v>
      </c>
      <c r="T29" s="666" t="s">
        <v>18</v>
      </c>
      <c r="U29" s="667">
        <f t="shared" si="13"/>
        <v>100</v>
      </c>
      <c r="V29" s="666" t="s">
        <v>18</v>
      </c>
      <c r="W29" s="667">
        <f t="shared" si="14"/>
        <v>100</v>
      </c>
      <c r="X29" s="1264"/>
      <c r="Y29" s="3389"/>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60"/>
      <c r="Q30" s="1262">
        <f t="shared" si="11"/>
        <v>111</v>
      </c>
      <c r="R30" s="666" t="s">
        <v>18</v>
      </c>
      <c r="S30" s="667">
        <f t="shared" si="12"/>
        <v>100</v>
      </c>
      <c r="T30" s="666" t="s">
        <v>18</v>
      </c>
      <c r="U30" s="667">
        <f t="shared" si="13"/>
        <v>100</v>
      </c>
      <c r="V30" s="666" t="s">
        <v>18</v>
      </c>
      <c r="W30" s="667">
        <f t="shared" si="14"/>
        <v>100</v>
      </c>
      <c r="X30" s="1264"/>
      <c r="Y30" s="3389"/>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60"/>
      <c r="Q31" s="1262">
        <f t="shared" si="11"/>
        <v>111</v>
      </c>
      <c r="R31" s="666" t="s">
        <v>18</v>
      </c>
      <c r="S31" s="667">
        <f t="shared" si="12"/>
        <v>100</v>
      </c>
      <c r="T31" s="666" t="s">
        <v>18</v>
      </c>
      <c r="U31" s="667">
        <f t="shared" si="13"/>
        <v>100</v>
      </c>
      <c r="V31" s="666" t="s">
        <v>18</v>
      </c>
      <c r="W31" s="667">
        <f t="shared" si="14"/>
        <v>100</v>
      </c>
      <c r="X31" s="1264"/>
      <c r="Y31" s="3389"/>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55" t="s">
        <v>1696</v>
      </c>
      <c r="Q32" s="1262" t="str">
        <f t="shared" si="11"/>
        <v>建筑类型</v>
      </c>
      <c r="R32" s="666" t="s">
        <v>18</v>
      </c>
      <c r="S32" s="667">
        <f t="shared" si="12"/>
        <v>100</v>
      </c>
      <c r="T32" s="666" t="s">
        <v>18</v>
      </c>
      <c r="U32" s="667">
        <f t="shared" si="13"/>
        <v>100</v>
      </c>
      <c r="V32" s="666" t="s">
        <v>18</v>
      </c>
      <c r="W32" s="667">
        <f t="shared" si="14"/>
        <v>100</v>
      </c>
      <c r="X32" s="1264"/>
      <c r="Y32" s="3391"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56"/>
      <c r="Q33" s="530" t="str">
        <f t="shared" si="11"/>
        <v>项目建筑规模</v>
      </c>
      <c r="R33" s="668" t="s">
        <v>18</v>
      </c>
      <c r="S33" s="669" t="e">
        <f t="shared" si="12"/>
        <v>#N/A</v>
      </c>
      <c r="T33" s="668" t="s">
        <v>18</v>
      </c>
      <c r="U33" s="669" t="e">
        <f t="shared" si="13"/>
        <v>#N/A</v>
      </c>
      <c r="V33" s="668" t="s">
        <v>18</v>
      </c>
      <c r="W33" s="669" t="e">
        <f t="shared" si="14"/>
        <v>#N/A</v>
      </c>
      <c r="X33" s="670"/>
      <c r="Y33" s="3391"/>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56"/>
      <c r="Q34" s="1262" t="str">
        <f t="shared" si="11"/>
        <v>建筑结构</v>
      </c>
      <c r="R34" s="666" t="s">
        <v>18</v>
      </c>
      <c r="S34" s="667">
        <f t="shared" si="12"/>
        <v>100</v>
      </c>
      <c r="T34" s="666" t="s">
        <v>18</v>
      </c>
      <c r="U34" s="667">
        <f t="shared" si="13"/>
        <v>100</v>
      </c>
      <c r="V34" s="666" t="s">
        <v>18</v>
      </c>
      <c r="W34" s="667">
        <f t="shared" si="14"/>
        <v>100</v>
      </c>
      <c r="X34" s="1264"/>
      <c r="Y34" s="3391"/>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56"/>
      <c r="Q35" s="1262" t="str">
        <f t="shared" si="11"/>
        <v>建筑品质</v>
      </c>
      <c r="R35" s="666" t="s">
        <v>18</v>
      </c>
      <c r="S35" s="667">
        <f t="shared" si="12"/>
        <v>100</v>
      </c>
      <c r="T35" s="666" t="s">
        <v>18</v>
      </c>
      <c r="U35" s="667">
        <f t="shared" si="13"/>
        <v>100</v>
      </c>
      <c r="V35" s="666" t="s">
        <v>18</v>
      </c>
      <c r="W35" s="667">
        <f t="shared" si="14"/>
        <v>100</v>
      </c>
      <c r="X35" s="1264"/>
      <c r="Y35" s="3391"/>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56"/>
      <c r="Q36" s="1262" t="str">
        <f t="shared" si="11"/>
        <v>公共部分装修</v>
      </c>
      <c r="R36" s="666" t="s">
        <v>18</v>
      </c>
      <c r="S36" s="667">
        <f t="shared" si="12"/>
        <v>100</v>
      </c>
      <c r="T36" s="666" t="s">
        <v>18</v>
      </c>
      <c r="U36" s="667">
        <f t="shared" si="13"/>
        <v>100</v>
      </c>
      <c r="V36" s="666" t="s">
        <v>18</v>
      </c>
      <c r="W36" s="667">
        <f t="shared" si="14"/>
        <v>100</v>
      </c>
      <c r="X36" s="1264"/>
      <c r="Y36" s="3391"/>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56"/>
      <c r="Q37" s="529" t="str">
        <f t="shared" si="11"/>
        <v>成新度</v>
      </c>
      <c r="R37" s="663" t="s">
        <v>18</v>
      </c>
      <c r="S37" s="664" t="e">
        <f t="shared" si="12"/>
        <v>#N/A</v>
      </c>
      <c r="T37" s="663" t="s">
        <v>18</v>
      </c>
      <c r="U37" s="664" t="e">
        <f t="shared" si="13"/>
        <v>#N/A</v>
      </c>
      <c r="V37" s="663" t="s">
        <v>18</v>
      </c>
      <c r="W37" s="664" t="e">
        <f t="shared" si="14"/>
        <v>#N/A</v>
      </c>
      <c r="X37" s="665"/>
      <c r="Y37" s="3391"/>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56" t="s">
        <v>1696</v>
      </c>
      <c r="Q38" s="1262" t="str">
        <f t="shared" si="11"/>
        <v>物业管理</v>
      </c>
      <c r="R38" s="666" t="s">
        <v>18</v>
      </c>
      <c r="S38" s="667">
        <f t="shared" si="12"/>
        <v>100</v>
      </c>
      <c r="T38" s="666" t="s">
        <v>18</v>
      </c>
      <c r="U38" s="667">
        <f t="shared" si="13"/>
        <v>100</v>
      </c>
      <c r="V38" s="666" t="s">
        <v>18</v>
      </c>
      <c r="W38" s="667">
        <f t="shared" si="14"/>
        <v>100</v>
      </c>
      <c r="X38" s="1264"/>
      <c r="Y38" s="3391"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56"/>
      <c r="Q39" s="1262" t="str">
        <f t="shared" si="11"/>
        <v>市政基础设施</v>
      </c>
      <c r="R39" s="666" t="s">
        <v>18</v>
      </c>
      <c r="S39" s="667">
        <f t="shared" si="12"/>
        <v>100</v>
      </c>
      <c r="T39" s="666" t="s">
        <v>18</v>
      </c>
      <c r="U39" s="667">
        <f t="shared" si="13"/>
        <v>100</v>
      </c>
      <c r="V39" s="666" t="s">
        <v>18</v>
      </c>
      <c r="W39" s="667">
        <f t="shared" si="14"/>
        <v>100</v>
      </c>
      <c r="X39" s="1264"/>
      <c r="Y39" s="3391"/>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56"/>
      <c r="Q40" s="1262" t="str">
        <f t="shared" si="11"/>
        <v>房型</v>
      </c>
      <c r="R40" s="666" t="s">
        <v>18</v>
      </c>
      <c r="S40" s="667">
        <f t="shared" si="12"/>
        <v>100</v>
      </c>
      <c r="T40" s="666" t="s">
        <v>18</v>
      </c>
      <c r="U40" s="667">
        <f t="shared" si="13"/>
        <v>100</v>
      </c>
      <c r="V40" s="666" t="s">
        <v>18</v>
      </c>
      <c r="W40" s="667">
        <f t="shared" si="14"/>
        <v>100</v>
      </c>
      <c r="X40" s="1264"/>
      <c r="Y40" s="3391"/>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56"/>
      <c r="Q41" s="530" t="str">
        <f t="shared" si="11"/>
        <v>单套/主力户型建筑面积</v>
      </c>
      <c r="R41" s="668" t="s">
        <v>18</v>
      </c>
      <c r="S41" s="669">
        <f t="shared" si="12"/>
        <v>100</v>
      </c>
      <c r="T41" s="668" t="s">
        <v>18</v>
      </c>
      <c r="U41" s="669">
        <f t="shared" si="13"/>
        <v>100</v>
      </c>
      <c r="V41" s="668" t="s">
        <v>18</v>
      </c>
      <c r="W41" s="669">
        <f t="shared" si="14"/>
        <v>100</v>
      </c>
      <c r="X41" s="670"/>
      <c r="Y41" s="3391"/>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56"/>
      <c r="Q42" s="1262" t="str">
        <f t="shared" si="11"/>
        <v>内部装修</v>
      </c>
      <c r="R42" s="666" t="s">
        <v>18</v>
      </c>
      <c r="S42" s="667">
        <f t="shared" si="12"/>
        <v>100</v>
      </c>
      <c r="T42" s="666" t="s">
        <v>18</v>
      </c>
      <c r="U42" s="667">
        <f t="shared" si="13"/>
        <v>100</v>
      </c>
      <c r="V42" s="666" t="s">
        <v>18</v>
      </c>
      <c r="W42" s="667">
        <f t="shared" si="14"/>
        <v>100</v>
      </c>
      <c r="X42" s="1264"/>
      <c r="Y42" s="3391"/>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56"/>
      <c r="Q43" s="1262" t="str">
        <f t="shared" si="11"/>
        <v>内部装修维护情况</v>
      </c>
      <c r="R43" s="666" t="s">
        <v>18</v>
      </c>
      <c r="S43" s="667">
        <f t="shared" si="12"/>
        <v>100</v>
      </c>
      <c r="T43" s="666" t="s">
        <v>18</v>
      </c>
      <c r="U43" s="667">
        <f t="shared" si="13"/>
        <v>100</v>
      </c>
      <c r="V43" s="666" t="s">
        <v>18</v>
      </c>
      <c r="W43" s="667">
        <f t="shared" si="14"/>
        <v>100</v>
      </c>
      <c r="X43" s="1264"/>
      <c r="Y43" s="3391"/>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56"/>
      <c r="Q44" s="529">
        <f t="shared" si="11"/>
        <v>111</v>
      </c>
      <c r="R44" s="663" t="s">
        <v>18</v>
      </c>
      <c r="S44" s="664">
        <f t="shared" si="12"/>
        <v>100</v>
      </c>
      <c r="T44" s="663" t="s">
        <v>18</v>
      </c>
      <c r="U44" s="664">
        <f t="shared" si="13"/>
        <v>100</v>
      </c>
      <c r="V44" s="663" t="s">
        <v>18</v>
      </c>
      <c r="W44" s="664">
        <f t="shared" si="14"/>
        <v>100</v>
      </c>
      <c r="X44" s="665"/>
      <c r="Y44" s="3391"/>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56"/>
      <c r="Q45" s="1262">
        <f t="shared" si="11"/>
        <v>111</v>
      </c>
      <c r="R45" s="666" t="s">
        <v>18</v>
      </c>
      <c r="S45" s="667">
        <f t="shared" si="12"/>
        <v>100</v>
      </c>
      <c r="T45" s="666" t="s">
        <v>18</v>
      </c>
      <c r="U45" s="667">
        <f t="shared" si="13"/>
        <v>100</v>
      </c>
      <c r="V45" s="666" t="s">
        <v>18</v>
      </c>
      <c r="W45" s="667">
        <f t="shared" si="14"/>
        <v>100</v>
      </c>
      <c r="X45" s="1264"/>
      <c r="Y45" s="3391"/>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57"/>
      <c r="Q46" s="1262">
        <f t="shared" si="11"/>
        <v>111</v>
      </c>
      <c r="R46" s="666" t="s">
        <v>17</v>
      </c>
      <c r="S46" s="667">
        <f t="shared" si="12"/>
        <v>100</v>
      </c>
      <c r="T46" s="666" t="s">
        <v>17</v>
      </c>
      <c r="U46" s="667">
        <f t="shared" si="13"/>
        <v>100</v>
      </c>
      <c r="V46" s="666" t="s">
        <v>17</v>
      </c>
      <c r="W46" s="667">
        <f t="shared" si="14"/>
        <v>100</v>
      </c>
      <c r="X46" s="1264"/>
      <c r="Y46" s="3458"/>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387" t="str">
        <f>A47</f>
        <v>成交单价（元/平方米）</v>
      </c>
      <c r="Q47" s="3387"/>
      <c r="R47" s="3392">
        <f>E47</f>
        <v>0</v>
      </c>
      <c r="S47" s="3392"/>
      <c r="T47" s="3392">
        <f>G47</f>
        <v>0</v>
      </c>
      <c r="U47" s="3392"/>
      <c r="V47" s="3392">
        <f>I47</f>
        <v>0</v>
      </c>
      <c r="W47" s="3392"/>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87" t="str">
        <f>A48</f>
        <v>比较价值（元/平方米）</v>
      </c>
      <c r="Q48" s="3387"/>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381" t="str">
        <f>A49</f>
        <v>估价对象XX用房的比较价值（楼面单价，元/平方米）</v>
      </c>
      <c r="Q49" s="3382"/>
      <c r="R49" s="3454" t="e">
        <f>IF(F1="售价",ROUND(IF(D48="简单平均",AVERAGE(R48:V48),R48*F48+T48*H48+V48*J48),0),ROUND(IF(D48="简单平均",AVERAGE(R48:V48),R48*F48+T48*H48+V48*J48),1))</f>
        <v>#DIV/0!</v>
      </c>
      <c r="S49" s="3454"/>
      <c r="T49" s="3454"/>
      <c r="U49" s="3454"/>
      <c r="V49" s="3454"/>
      <c r="W49" s="3454"/>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0"/>
      <c r="E61" s="30"/>
      <c r="F61" s="30"/>
      <c r="G61" s="30"/>
      <c r="H61" s="30"/>
      <c r="I61" s="30"/>
      <c r="J61" s="30"/>
      <c r="K61" s="30"/>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0"/>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0"/>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71986.14</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84" t="s">
        <v>1770</v>
      </c>
      <c r="D4" s="3396"/>
      <c r="E4" s="3397" t="s">
        <v>1771</v>
      </c>
      <c r="F4" s="3398"/>
      <c r="G4" s="3384" t="s">
        <v>1772</v>
      </c>
      <c r="H4" s="3396"/>
      <c r="I4" s="3384" t="s">
        <v>1773</v>
      </c>
      <c r="J4" s="3396"/>
      <c r="K4" s="536" t="s">
        <v>1774</v>
      </c>
      <c r="L4" s="2486"/>
      <c r="M4" s="2487"/>
      <c r="N4" s="2487"/>
      <c r="O4" s="2487"/>
      <c r="P4" s="3399" t="s">
        <v>1775</v>
      </c>
      <c r="Q4" s="3400"/>
      <c r="R4" s="3405" t="s">
        <v>1771</v>
      </c>
      <c r="S4" s="3406"/>
      <c r="T4" s="3405" t="s">
        <v>1772</v>
      </c>
      <c r="U4" s="3406"/>
      <c r="V4" s="3392" t="s">
        <v>1773</v>
      </c>
      <c r="W4" s="3392"/>
      <c r="X4" s="1264"/>
      <c r="Y4" s="3405" t="s">
        <v>1775</v>
      </c>
      <c r="Z4" s="3406"/>
      <c r="AA4" s="3393" t="s">
        <v>1771</v>
      </c>
      <c r="AB4" s="3392" t="s">
        <v>1772</v>
      </c>
      <c r="AC4" s="3393" t="s">
        <v>1773</v>
      </c>
    </row>
    <row r="5" spans="1:29" ht="15">
      <c r="A5" s="347"/>
      <c r="B5" s="348"/>
      <c r="C5" s="3413" t="s">
        <v>1673</v>
      </c>
      <c r="D5" s="3414"/>
      <c r="E5" s="3420" t="s">
        <v>1674</v>
      </c>
      <c r="F5" s="3421"/>
      <c r="G5" s="3413" t="s">
        <v>1675</v>
      </c>
      <c r="H5" s="3414"/>
      <c r="I5" s="3413" t="s">
        <v>1676</v>
      </c>
      <c r="J5" s="3414"/>
      <c r="K5" s="536"/>
      <c r="L5" s="2486"/>
      <c r="M5" s="2487"/>
      <c r="N5" s="2487"/>
      <c r="O5" s="2487"/>
      <c r="P5" s="3401"/>
      <c r="Q5" s="3402"/>
      <c r="R5" s="3407"/>
      <c r="S5" s="3408"/>
      <c r="T5" s="3407"/>
      <c r="U5" s="3408"/>
      <c r="V5" s="3392"/>
      <c r="W5" s="3392"/>
      <c r="X5" s="1264"/>
      <c r="Y5" s="3407"/>
      <c r="Z5" s="3408"/>
      <c r="AA5" s="3394"/>
      <c r="AB5" s="3392"/>
      <c r="AC5" s="3394"/>
    </row>
    <row r="6" spans="1:29" ht="15.75" thickBot="1">
      <c r="A6" s="349"/>
      <c r="B6" s="350"/>
      <c r="C6" s="3411" t="s">
        <v>1677</v>
      </c>
      <c r="D6" s="3412"/>
      <c r="E6" s="3418" t="s">
        <v>1677</v>
      </c>
      <c r="F6" s="3419"/>
      <c r="G6" s="3411" t="s">
        <v>1677</v>
      </c>
      <c r="H6" s="3412"/>
      <c r="I6" s="3411" t="s">
        <v>1677</v>
      </c>
      <c r="J6" s="3412"/>
      <c r="K6" s="536" t="s">
        <v>1678</v>
      </c>
      <c r="L6" s="2486"/>
      <c r="M6" s="2487"/>
      <c r="N6" s="2487"/>
      <c r="O6" s="2487"/>
      <c r="P6" s="3403"/>
      <c r="Q6" s="3404"/>
      <c r="R6" s="3407"/>
      <c r="S6" s="3408"/>
      <c r="T6" s="3409"/>
      <c r="U6" s="3410"/>
      <c r="V6" s="3392"/>
      <c r="W6" s="3392"/>
      <c r="X6" s="1264"/>
      <c r="Y6" s="3409"/>
      <c r="Z6" s="3410"/>
      <c r="AA6" s="3395"/>
      <c r="AB6" s="3392"/>
      <c r="AC6" s="3395"/>
    </row>
    <row r="7" spans="1:29" s="101" customFormat="1" ht="15.75" thickBot="1">
      <c r="A7" s="351" t="s">
        <v>1679</v>
      </c>
      <c r="B7" s="352"/>
      <c r="C7" s="353">
        <f>'数据-取费表'!B2</f>
        <v>45819</v>
      </c>
      <c r="D7" s="354">
        <v>100</v>
      </c>
      <c r="E7" s="355"/>
      <c r="F7" s="356">
        <f>SUMIF(58:58,YEAR(E7)&amp;"-"&amp;MONTH(E7),59:59)</f>
        <v>0</v>
      </c>
      <c r="G7" s="355"/>
      <c r="H7" s="354">
        <f>SUMIF(58:58,YEAR(G7)&amp;"-"&amp;MONTH(G7),59:59)</f>
        <v>0</v>
      </c>
      <c r="I7" s="355"/>
      <c r="J7" s="354">
        <f>SUMIF(58:58,YEAR(I7)&amp;"-"&amp;MONTH(I7),59:59)</f>
        <v>0</v>
      </c>
      <c r="K7" s="37"/>
      <c r="L7" s="2488"/>
      <c r="M7" s="2439"/>
      <c r="N7" s="2439"/>
      <c r="O7" s="2439"/>
      <c r="P7" s="3415" t="s">
        <v>1680</v>
      </c>
      <c r="Q7" s="3417"/>
      <c r="R7" s="663" t="s">
        <v>14</v>
      </c>
      <c r="S7" s="664">
        <f t="shared" ref="S7:S15" si="0">F7</f>
        <v>0</v>
      </c>
      <c r="T7" s="663" t="s">
        <v>14</v>
      </c>
      <c r="U7" s="664">
        <f t="shared" ref="U7:U15" si="1">H7</f>
        <v>0</v>
      </c>
      <c r="V7" s="663" t="s">
        <v>14</v>
      </c>
      <c r="W7" s="664">
        <f t="shared" ref="W7:W15" si="2">J7</f>
        <v>0</v>
      </c>
      <c r="X7" s="665"/>
      <c r="Y7" s="3415" t="s">
        <v>1680</v>
      </c>
      <c r="Z7" s="3416"/>
      <c r="AA7" s="49" t="e">
        <f>D7/F7</f>
        <v>#DIV/0!</v>
      </c>
      <c r="AB7" s="49" t="e">
        <f>D7/H7</f>
        <v>#DIV/0!</v>
      </c>
      <c r="AC7" s="49"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8"/>
      <c r="M8" s="2439"/>
      <c r="N8" s="2439"/>
      <c r="O8" s="2439"/>
      <c r="P8" s="3415" t="s">
        <v>1683</v>
      </c>
      <c r="Q8" s="3416"/>
      <c r="R8" s="663" t="s">
        <v>14</v>
      </c>
      <c r="S8" s="664">
        <f t="shared" si="0"/>
        <v>100</v>
      </c>
      <c r="T8" s="663" t="s">
        <v>14</v>
      </c>
      <c r="U8" s="664">
        <f t="shared" si="1"/>
        <v>100</v>
      </c>
      <c r="V8" s="663" t="s">
        <v>14</v>
      </c>
      <c r="W8" s="664">
        <f t="shared" si="2"/>
        <v>100</v>
      </c>
      <c r="X8" s="665"/>
      <c r="Y8" s="3415" t="s">
        <v>1683</v>
      </c>
      <c r="Z8" s="3416"/>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8"/>
      <c r="M9" s="2439"/>
      <c r="N9" s="2439"/>
      <c r="O9" s="2439"/>
      <c r="P9" s="3386" t="s">
        <v>1686</v>
      </c>
      <c r="Q9" s="529" t="str">
        <f t="shared" ref="Q9:Q15" si="6">B9</f>
        <v>用途</v>
      </c>
      <c r="R9" s="663" t="s">
        <v>14</v>
      </c>
      <c r="S9" s="664">
        <f t="shared" si="0"/>
        <v>100</v>
      </c>
      <c r="T9" s="663" t="s">
        <v>14</v>
      </c>
      <c r="U9" s="664">
        <f t="shared" si="1"/>
        <v>100</v>
      </c>
      <c r="V9" s="663" t="s">
        <v>14</v>
      </c>
      <c r="W9" s="664">
        <f t="shared" si="2"/>
        <v>100</v>
      </c>
      <c r="X9" s="665"/>
      <c r="Y9" s="3284" t="s">
        <v>1687</v>
      </c>
      <c r="Z9" s="49" t="str">
        <f t="shared" ref="Z9:Z15" si="7">Q9</f>
        <v>用途</v>
      </c>
      <c r="AA9" s="49">
        <f t="shared" si="3"/>
        <v>1</v>
      </c>
      <c r="AB9" s="49">
        <f t="shared" si="4"/>
        <v>1</v>
      </c>
      <c r="AC9" s="49">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7"/>
      <c r="L10" s="2489"/>
      <c r="M10" s="2490"/>
      <c r="N10" s="2490"/>
      <c r="O10" s="2490"/>
      <c r="P10" s="3386"/>
      <c r="Q10" s="529" t="str">
        <f t="shared" si="6"/>
        <v>土地使用年限（年）</v>
      </c>
      <c r="R10" s="663" t="s">
        <v>14</v>
      </c>
      <c r="S10" s="664">
        <f t="shared" si="0"/>
        <v>100</v>
      </c>
      <c r="T10" s="663" t="s">
        <v>14</v>
      </c>
      <c r="U10" s="664">
        <f t="shared" si="1"/>
        <v>100</v>
      </c>
      <c r="V10" s="663" t="s">
        <v>14</v>
      </c>
      <c r="W10" s="664">
        <f t="shared" si="2"/>
        <v>100</v>
      </c>
      <c r="X10" s="665"/>
      <c r="Y10" s="3284"/>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386"/>
      <c r="Q11" s="529" t="str">
        <f t="shared" si="6"/>
        <v>容积率</v>
      </c>
      <c r="R11" s="663" t="s">
        <v>14</v>
      </c>
      <c r="S11" s="664" t="e">
        <f t="shared" si="0"/>
        <v>#N/A</v>
      </c>
      <c r="T11" s="663" t="s">
        <v>14</v>
      </c>
      <c r="U11" s="664" t="e">
        <f t="shared" si="1"/>
        <v>#N/A</v>
      </c>
      <c r="V11" s="663" t="s">
        <v>14</v>
      </c>
      <c r="W11" s="664" t="e">
        <f t="shared" si="2"/>
        <v>#N/A</v>
      </c>
      <c r="X11" s="665"/>
      <c r="Y11" s="3284"/>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86"/>
      <c r="Q12" s="529">
        <f t="shared" si="6"/>
        <v>111</v>
      </c>
      <c r="R12" s="663" t="s">
        <v>14</v>
      </c>
      <c r="S12" s="664">
        <f t="shared" si="0"/>
        <v>100</v>
      </c>
      <c r="T12" s="663" t="s">
        <v>14</v>
      </c>
      <c r="U12" s="664">
        <f t="shared" si="1"/>
        <v>100</v>
      </c>
      <c r="V12" s="663" t="s">
        <v>14</v>
      </c>
      <c r="W12" s="664">
        <f t="shared" si="2"/>
        <v>100</v>
      </c>
      <c r="X12" s="665"/>
      <c r="Y12" s="3284"/>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86"/>
      <c r="Q13" s="529">
        <f t="shared" si="6"/>
        <v>111</v>
      </c>
      <c r="R13" s="663" t="s">
        <v>14</v>
      </c>
      <c r="S13" s="664">
        <f t="shared" si="0"/>
        <v>100</v>
      </c>
      <c r="T13" s="663" t="s">
        <v>14</v>
      </c>
      <c r="U13" s="664">
        <f t="shared" si="1"/>
        <v>100</v>
      </c>
      <c r="V13" s="663" t="s">
        <v>14</v>
      </c>
      <c r="W13" s="664">
        <f t="shared" si="2"/>
        <v>100</v>
      </c>
      <c r="X13" s="665"/>
      <c r="Y13" s="3284"/>
      <c r="Z13" s="49">
        <f t="shared" si="7"/>
        <v>111</v>
      </c>
      <c r="AA13" s="49">
        <f t="shared" si="3"/>
        <v>1</v>
      </c>
      <c r="AB13" s="49">
        <f t="shared" si="4"/>
        <v>1</v>
      </c>
      <c r="AC13" s="49">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86"/>
      <c r="Q14" s="529">
        <f t="shared" si="6"/>
        <v>111</v>
      </c>
      <c r="R14" s="663" t="s">
        <v>14</v>
      </c>
      <c r="S14" s="664">
        <f t="shared" si="0"/>
        <v>100</v>
      </c>
      <c r="T14" s="663" t="s">
        <v>14</v>
      </c>
      <c r="U14" s="664">
        <f t="shared" si="1"/>
        <v>100</v>
      </c>
      <c r="V14" s="663" t="s">
        <v>14</v>
      </c>
      <c r="W14" s="664">
        <f t="shared" si="2"/>
        <v>100</v>
      </c>
      <c r="X14" s="665"/>
      <c r="Y14" s="3284"/>
      <c r="Z14" s="49">
        <f t="shared" si="7"/>
        <v>111</v>
      </c>
      <c r="AA14" s="49">
        <f t="shared" si="3"/>
        <v>1</v>
      </c>
      <c r="AB14" s="49">
        <f t="shared" si="4"/>
        <v>1</v>
      </c>
      <c r="AC14" s="49">
        <f t="shared" si="5"/>
        <v>1</v>
      </c>
    </row>
    <row r="15" spans="1:29" ht="1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59" t="s">
        <v>1691</v>
      </c>
      <c r="Q15" s="1262" t="str">
        <f t="shared" si="6"/>
        <v>商业繁华度</v>
      </c>
      <c r="R15" s="666" t="s">
        <v>14</v>
      </c>
      <c r="S15" s="667">
        <f t="shared" si="0"/>
        <v>100</v>
      </c>
      <c r="T15" s="666" t="s">
        <v>14</v>
      </c>
      <c r="U15" s="667">
        <f t="shared" si="1"/>
        <v>100</v>
      </c>
      <c r="V15" s="666" t="s">
        <v>14</v>
      </c>
      <c r="W15" s="667">
        <f t="shared" si="2"/>
        <v>100</v>
      </c>
      <c r="X15" s="1264"/>
      <c r="Y15" s="3388"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60"/>
      <c r="Q16" s="1262"/>
      <c r="R16" s="666"/>
      <c r="S16" s="667"/>
      <c r="T16" s="666"/>
      <c r="U16" s="667"/>
      <c r="V16" s="666"/>
      <c r="W16" s="667"/>
      <c r="X16" s="1264"/>
      <c r="Y16" s="3389"/>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60"/>
      <c r="Q17" s="1262" t="str">
        <f>B17</f>
        <v>交通便捷度</v>
      </c>
      <c r="R17" s="666" t="s">
        <v>14</v>
      </c>
      <c r="S17" s="667">
        <f>F17</f>
        <v>100</v>
      </c>
      <c r="T17" s="666" t="s">
        <v>14</v>
      </c>
      <c r="U17" s="667">
        <f>H17</f>
        <v>100</v>
      </c>
      <c r="V17" s="666" t="s">
        <v>14</v>
      </c>
      <c r="W17" s="667">
        <f>J17</f>
        <v>100</v>
      </c>
      <c r="X17" s="1264"/>
      <c r="Y17" s="338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60"/>
      <c r="Q18" s="1262"/>
      <c r="R18" s="666"/>
      <c r="S18" s="667"/>
      <c r="T18" s="666"/>
      <c r="U18" s="667"/>
      <c r="V18" s="666"/>
      <c r="W18" s="667"/>
      <c r="X18" s="1264"/>
      <c r="Y18" s="3389"/>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60"/>
      <c r="Q19" s="1262" t="str">
        <f>B19</f>
        <v>公共配套设施</v>
      </c>
      <c r="R19" s="666" t="s">
        <v>14</v>
      </c>
      <c r="S19" s="667">
        <f>F19</f>
        <v>100</v>
      </c>
      <c r="T19" s="666" t="s">
        <v>14</v>
      </c>
      <c r="U19" s="667">
        <f>H19</f>
        <v>100</v>
      </c>
      <c r="V19" s="666" t="s">
        <v>14</v>
      </c>
      <c r="W19" s="667">
        <f>J19</f>
        <v>100</v>
      </c>
      <c r="X19" s="1264"/>
      <c r="Y19" s="338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60"/>
      <c r="Q20" s="1262"/>
      <c r="R20" s="666"/>
      <c r="S20" s="667"/>
      <c r="T20" s="666"/>
      <c r="U20" s="667"/>
      <c r="V20" s="666"/>
      <c r="W20" s="667"/>
      <c r="X20" s="1264"/>
      <c r="Y20" s="3389"/>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60"/>
      <c r="Q21" s="1262" t="str">
        <f>B21</f>
        <v>基础设施水平</v>
      </c>
      <c r="R21" s="666" t="s">
        <v>14</v>
      </c>
      <c r="S21" s="667">
        <f>F21</f>
        <v>100</v>
      </c>
      <c r="T21" s="666" t="s">
        <v>14</v>
      </c>
      <c r="U21" s="667">
        <f>H21</f>
        <v>100</v>
      </c>
      <c r="V21" s="666" t="s">
        <v>14</v>
      </c>
      <c r="W21" s="667">
        <f>J21</f>
        <v>100</v>
      </c>
      <c r="X21" s="1264"/>
      <c r="Y21" s="338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60"/>
      <c r="Q22" s="1262"/>
      <c r="R22" s="666"/>
      <c r="S22" s="667"/>
      <c r="T22" s="666"/>
      <c r="U22" s="667"/>
      <c r="V22" s="666"/>
      <c r="W22" s="667"/>
      <c r="X22" s="1264"/>
      <c r="Y22" s="3389"/>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60"/>
      <c r="Q23" s="1262" t="str">
        <f>B23</f>
        <v>自然及人文环境</v>
      </c>
      <c r="R23" s="666" t="s">
        <v>14</v>
      </c>
      <c r="S23" s="667">
        <f>F23</f>
        <v>100</v>
      </c>
      <c r="T23" s="666" t="s">
        <v>14</v>
      </c>
      <c r="U23" s="667">
        <f>H23</f>
        <v>100</v>
      </c>
      <c r="V23" s="666" t="s">
        <v>14</v>
      </c>
      <c r="W23" s="667">
        <f>J23</f>
        <v>100</v>
      </c>
      <c r="X23" s="1264"/>
      <c r="Y23" s="3389"/>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60"/>
      <c r="Q24" s="1262"/>
      <c r="R24" s="666"/>
      <c r="S24" s="667"/>
      <c r="T24" s="666"/>
      <c r="U24" s="667"/>
      <c r="V24" s="666"/>
      <c r="W24" s="667"/>
      <c r="X24" s="1264"/>
      <c r="Y24" s="3389"/>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60"/>
      <c r="Q25" s="1262" t="str">
        <f t="shared" ref="Q25:Q46" si="11">B25</f>
        <v>临街状况</v>
      </c>
      <c r="R25" s="666" t="s">
        <v>14</v>
      </c>
      <c r="S25" s="667">
        <f>F25</f>
        <v>100</v>
      </c>
      <c r="T25" s="666" t="s">
        <v>14</v>
      </c>
      <c r="U25" s="667">
        <f>H25</f>
        <v>100</v>
      </c>
      <c r="V25" s="666" t="s">
        <v>14</v>
      </c>
      <c r="W25" s="667">
        <f>J25</f>
        <v>100</v>
      </c>
      <c r="X25" s="1264"/>
      <c r="Y25" s="3389"/>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60"/>
      <c r="Q26" s="1262" t="str">
        <f t="shared" si="11"/>
        <v>平面位置/可视性</v>
      </c>
      <c r="R26" s="666" t="s">
        <v>14</v>
      </c>
      <c r="S26" s="667">
        <f>F26</f>
        <v>100</v>
      </c>
      <c r="T26" s="666" t="s">
        <v>14</v>
      </c>
      <c r="U26" s="667">
        <f>H26</f>
        <v>100</v>
      </c>
      <c r="V26" s="666" t="s">
        <v>14</v>
      </c>
      <c r="W26" s="667">
        <f>J26</f>
        <v>100</v>
      </c>
      <c r="X26" s="1264"/>
      <c r="Y26" s="3389"/>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60"/>
      <c r="Q27" s="529" t="str">
        <f t="shared" si="11"/>
        <v>人流量</v>
      </c>
      <c r="R27" s="663" t="s">
        <v>14</v>
      </c>
      <c r="S27" s="664">
        <f>F27</f>
        <v>100</v>
      </c>
      <c r="T27" s="663" t="s">
        <v>14</v>
      </c>
      <c r="U27" s="664">
        <f>H27</f>
        <v>100</v>
      </c>
      <c r="V27" s="663" t="s">
        <v>14</v>
      </c>
      <c r="W27" s="664">
        <f>J27</f>
        <v>100</v>
      </c>
      <c r="X27" s="665"/>
      <c r="Y27" s="3389"/>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6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9"/>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60"/>
      <c r="Q29" s="1262">
        <f t="shared" si="11"/>
        <v>111</v>
      </c>
      <c r="R29" s="666" t="s">
        <v>14</v>
      </c>
      <c r="S29" s="667">
        <f t="shared" si="12"/>
        <v>100</v>
      </c>
      <c r="T29" s="666" t="s">
        <v>14</v>
      </c>
      <c r="U29" s="667">
        <f t="shared" si="13"/>
        <v>100</v>
      </c>
      <c r="V29" s="666" t="s">
        <v>14</v>
      </c>
      <c r="W29" s="667">
        <f t="shared" si="14"/>
        <v>100</v>
      </c>
      <c r="X29" s="1264"/>
      <c r="Y29" s="338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60"/>
      <c r="Q30" s="1262">
        <f t="shared" si="11"/>
        <v>111</v>
      </c>
      <c r="R30" s="666" t="s">
        <v>14</v>
      </c>
      <c r="S30" s="667">
        <f t="shared" si="12"/>
        <v>100</v>
      </c>
      <c r="T30" s="666" t="s">
        <v>14</v>
      </c>
      <c r="U30" s="667">
        <f t="shared" si="13"/>
        <v>100</v>
      </c>
      <c r="V30" s="666" t="s">
        <v>14</v>
      </c>
      <c r="W30" s="667">
        <f t="shared" si="14"/>
        <v>100</v>
      </c>
      <c r="X30" s="1264"/>
      <c r="Y30" s="3389"/>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60"/>
      <c r="Q31" s="1262">
        <f t="shared" si="11"/>
        <v>111</v>
      </c>
      <c r="R31" s="666" t="s">
        <v>14</v>
      </c>
      <c r="S31" s="667">
        <f t="shared" si="12"/>
        <v>100</v>
      </c>
      <c r="T31" s="666" t="s">
        <v>14</v>
      </c>
      <c r="U31" s="667">
        <f t="shared" si="13"/>
        <v>100</v>
      </c>
      <c r="V31" s="666" t="s">
        <v>14</v>
      </c>
      <c r="W31" s="667">
        <f t="shared" si="14"/>
        <v>100</v>
      </c>
      <c r="X31" s="1264"/>
      <c r="Y31" s="3389"/>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55" t="s">
        <v>1696</v>
      </c>
      <c r="Q32" s="1262" t="str">
        <f t="shared" si="11"/>
        <v>商业类型</v>
      </c>
      <c r="R32" s="666" t="s">
        <v>14</v>
      </c>
      <c r="S32" s="667">
        <f t="shared" si="12"/>
        <v>100</v>
      </c>
      <c r="T32" s="666" t="s">
        <v>14</v>
      </c>
      <c r="U32" s="667">
        <f t="shared" si="13"/>
        <v>100</v>
      </c>
      <c r="V32" s="666" t="s">
        <v>14</v>
      </c>
      <c r="W32" s="667">
        <f t="shared" si="14"/>
        <v>100</v>
      </c>
      <c r="X32" s="1264"/>
      <c r="Y32" s="3391"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56"/>
      <c r="Q33" s="530" t="str">
        <f t="shared" si="11"/>
        <v>项目建筑规模</v>
      </c>
      <c r="R33" s="668" t="s">
        <v>14</v>
      </c>
      <c r="S33" s="669" t="e">
        <f t="shared" si="12"/>
        <v>#N/A</v>
      </c>
      <c r="T33" s="668" t="s">
        <v>14</v>
      </c>
      <c r="U33" s="669" t="e">
        <f t="shared" si="13"/>
        <v>#N/A</v>
      </c>
      <c r="V33" s="668" t="s">
        <v>14</v>
      </c>
      <c r="W33" s="669" t="e">
        <f t="shared" si="14"/>
        <v>#N/A</v>
      </c>
      <c r="X33" s="670"/>
      <c r="Y33" s="3391"/>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56"/>
      <c r="Q34" s="1262" t="str">
        <f t="shared" si="11"/>
        <v>建筑结构</v>
      </c>
      <c r="R34" s="666" t="s">
        <v>14</v>
      </c>
      <c r="S34" s="667">
        <f t="shared" si="12"/>
        <v>100</v>
      </c>
      <c r="T34" s="666" t="s">
        <v>14</v>
      </c>
      <c r="U34" s="667">
        <f t="shared" si="13"/>
        <v>100</v>
      </c>
      <c r="V34" s="666" t="s">
        <v>14</v>
      </c>
      <c r="W34" s="667">
        <f t="shared" si="14"/>
        <v>100</v>
      </c>
      <c r="X34" s="1264"/>
      <c r="Y34" s="3391"/>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56"/>
      <c r="Q35" s="1262" t="str">
        <f t="shared" si="11"/>
        <v>公共部分装修</v>
      </c>
      <c r="R35" s="666" t="s">
        <v>14</v>
      </c>
      <c r="S35" s="667">
        <f t="shared" si="12"/>
        <v>100</v>
      </c>
      <c r="T35" s="666" t="s">
        <v>14</v>
      </c>
      <c r="U35" s="667">
        <f t="shared" si="13"/>
        <v>100</v>
      </c>
      <c r="V35" s="666" t="s">
        <v>14</v>
      </c>
      <c r="W35" s="667">
        <f t="shared" si="14"/>
        <v>100</v>
      </c>
      <c r="X35" s="1264"/>
      <c r="Y35" s="3391"/>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56"/>
      <c r="Q36" s="1262" t="str">
        <f t="shared" si="11"/>
        <v>成新度</v>
      </c>
      <c r="R36" s="666" t="s">
        <v>14</v>
      </c>
      <c r="S36" s="667" t="e">
        <f t="shared" si="12"/>
        <v>#N/A</v>
      </c>
      <c r="T36" s="666" t="s">
        <v>14</v>
      </c>
      <c r="U36" s="667" t="e">
        <f t="shared" si="13"/>
        <v>#N/A</v>
      </c>
      <c r="V36" s="666" t="s">
        <v>14</v>
      </c>
      <c r="W36" s="667" t="e">
        <f t="shared" si="14"/>
        <v>#N/A</v>
      </c>
      <c r="X36" s="1264"/>
      <c r="Y36" s="3391"/>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56"/>
      <c r="Q37" s="529" t="str">
        <f t="shared" si="11"/>
        <v>市政基础设施</v>
      </c>
      <c r="R37" s="663" t="s">
        <v>14</v>
      </c>
      <c r="S37" s="664">
        <f t="shared" si="12"/>
        <v>100</v>
      </c>
      <c r="T37" s="663" t="s">
        <v>14</v>
      </c>
      <c r="U37" s="664">
        <f t="shared" si="13"/>
        <v>100</v>
      </c>
      <c r="V37" s="663" t="s">
        <v>14</v>
      </c>
      <c r="W37" s="664">
        <f t="shared" si="14"/>
        <v>100</v>
      </c>
      <c r="X37" s="665"/>
      <c r="Y37" s="3391"/>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56" t="s">
        <v>1696</v>
      </c>
      <c r="Q38" s="1262" t="str">
        <f t="shared" si="11"/>
        <v>业态</v>
      </c>
      <c r="R38" s="666" t="s">
        <v>14</v>
      </c>
      <c r="S38" s="667">
        <f t="shared" si="12"/>
        <v>100</v>
      </c>
      <c r="T38" s="666" t="s">
        <v>14</v>
      </c>
      <c r="U38" s="667">
        <f t="shared" si="13"/>
        <v>100</v>
      </c>
      <c r="V38" s="666" t="s">
        <v>14</v>
      </c>
      <c r="W38" s="667">
        <f t="shared" si="14"/>
        <v>100</v>
      </c>
      <c r="X38" s="1264"/>
      <c r="Y38" s="3391"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56"/>
      <c r="Q39" s="1262" t="str">
        <f t="shared" si="11"/>
        <v>层高</v>
      </c>
      <c r="R39" s="666" t="s">
        <v>14</v>
      </c>
      <c r="S39" s="667">
        <f t="shared" si="12"/>
        <v>100</v>
      </c>
      <c r="T39" s="666" t="s">
        <v>14</v>
      </c>
      <c r="U39" s="667">
        <f t="shared" si="13"/>
        <v>100</v>
      </c>
      <c r="V39" s="666" t="s">
        <v>14</v>
      </c>
      <c r="W39" s="667">
        <f t="shared" si="14"/>
        <v>100</v>
      </c>
      <c r="X39" s="1264"/>
      <c r="Y39" s="3391"/>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56"/>
      <c r="Q40" s="1262" t="str">
        <f t="shared" si="11"/>
        <v>单套建筑面积</v>
      </c>
      <c r="R40" s="666" t="s">
        <v>14</v>
      </c>
      <c r="S40" s="667">
        <f t="shared" si="12"/>
        <v>100</v>
      </c>
      <c r="T40" s="666" t="s">
        <v>14</v>
      </c>
      <c r="U40" s="667">
        <f t="shared" si="13"/>
        <v>100</v>
      </c>
      <c r="V40" s="666" t="s">
        <v>14</v>
      </c>
      <c r="W40" s="667">
        <f t="shared" si="14"/>
        <v>100</v>
      </c>
      <c r="X40" s="1264"/>
      <c r="Y40" s="3391"/>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56"/>
      <c r="Q41" s="530" t="str">
        <f t="shared" si="11"/>
        <v>进深比</v>
      </c>
      <c r="R41" s="668" t="s">
        <v>14</v>
      </c>
      <c r="S41" s="669">
        <f t="shared" si="12"/>
        <v>100</v>
      </c>
      <c r="T41" s="668" t="s">
        <v>14</v>
      </c>
      <c r="U41" s="669">
        <f t="shared" si="13"/>
        <v>100</v>
      </c>
      <c r="V41" s="668" t="s">
        <v>14</v>
      </c>
      <c r="W41" s="669">
        <f t="shared" si="14"/>
        <v>100</v>
      </c>
      <c r="X41" s="670"/>
      <c r="Y41" s="3391"/>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56"/>
      <c r="Q42" s="1262" t="str">
        <f t="shared" si="11"/>
        <v>内部装修</v>
      </c>
      <c r="R42" s="666" t="s">
        <v>14</v>
      </c>
      <c r="S42" s="667">
        <f t="shared" si="12"/>
        <v>100</v>
      </c>
      <c r="T42" s="666" t="s">
        <v>14</v>
      </c>
      <c r="U42" s="667">
        <f t="shared" si="13"/>
        <v>100</v>
      </c>
      <c r="V42" s="666" t="s">
        <v>14</v>
      </c>
      <c r="W42" s="667">
        <f t="shared" si="14"/>
        <v>100</v>
      </c>
      <c r="X42" s="1264"/>
      <c r="Y42" s="3391"/>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56"/>
      <c r="Q43" s="1262" t="str">
        <f t="shared" si="11"/>
        <v>内部装修维护情况</v>
      </c>
      <c r="R43" s="666" t="s">
        <v>14</v>
      </c>
      <c r="S43" s="667">
        <f t="shared" si="12"/>
        <v>100</v>
      </c>
      <c r="T43" s="666" t="s">
        <v>14</v>
      </c>
      <c r="U43" s="667">
        <f t="shared" si="13"/>
        <v>100</v>
      </c>
      <c r="V43" s="666" t="s">
        <v>14</v>
      </c>
      <c r="W43" s="667">
        <f t="shared" si="14"/>
        <v>100</v>
      </c>
      <c r="X43" s="1264"/>
      <c r="Y43" s="3391"/>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56"/>
      <c r="Q44" s="529">
        <f t="shared" si="11"/>
        <v>111</v>
      </c>
      <c r="R44" s="663" t="s">
        <v>14</v>
      </c>
      <c r="S44" s="664">
        <f t="shared" si="12"/>
        <v>100</v>
      </c>
      <c r="T44" s="663" t="s">
        <v>14</v>
      </c>
      <c r="U44" s="664">
        <f t="shared" si="13"/>
        <v>100</v>
      </c>
      <c r="V44" s="663" t="s">
        <v>14</v>
      </c>
      <c r="W44" s="664">
        <f t="shared" si="14"/>
        <v>100</v>
      </c>
      <c r="X44" s="665"/>
      <c r="Y44" s="3391"/>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56"/>
      <c r="Q45" s="1262">
        <f t="shared" si="11"/>
        <v>111</v>
      </c>
      <c r="R45" s="666" t="s">
        <v>14</v>
      </c>
      <c r="S45" s="667">
        <f t="shared" si="12"/>
        <v>100</v>
      </c>
      <c r="T45" s="666" t="s">
        <v>14</v>
      </c>
      <c r="U45" s="667">
        <f t="shared" si="13"/>
        <v>100</v>
      </c>
      <c r="V45" s="666" t="s">
        <v>14</v>
      </c>
      <c r="W45" s="667">
        <f t="shared" si="14"/>
        <v>100</v>
      </c>
      <c r="X45" s="1264"/>
      <c r="Y45" s="3391"/>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57"/>
      <c r="Q46" s="1262">
        <f t="shared" si="11"/>
        <v>111</v>
      </c>
      <c r="R46" s="666" t="s">
        <v>14</v>
      </c>
      <c r="S46" s="667">
        <f t="shared" si="12"/>
        <v>100</v>
      </c>
      <c r="T46" s="666" t="s">
        <v>14</v>
      </c>
      <c r="U46" s="667">
        <f t="shared" si="13"/>
        <v>100</v>
      </c>
      <c r="V46" s="666" t="s">
        <v>14</v>
      </c>
      <c r="W46" s="667">
        <f t="shared" si="14"/>
        <v>100</v>
      </c>
      <c r="X46" s="1264"/>
      <c r="Y46" s="3458"/>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4"/>
      <c r="M47" s="2487"/>
      <c r="N47" s="2487"/>
      <c r="O47" s="2487"/>
      <c r="P47" s="3387" t="str">
        <f>A47</f>
        <v>成交单价（元/平方米）</v>
      </c>
      <c r="Q47" s="3387"/>
      <c r="R47" s="3392">
        <f>E47</f>
        <v>0</v>
      </c>
      <c r="S47" s="3392"/>
      <c r="T47" s="3392">
        <f>G47</f>
        <v>0</v>
      </c>
      <c r="U47" s="3392"/>
      <c r="V47" s="3392">
        <f>I47</f>
        <v>0</v>
      </c>
      <c r="W47" s="3392"/>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387" t="str">
        <f>A48</f>
        <v>比较价值（元/平方米）</v>
      </c>
      <c r="Q48" s="3387"/>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4"/>
      <c r="M49" s="2487"/>
      <c r="N49" s="2487"/>
      <c r="O49" s="2487"/>
      <c r="P49" s="3381" t="str">
        <f>A49</f>
        <v>估价对象XX用房的比较价值（楼面单价，元/平方米）</v>
      </c>
      <c r="Q49" s="3382"/>
      <c r="R49" s="3454" t="e">
        <f>IF(F1="售价",ROUND(IF(D48="简单平均",AVERAGE(R48:V48),R48*F48+T48*H48+V48*J48),0),ROUND(IF(D48="简单平均",AVERAGE(R48:V48),R48*F48+T48*H48+V48*J48),1))</f>
        <v>#DIV/0!</v>
      </c>
      <c r="S49" s="3454"/>
      <c r="T49" s="3454"/>
      <c r="U49" s="3454"/>
      <c r="V49" s="3454"/>
      <c r="W49" s="3454"/>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1776</v>
      </c>
      <c r="D61" s="30"/>
      <c r="E61" s="30"/>
      <c r="F61" s="30"/>
      <c r="G61" s="30"/>
      <c r="H61" s="30"/>
      <c r="I61" s="30"/>
      <c r="J61" s="30"/>
      <c r="K61" s="30"/>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0"/>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0"/>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71986.14</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84" t="s">
        <v>1770</v>
      </c>
      <c r="D4" s="3396"/>
      <c r="E4" s="3397" t="s">
        <v>1771</v>
      </c>
      <c r="F4" s="3398"/>
      <c r="G4" s="3384" t="s">
        <v>1772</v>
      </c>
      <c r="H4" s="3396"/>
      <c r="I4" s="3384" t="s">
        <v>1773</v>
      </c>
      <c r="J4" s="3396"/>
      <c r="K4" s="536" t="s">
        <v>1774</v>
      </c>
      <c r="L4" s="2486"/>
      <c r="M4" s="2487"/>
      <c r="N4" s="2487"/>
      <c r="O4" s="2487"/>
      <c r="P4" s="3467" t="s">
        <v>1775</v>
      </c>
      <c r="Q4" s="3468"/>
      <c r="R4" s="3471" t="s">
        <v>1771</v>
      </c>
      <c r="S4" s="3472"/>
      <c r="T4" s="3471" t="s">
        <v>1772</v>
      </c>
      <c r="U4" s="3472"/>
      <c r="V4" s="3473" t="s">
        <v>1773</v>
      </c>
      <c r="W4" s="3473"/>
      <c r="X4" s="1808"/>
      <c r="Y4" s="3471" t="s">
        <v>1775</v>
      </c>
      <c r="Z4" s="3472"/>
      <c r="AA4" s="3475" t="s">
        <v>1771</v>
      </c>
      <c r="AB4" s="3475" t="s">
        <v>1772</v>
      </c>
      <c r="AC4" s="3464" t="s">
        <v>1773</v>
      </c>
    </row>
    <row r="5" spans="1:29" ht="15">
      <c r="A5" s="347"/>
      <c r="B5" s="348"/>
      <c r="C5" s="3413" t="s">
        <v>1673</v>
      </c>
      <c r="D5" s="3414"/>
      <c r="E5" s="3420" t="s">
        <v>1674</v>
      </c>
      <c r="F5" s="3421"/>
      <c r="G5" s="3413" t="s">
        <v>1675</v>
      </c>
      <c r="H5" s="3414"/>
      <c r="I5" s="3413" t="s">
        <v>1676</v>
      </c>
      <c r="J5" s="3414"/>
      <c r="K5" s="536"/>
      <c r="L5" s="2486"/>
      <c r="M5" s="2487"/>
      <c r="N5" s="2487"/>
      <c r="O5" s="2487"/>
      <c r="P5" s="3469"/>
      <c r="Q5" s="3402"/>
      <c r="R5" s="3407"/>
      <c r="S5" s="3408"/>
      <c r="T5" s="3407"/>
      <c r="U5" s="3408"/>
      <c r="V5" s="3392"/>
      <c r="W5" s="3392"/>
      <c r="X5" s="1264"/>
      <c r="Y5" s="3407"/>
      <c r="Z5" s="3408"/>
      <c r="AA5" s="3394"/>
      <c r="AB5" s="3394"/>
      <c r="AC5" s="3465"/>
    </row>
    <row r="6" spans="1:29" ht="15.75" thickBot="1">
      <c r="A6" s="349"/>
      <c r="B6" s="350"/>
      <c r="C6" s="3411" t="s">
        <v>1677</v>
      </c>
      <c r="D6" s="3412"/>
      <c r="E6" s="3418" t="s">
        <v>1677</v>
      </c>
      <c r="F6" s="3419"/>
      <c r="G6" s="3411" t="s">
        <v>1677</v>
      </c>
      <c r="H6" s="3412"/>
      <c r="I6" s="3411" t="s">
        <v>1677</v>
      </c>
      <c r="J6" s="3412"/>
      <c r="K6" s="536" t="s">
        <v>1678</v>
      </c>
      <c r="L6" s="2486"/>
      <c r="M6" s="2487"/>
      <c r="N6" s="2487"/>
      <c r="O6" s="2487"/>
      <c r="P6" s="3470"/>
      <c r="Q6" s="3404"/>
      <c r="R6" s="3407"/>
      <c r="S6" s="3408"/>
      <c r="T6" s="3409"/>
      <c r="U6" s="3410"/>
      <c r="V6" s="3392"/>
      <c r="W6" s="3392"/>
      <c r="X6" s="1264"/>
      <c r="Y6" s="3409"/>
      <c r="Z6" s="3410"/>
      <c r="AA6" s="3395"/>
      <c r="AB6" s="3395"/>
      <c r="AC6" s="3466"/>
    </row>
    <row r="7" spans="1:29" s="101" customFormat="1" ht="15.75" thickBot="1">
      <c r="A7" s="351" t="s">
        <v>1679</v>
      </c>
      <c r="B7" s="352"/>
      <c r="C7" s="353">
        <f>'数据-取费表'!B2</f>
        <v>45819</v>
      </c>
      <c r="D7" s="354">
        <v>100</v>
      </c>
      <c r="E7" s="355"/>
      <c r="F7" s="356">
        <f>SUMIF(59:59,YEAR(E7)&amp;"-"&amp;MONTH(E7),60:60)</f>
        <v>0</v>
      </c>
      <c r="G7" s="355"/>
      <c r="H7" s="354">
        <f>SUMIF(59:59,YEAR(G7)&amp;"-"&amp;MONTH(G7),60:60)</f>
        <v>0</v>
      </c>
      <c r="I7" s="355"/>
      <c r="J7" s="354">
        <f>SUMIF(59:59,YEAR(I7)&amp;"-"&amp;MONTH(I7),60:60)</f>
        <v>0</v>
      </c>
      <c r="K7" s="37"/>
      <c r="L7" s="2488"/>
      <c r="M7" s="2439"/>
      <c r="N7" s="2439"/>
      <c r="O7" s="2439"/>
      <c r="P7" s="3474" t="s">
        <v>1680</v>
      </c>
      <c r="Q7" s="3417"/>
      <c r="R7" s="663" t="s">
        <v>14</v>
      </c>
      <c r="S7" s="664">
        <f t="shared" ref="S7:S15" si="0">F7</f>
        <v>0</v>
      </c>
      <c r="T7" s="663" t="s">
        <v>14</v>
      </c>
      <c r="U7" s="664">
        <f t="shared" ref="U7:U15" si="1">H7</f>
        <v>0</v>
      </c>
      <c r="V7" s="663" t="s">
        <v>14</v>
      </c>
      <c r="W7" s="664">
        <f t="shared" ref="W7:W15" si="2">J7</f>
        <v>0</v>
      </c>
      <c r="X7" s="665"/>
      <c r="Y7" s="3415" t="s">
        <v>1680</v>
      </c>
      <c r="Z7" s="3416"/>
      <c r="AA7" s="49" t="e">
        <f>D7/F7</f>
        <v>#DIV/0!</v>
      </c>
      <c r="AB7" s="49"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7"/>
      <c r="L8" s="2488"/>
      <c r="M8" s="2439"/>
      <c r="N8" s="2439"/>
      <c r="O8" s="2439"/>
      <c r="P8" s="3474" t="s">
        <v>1683</v>
      </c>
      <c r="Q8" s="3416"/>
      <c r="R8" s="663" t="s">
        <v>14</v>
      </c>
      <c r="S8" s="664">
        <f t="shared" si="0"/>
        <v>100</v>
      </c>
      <c r="T8" s="663" t="s">
        <v>14</v>
      </c>
      <c r="U8" s="664">
        <f t="shared" si="1"/>
        <v>100</v>
      </c>
      <c r="V8" s="663" t="s">
        <v>14</v>
      </c>
      <c r="W8" s="664">
        <f t="shared" si="2"/>
        <v>100</v>
      </c>
      <c r="X8" s="665"/>
      <c r="Y8" s="3415" t="s">
        <v>1683</v>
      </c>
      <c r="Z8" s="3416"/>
      <c r="AA8" s="49">
        <f t="shared" ref="AA8:AA47" si="3">D8/F8</f>
        <v>1</v>
      </c>
      <c r="AB8" s="49">
        <f t="shared" ref="AB8:AB47" si="4">D8/H8</f>
        <v>1</v>
      </c>
      <c r="AC8" s="801">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7"/>
      <c r="L9" s="2488"/>
      <c r="M9" s="2439"/>
      <c r="N9" s="2439"/>
      <c r="O9" s="2439"/>
      <c r="P9" s="3386" t="s">
        <v>1686</v>
      </c>
      <c r="Q9" s="529" t="str">
        <f t="shared" ref="Q9:Q15" si="6">B9</f>
        <v>用途</v>
      </c>
      <c r="R9" s="663" t="s">
        <v>14</v>
      </c>
      <c r="S9" s="664">
        <f t="shared" si="0"/>
        <v>100</v>
      </c>
      <c r="T9" s="663" t="s">
        <v>14</v>
      </c>
      <c r="U9" s="664">
        <f t="shared" si="1"/>
        <v>100</v>
      </c>
      <c r="V9" s="663" t="s">
        <v>14</v>
      </c>
      <c r="W9" s="664">
        <f t="shared" si="2"/>
        <v>100</v>
      </c>
      <c r="X9" s="665"/>
      <c r="Y9" s="3284" t="s">
        <v>1687</v>
      </c>
      <c r="Z9" s="49" t="str">
        <f t="shared" ref="Z9:Z15" si="7">Q9</f>
        <v>用途</v>
      </c>
      <c r="AA9" s="49">
        <f t="shared" si="3"/>
        <v>1</v>
      </c>
      <c r="AB9" s="49">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7"/>
      <c r="L10" s="2489"/>
      <c r="M10" s="2490"/>
      <c r="N10" s="2490"/>
      <c r="O10" s="2490"/>
      <c r="P10" s="3386"/>
      <c r="Q10" s="529" t="str">
        <f t="shared" si="6"/>
        <v>土地使用年限（年）</v>
      </c>
      <c r="R10" s="663" t="s">
        <v>14</v>
      </c>
      <c r="S10" s="664">
        <f t="shared" si="0"/>
        <v>100</v>
      </c>
      <c r="T10" s="663" t="s">
        <v>14</v>
      </c>
      <c r="U10" s="664">
        <f t="shared" si="1"/>
        <v>100</v>
      </c>
      <c r="V10" s="663" t="s">
        <v>14</v>
      </c>
      <c r="W10" s="664">
        <f t="shared" si="2"/>
        <v>100</v>
      </c>
      <c r="X10" s="665"/>
      <c r="Y10" s="3284"/>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86"/>
      <c r="Q11" s="529" t="str">
        <f t="shared" si="6"/>
        <v>容积率</v>
      </c>
      <c r="R11" s="663" t="s">
        <v>14</v>
      </c>
      <c r="S11" s="664">
        <f t="shared" si="0"/>
        <v>100</v>
      </c>
      <c r="T11" s="663" t="s">
        <v>14</v>
      </c>
      <c r="U11" s="664">
        <f t="shared" si="1"/>
        <v>100</v>
      </c>
      <c r="V11" s="663" t="s">
        <v>14</v>
      </c>
      <c r="W11" s="664">
        <f t="shared" si="2"/>
        <v>100</v>
      </c>
      <c r="X11" s="665"/>
      <c r="Y11" s="3284"/>
      <c r="Z11" s="49" t="str">
        <f t="shared" si="7"/>
        <v>容积率</v>
      </c>
      <c r="AA11" s="49">
        <f t="shared" si="3"/>
        <v>1</v>
      </c>
      <c r="AB11" s="49">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86"/>
      <c r="Q12" s="529">
        <f t="shared" si="6"/>
        <v>111</v>
      </c>
      <c r="R12" s="663" t="s">
        <v>14</v>
      </c>
      <c r="S12" s="664">
        <f t="shared" si="0"/>
        <v>100</v>
      </c>
      <c r="T12" s="663" t="s">
        <v>14</v>
      </c>
      <c r="U12" s="664">
        <f t="shared" si="1"/>
        <v>100</v>
      </c>
      <c r="V12" s="663" t="s">
        <v>14</v>
      </c>
      <c r="W12" s="664">
        <f t="shared" si="2"/>
        <v>100</v>
      </c>
      <c r="X12" s="665"/>
      <c r="Y12" s="3284"/>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86"/>
      <c r="Q13" s="529">
        <f t="shared" si="6"/>
        <v>111</v>
      </c>
      <c r="R13" s="663" t="s">
        <v>14</v>
      </c>
      <c r="S13" s="664">
        <f t="shared" si="0"/>
        <v>100</v>
      </c>
      <c r="T13" s="663" t="s">
        <v>14</v>
      </c>
      <c r="U13" s="664">
        <f t="shared" si="1"/>
        <v>100</v>
      </c>
      <c r="V13" s="663" t="s">
        <v>14</v>
      </c>
      <c r="W13" s="664">
        <f t="shared" si="2"/>
        <v>100</v>
      </c>
      <c r="X13" s="665"/>
      <c r="Y13" s="3284"/>
      <c r="Z13" s="49">
        <f t="shared" si="7"/>
        <v>111</v>
      </c>
      <c r="AA13" s="49">
        <f t="shared" si="3"/>
        <v>1</v>
      </c>
      <c r="AB13" s="49">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86"/>
      <c r="Q14" s="529">
        <f t="shared" si="6"/>
        <v>111</v>
      </c>
      <c r="R14" s="663" t="s">
        <v>14</v>
      </c>
      <c r="S14" s="664">
        <f t="shared" si="0"/>
        <v>100</v>
      </c>
      <c r="T14" s="663" t="s">
        <v>14</v>
      </c>
      <c r="U14" s="664">
        <f t="shared" si="1"/>
        <v>100</v>
      </c>
      <c r="V14" s="663" t="s">
        <v>14</v>
      </c>
      <c r="W14" s="664">
        <f t="shared" si="2"/>
        <v>100</v>
      </c>
      <c r="X14" s="665"/>
      <c r="Y14" s="3284"/>
      <c r="Z14" s="49">
        <f t="shared" si="7"/>
        <v>111</v>
      </c>
      <c r="AA14" s="49">
        <f t="shared" si="3"/>
        <v>1</v>
      </c>
      <c r="AB14" s="49">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459" t="s">
        <v>1691</v>
      </c>
      <c r="Q15" s="1262" t="str">
        <f t="shared" si="6"/>
        <v>办公集聚程度</v>
      </c>
      <c r="R15" s="666" t="s">
        <v>14</v>
      </c>
      <c r="S15" s="667">
        <f t="shared" si="0"/>
        <v>100</v>
      </c>
      <c r="T15" s="666" t="s">
        <v>14</v>
      </c>
      <c r="U15" s="667">
        <f t="shared" si="1"/>
        <v>100</v>
      </c>
      <c r="V15" s="666" t="s">
        <v>14</v>
      </c>
      <c r="W15" s="667">
        <f t="shared" si="2"/>
        <v>100</v>
      </c>
      <c r="X15" s="1264"/>
      <c r="Y15" s="3388"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60"/>
      <c r="Q16" s="1262"/>
      <c r="R16" s="666"/>
      <c r="S16" s="667"/>
      <c r="T16" s="666"/>
      <c r="U16" s="667"/>
      <c r="V16" s="666"/>
      <c r="W16" s="667"/>
      <c r="X16" s="1264"/>
      <c r="Y16" s="3389"/>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60"/>
      <c r="Q17" s="1262" t="str">
        <f>B17</f>
        <v>交通便捷度</v>
      </c>
      <c r="R17" s="666" t="s">
        <v>14</v>
      </c>
      <c r="S17" s="667">
        <f>F17</f>
        <v>100</v>
      </c>
      <c r="T17" s="666" t="s">
        <v>14</v>
      </c>
      <c r="U17" s="667">
        <f>H17</f>
        <v>100</v>
      </c>
      <c r="V17" s="666" t="s">
        <v>14</v>
      </c>
      <c r="W17" s="667">
        <f>J17</f>
        <v>100</v>
      </c>
      <c r="X17" s="1264"/>
      <c r="Y17" s="3389"/>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60"/>
      <c r="Q18" s="1262"/>
      <c r="R18" s="666"/>
      <c r="S18" s="667"/>
      <c r="T18" s="666"/>
      <c r="U18" s="667"/>
      <c r="V18" s="666"/>
      <c r="W18" s="667"/>
      <c r="X18" s="1264"/>
      <c r="Y18" s="3389"/>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60"/>
      <c r="Q19" s="1262" t="str">
        <f>B19</f>
        <v>公共配套设施</v>
      </c>
      <c r="R19" s="666" t="s">
        <v>14</v>
      </c>
      <c r="S19" s="667">
        <f>F19</f>
        <v>100</v>
      </c>
      <c r="T19" s="666" t="s">
        <v>14</v>
      </c>
      <c r="U19" s="667">
        <f>H19</f>
        <v>100</v>
      </c>
      <c r="V19" s="666" t="s">
        <v>14</v>
      </c>
      <c r="W19" s="667">
        <f>J19</f>
        <v>100</v>
      </c>
      <c r="X19" s="1264"/>
      <c r="Y19" s="3389"/>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60"/>
      <c r="Q20" s="1262"/>
      <c r="R20" s="666"/>
      <c r="S20" s="667"/>
      <c r="T20" s="666"/>
      <c r="U20" s="667"/>
      <c r="V20" s="666"/>
      <c r="W20" s="667"/>
      <c r="X20" s="1264"/>
      <c r="Y20" s="3389"/>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60"/>
      <c r="Q21" s="1262" t="str">
        <f>B21</f>
        <v>基础设施水平</v>
      </c>
      <c r="R21" s="666" t="s">
        <v>14</v>
      </c>
      <c r="S21" s="667">
        <f>F21</f>
        <v>100</v>
      </c>
      <c r="T21" s="666" t="s">
        <v>14</v>
      </c>
      <c r="U21" s="667">
        <f>H21</f>
        <v>100</v>
      </c>
      <c r="V21" s="666" t="s">
        <v>14</v>
      </c>
      <c r="W21" s="667">
        <f>J21</f>
        <v>100</v>
      </c>
      <c r="X21" s="1264"/>
      <c r="Y21" s="3389"/>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60"/>
      <c r="Q22" s="1262"/>
      <c r="R22" s="666"/>
      <c r="S22" s="667"/>
      <c r="T22" s="666"/>
      <c r="U22" s="667"/>
      <c r="V22" s="666"/>
      <c r="W22" s="667"/>
      <c r="X22" s="1264"/>
      <c r="Y22" s="3389"/>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60"/>
      <c r="Q23" s="1262" t="str">
        <f>B23</f>
        <v>环境质量</v>
      </c>
      <c r="R23" s="666" t="s">
        <v>14</v>
      </c>
      <c r="S23" s="667">
        <f>F23</f>
        <v>100</v>
      </c>
      <c r="T23" s="666" t="s">
        <v>14</v>
      </c>
      <c r="U23" s="667">
        <f>H23</f>
        <v>100</v>
      </c>
      <c r="V23" s="666" t="s">
        <v>14</v>
      </c>
      <c r="W23" s="667">
        <f>J23</f>
        <v>100</v>
      </c>
      <c r="X23" s="1264"/>
      <c r="Y23" s="3389"/>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60"/>
      <c r="Q24" s="1262"/>
      <c r="R24" s="666"/>
      <c r="S24" s="667"/>
      <c r="T24" s="666"/>
      <c r="U24" s="667"/>
      <c r="V24" s="666"/>
      <c r="W24" s="667"/>
      <c r="X24" s="1264"/>
      <c r="Y24" s="3389"/>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60"/>
      <c r="Q25" s="1262" t="str">
        <f>B25</f>
        <v>毗邻道路的类型与等级</v>
      </c>
      <c r="R25" s="666" t="s">
        <v>14</v>
      </c>
      <c r="S25" s="667">
        <f>F25</f>
        <v>100</v>
      </c>
      <c r="T25" s="666" t="s">
        <v>14</v>
      </c>
      <c r="U25" s="667">
        <f>H25</f>
        <v>100</v>
      </c>
      <c r="V25" s="666" t="s">
        <v>14</v>
      </c>
      <c r="W25" s="667">
        <f>J25</f>
        <v>100</v>
      </c>
      <c r="X25" s="1264"/>
      <c r="Y25" s="338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60"/>
      <c r="Q26" s="1262"/>
      <c r="R26" s="666"/>
      <c r="S26" s="667"/>
      <c r="T26" s="666"/>
      <c r="U26" s="667"/>
      <c r="V26" s="666"/>
      <c r="W26" s="667"/>
      <c r="X26" s="1264"/>
      <c r="Y26" s="3389"/>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60"/>
      <c r="Q27" s="1262" t="str">
        <f t="shared" ref="Q27:Q47" si="11">B27</f>
        <v>楼层</v>
      </c>
      <c r="R27" s="666" t="s">
        <v>14</v>
      </c>
      <c r="S27" s="667">
        <f>F27</f>
        <v>100</v>
      </c>
      <c r="T27" s="666" t="s">
        <v>14</v>
      </c>
      <c r="U27" s="667">
        <f>H27</f>
        <v>100</v>
      </c>
      <c r="V27" s="666" t="s">
        <v>14</v>
      </c>
      <c r="W27" s="667">
        <f>J27</f>
        <v>100</v>
      </c>
      <c r="X27" s="1264"/>
      <c r="Y27" s="3389"/>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60"/>
      <c r="Q28" s="529" t="str">
        <f t="shared" si="11"/>
        <v>朝向</v>
      </c>
      <c r="R28" s="663" t="s">
        <v>14</v>
      </c>
      <c r="S28" s="664">
        <f>F28</f>
        <v>100</v>
      </c>
      <c r="T28" s="663" t="s">
        <v>14</v>
      </c>
      <c r="U28" s="664">
        <f>H28</f>
        <v>100</v>
      </c>
      <c r="V28" s="663" t="s">
        <v>14</v>
      </c>
      <c r="W28" s="664">
        <f>J28</f>
        <v>100</v>
      </c>
      <c r="X28" s="665"/>
      <c r="Y28" s="3389"/>
      <c r="Z28" s="49"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60"/>
      <c r="Q29" s="1262">
        <f t="shared" si="11"/>
        <v>111</v>
      </c>
      <c r="R29" s="666" t="s">
        <v>14</v>
      </c>
      <c r="S29" s="667">
        <f t="shared" ref="S29:S47" si="12">F29</f>
        <v>100</v>
      </c>
      <c r="T29" s="666" t="s">
        <v>14</v>
      </c>
      <c r="U29" s="667">
        <f t="shared" ref="U29:U47" si="13">H29</f>
        <v>100</v>
      </c>
      <c r="V29" s="666" t="s">
        <v>14</v>
      </c>
      <c r="W29" s="667">
        <f t="shared" ref="W29:W47" si="14">J29</f>
        <v>100</v>
      </c>
      <c r="X29" s="1264"/>
      <c r="Y29" s="338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60"/>
      <c r="Q30" s="1262">
        <f t="shared" si="11"/>
        <v>111</v>
      </c>
      <c r="R30" s="666" t="s">
        <v>14</v>
      </c>
      <c r="S30" s="667">
        <f t="shared" si="12"/>
        <v>100</v>
      </c>
      <c r="T30" s="666" t="s">
        <v>14</v>
      </c>
      <c r="U30" s="667">
        <f t="shared" si="13"/>
        <v>100</v>
      </c>
      <c r="V30" s="666" t="s">
        <v>14</v>
      </c>
      <c r="W30" s="667">
        <f t="shared" si="14"/>
        <v>100</v>
      </c>
      <c r="X30" s="1264"/>
      <c r="Y30" s="338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60"/>
      <c r="Q31" s="1262">
        <f t="shared" si="11"/>
        <v>111</v>
      </c>
      <c r="R31" s="666" t="s">
        <v>14</v>
      </c>
      <c r="S31" s="667">
        <f t="shared" si="12"/>
        <v>100</v>
      </c>
      <c r="T31" s="666" t="s">
        <v>14</v>
      </c>
      <c r="U31" s="667">
        <f t="shared" si="13"/>
        <v>100</v>
      </c>
      <c r="V31" s="666" t="s">
        <v>14</v>
      </c>
      <c r="W31" s="667">
        <f t="shared" si="14"/>
        <v>100</v>
      </c>
      <c r="X31" s="1264"/>
      <c r="Y31" s="3389"/>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60"/>
      <c r="Q32" s="1262">
        <f t="shared" si="11"/>
        <v>111</v>
      </c>
      <c r="R32" s="666" t="s">
        <v>14</v>
      </c>
      <c r="S32" s="667">
        <f t="shared" si="12"/>
        <v>100</v>
      </c>
      <c r="T32" s="666" t="s">
        <v>14</v>
      </c>
      <c r="U32" s="667">
        <f t="shared" si="13"/>
        <v>100</v>
      </c>
      <c r="V32" s="666" t="s">
        <v>14</v>
      </c>
      <c r="W32" s="667">
        <f t="shared" si="14"/>
        <v>100</v>
      </c>
      <c r="X32" s="1264"/>
      <c r="Y32" s="3389"/>
      <c r="Z32" s="1263">
        <f t="shared" si="15"/>
        <v>111</v>
      </c>
      <c r="AA32" s="1263">
        <f t="shared" si="3"/>
        <v>1</v>
      </c>
      <c r="AB32" s="1263">
        <f t="shared" si="4"/>
        <v>1</v>
      </c>
      <c r="AC32" s="1811">
        <f t="shared" si="5"/>
        <v>1</v>
      </c>
    </row>
    <row r="33" spans="1:29" ht="15">
      <c r="A33" s="378" t="s">
        <v>1694</v>
      </c>
      <c r="B33" s="59"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55" t="s">
        <v>1696</v>
      </c>
      <c r="Q33" s="1262" t="str">
        <f t="shared" si="11"/>
        <v>建筑类型</v>
      </c>
      <c r="R33" s="666" t="s">
        <v>14</v>
      </c>
      <c r="S33" s="667">
        <f t="shared" si="12"/>
        <v>100</v>
      </c>
      <c r="T33" s="666" t="s">
        <v>14</v>
      </c>
      <c r="U33" s="667">
        <f t="shared" si="13"/>
        <v>100</v>
      </c>
      <c r="V33" s="666" t="s">
        <v>14</v>
      </c>
      <c r="W33" s="667">
        <f t="shared" si="14"/>
        <v>100</v>
      </c>
      <c r="X33" s="1264"/>
      <c r="Y33" s="3391"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456"/>
      <c r="Q34" s="530" t="str">
        <f t="shared" si="11"/>
        <v>项目建筑规模</v>
      </c>
      <c r="R34" s="668" t="s">
        <v>14</v>
      </c>
      <c r="S34" s="669" t="e">
        <f t="shared" si="12"/>
        <v>#N/A</v>
      </c>
      <c r="T34" s="668" t="s">
        <v>14</v>
      </c>
      <c r="U34" s="669" t="e">
        <f t="shared" si="13"/>
        <v>#N/A</v>
      </c>
      <c r="V34" s="668" t="s">
        <v>14</v>
      </c>
      <c r="W34" s="669" t="e">
        <f t="shared" si="14"/>
        <v>#N/A</v>
      </c>
      <c r="X34" s="670"/>
      <c r="Y34" s="3391"/>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456"/>
      <c r="Q35" s="1262" t="str">
        <f t="shared" si="11"/>
        <v>建筑结构</v>
      </c>
      <c r="R35" s="666" t="s">
        <v>14</v>
      </c>
      <c r="S35" s="667">
        <f t="shared" si="12"/>
        <v>100</v>
      </c>
      <c r="T35" s="666" t="s">
        <v>14</v>
      </c>
      <c r="U35" s="667">
        <f t="shared" si="13"/>
        <v>100</v>
      </c>
      <c r="V35" s="666" t="s">
        <v>14</v>
      </c>
      <c r="W35" s="667">
        <f t="shared" si="14"/>
        <v>100</v>
      </c>
      <c r="X35" s="1264"/>
      <c r="Y35" s="3391"/>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456"/>
      <c r="Q36" s="1262" t="str">
        <f t="shared" si="11"/>
        <v>公共部分装修</v>
      </c>
      <c r="R36" s="666" t="s">
        <v>14</v>
      </c>
      <c r="S36" s="667">
        <f t="shared" si="12"/>
        <v>100</v>
      </c>
      <c r="T36" s="666" t="s">
        <v>14</v>
      </c>
      <c r="U36" s="667">
        <f t="shared" si="13"/>
        <v>100</v>
      </c>
      <c r="V36" s="666" t="s">
        <v>14</v>
      </c>
      <c r="W36" s="667">
        <f t="shared" si="14"/>
        <v>100</v>
      </c>
      <c r="X36" s="1264"/>
      <c r="Y36" s="3391"/>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456"/>
      <c r="Q37" s="1262" t="str">
        <f t="shared" si="11"/>
        <v>成新度</v>
      </c>
      <c r="R37" s="666" t="s">
        <v>14</v>
      </c>
      <c r="S37" s="667" t="e">
        <f t="shared" si="12"/>
        <v>#N/A</v>
      </c>
      <c r="T37" s="666" t="s">
        <v>14</v>
      </c>
      <c r="U37" s="667" t="e">
        <f t="shared" si="13"/>
        <v>#N/A</v>
      </c>
      <c r="V37" s="666" t="s">
        <v>14</v>
      </c>
      <c r="W37" s="667" t="e">
        <f t="shared" si="14"/>
        <v>#N/A</v>
      </c>
      <c r="X37" s="1264"/>
      <c r="Y37" s="3391"/>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56"/>
      <c r="Q38" s="529" t="str">
        <f t="shared" si="11"/>
        <v>写字楼等级</v>
      </c>
      <c r="R38" s="663" t="s">
        <v>14</v>
      </c>
      <c r="S38" s="664">
        <f t="shared" si="12"/>
        <v>100</v>
      </c>
      <c r="T38" s="663" t="s">
        <v>14</v>
      </c>
      <c r="U38" s="664">
        <f t="shared" si="13"/>
        <v>100</v>
      </c>
      <c r="V38" s="663" t="s">
        <v>14</v>
      </c>
      <c r="W38" s="664">
        <f t="shared" si="14"/>
        <v>100</v>
      </c>
      <c r="X38" s="665"/>
      <c r="Y38" s="3391"/>
      <c r="Z38" s="49" t="str">
        <f t="shared" si="15"/>
        <v>写字楼等级</v>
      </c>
      <c r="AA38" s="49">
        <f t="shared" si="3"/>
        <v>1</v>
      </c>
      <c r="AB38" s="49">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456" t="s">
        <v>1696</v>
      </c>
      <c r="Q39" s="1262" t="str">
        <f t="shared" si="11"/>
        <v>物业管理</v>
      </c>
      <c r="R39" s="666" t="s">
        <v>14</v>
      </c>
      <c r="S39" s="667">
        <f t="shared" si="12"/>
        <v>100</v>
      </c>
      <c r="T39" s="666" t="s">
        <v>14</v>
      </c>
      <c r="U39" s="667">
        <f t="shared" si="13"/>
        <v>100</v>
      </c>
      <c r="V39" s="666" t="s">
        <v>14</v>
      </c>
      <c r="W39" s="667">
        <f t="shared" si="14"/>
        <v>100</v>
      </c>
      <c r="X39" s="1264"/>
      <c r="Y39" s="3391"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56"/>
      <c r="Q40" s="1262" t="str">
        <f t="shared" si="11"/>
        <v>市政基础设施</v>
      </c>
      <c r="R40" s="666" t="s">
        <v>14</v>
      </c>
      <c r="S40" s="667">
        <f t="shared" si="12"/>
        <v>100</v>
      </c>
      <c r="T40" s="666" t="s">
        <v>14</v>
      </c>
      <c r="U40" s="667">
        <f t="shared" si="13"/>
        <v>100</v>
      </c>
      <c r="V40" s="666" t="s">
        <v>14</v>
      </c>
      <c r="W40" s="667">
        <f t="shared" si="14"/>
        <v>100</v>
      </c>
      <c r="X40" s="1264"/>
      <c r="Y40" s="3391"/>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456"/>
      <c r="Q41" s="1262" t="str">
        <f t="shared" si="11"/>
        <v>层高</v>
      </c>
      <c r="R41" s="666" t="s">
        <v>14</v>
      </c>
      <c r="S41" s="667">
        <f t="shared" si="12"/>
        <v>100</v>
      </c>
      <c r="T41" s="666" t="s">
        <v>14</v>
      </c>
      <c r="U41" s="667">
        <f t="shared" si="13"/>
        <v>100</v>
      </c>
      <c r="V41" s="666" t="s">
        <v>14</v>
      </c>
      <c r="W41" s="667">
        <f t="shared" si="14"/>
        <v>100</v>
      </c>
      <c r="X41" s="1264"/>
      <c r="Y41" s="3391"/>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56"/>
      <c r="Q42" s="530" t="str">
        <f t="shared" si="11"/>
        <v>单套建筑面积</v>
      </c>
      <c r="R42" s="668" t="s">
        <v>14</v>
      </c>
      <c r="S42" s="669">
        <f t="shared" si="12"/>
        <v>100</v>
      </c>
      <c r="T42" s="668" t="s">
        <v>14</v>
      </c>
      <c r="U42" s="669">
        <f t="shared" si="13"/>
        <v>100</v>
      </c>
      <c r="V42" s="668" t="s">
        <v>14</v>
      </c>
      <c r="W42" s="669">
        <f t="shared" si="14"/>
        <v>100</v>
      </c>
      <c r="X42" s="670"/>
      <c r="Y42" s="3391"/>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456"/>
      <c r="Q43" s="1262" t="str">
        <f t="shared" si="11"/>
        <v>内部装修</v>
      </c>
      <c r="R43" s="666" t="s">
        <v>14</v>
      </c>
      <c r="S43" s="667">
        <f t="shared" si="12"/>
        <v>100</v>
      </c>
      <c r="T43" s="666" t="s">
        <v>14</v>
      </c>
      <c r="U43" s="667">
        <f t="shared" si="13"/>
        <v>100</v>
      </c>
      <c r="V43" s="666" t="s">
        <v>14</v>
      </c>
      <c r="W43" s="667">
        <f t="shared" si="14"/>
        <v>100</v>
      </c>
      <c r="X43" s="1264"/>
      <c r="Y43" s="3391"/>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456"/>
      <c r="Q44" s="1262" t="str">
        <f t="shared" si="11"/>
        <v>内部装修维护情况</v>
      </c>
      <c r="R44" s="666" t="s">
        <v>14</v>
      </c>
      <c r="S44" s="667">
        <f t="shared" si="12"/>
        <v>100</v>
      </c>
      <c r="T44" s="666" t="s">
        <v>14</v>
      </c>
      <c r="U44" s="667">
        <f t="shared" si="13"/>
        <v>100</v>
      </c>
      <c r="V44" s="666" t="s">
        <v>14</v>
      </c>
      <c r="W44" s="667">
        <f t="shared" si="14"/>
        <v>100</v>
      </c>
      <c r="X44" s="1264"/>
      <c r="Y44" s="3391"/>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56"/>
      <c r="Q45" s="529">
        <f t="shared" si="11"/>
        <v>111</v>
      </c>
      <c r="R45" s="663" t="s">
        <v>14</v>
      </c>
      <c r="S45" s="664">
        <f t="shared" si="12"/>
        <v>100</v>
      </c>
      <c r="T45" s="663" t="s">
        <v>14</v>
      </c>
      <c r="U45" s="664">
        <f t="shared" si="13"/>
        <v>100</v>
      </c>
      <c r="V45" s="663" t="s">
        <v>14</v>
      </c>
      <c r="W45" s="664">
        <f t="shared" si="14"/>
        <v>100</v>
      </c>
      <c r="X45" s="665"/>
      <c r="Y45" s="3391"/>
      <c r="Z45" s="49">
        <f t="shared" si="15"/>
        <v>111</v>
      </c>
      <c r="AA45" s="49">
        <f t="shared" si="3"/>
        <v>1</v>
      </c>
      <c r="AB45" s="49">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56"/>
      <c r="Q46" s="1262">
        <f t="shared" si="11"/>
        <v>111</v>
      </c>
      <c r="R46" s="666" t="s">
        <v>14</v>
      </c>
      <c r="S46" s="667">
        <f t="shared" si="12"/>
        <v>100</v>
      </c>
      <c r="T46" s="666" t="s">
        <v>14</v>
      </c>
      <c r="U46" s="667">
        <f t="shared" si="13"/>
        <v>100</v>
      </c>
      <c r="V46" s="666" t="s">
        <v>14</v>
      </c>
      <c r="W46" s="667">
        <f t="shared" si="14"/>
        <v>100</v>
      </c>
      <c r="X46" s="1264"/>
      <c r="Y46" s="3391"/>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57"/>
      <c r="Q47" s="1262">
        <f t="shared" si="11"/>
        <v>111</v>
      </c>
      <c r="R47" s="666" t="s">
        <v>14</v>
      </c>
      <c r="S47" s="667">
        <f t="shared" si="12"/>
        <v>100</v>
      </c>
      <c r="T47" s="666" t="s">
        <v>14</v>
      </c>
      <c r="U47" s="667">
        <f t="shared" si="13"/>
        <v>100</v>
      </c>
      <c r="V47" s="666" t="s">
        <v>14</v>
      </c>
      <c r="W47" s="667">
        <f t="shared" si="14"/>
        <v>100</v>
      </c>
      <c r="X47" s="1264"/>
      <c r="Y47" s="3458"/>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86" t="str">
        <f>A48</f>
        <v>成交单价（元/平方米）</v>
      </c>
      <c r="Q48" s="3387"/>
      <c r="R48" s="3392">
        <f>E48</f>
        <v>0</v>
      </c>
      <c r="S48" s="3392"/>
      <c r="T48" s="3392">
        <f>G48</f>
        <v>0</v>
      </c>
      <c r="U48" s="3392"/>
      <c r="V48" s="3392">
        <f>I48</f>
        <v>0</v>
      </c>
      <c r="W48" s="3392"/>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86" t="str">
        <f>A49</f>
        <v>比较价值（元/平方米）</v>
      </c>
      <c r="Q49" s="3387"/>
      <c r="R49" s="3392" t="e">
        <f>IF(F1="售价",ROUND(PRODUCT(R48,AA7:AA47),0),ROUND(PRODUCT(R48,AA7:AA47),1))</f>
        <v>#DIV/0!</v>
      </c>
      <c r="S49" s="3392"/>
      <c r="T49" s="3392" t="e">
        <f>IF(F1="售价",ROUND(PRODUCT(T48,AB7:AB47),0),ROUND(PRODUCT(T48,AB7:AB47),1))</f>
        <v>#DIV/0!</v>
      </c>
      <c r="U49" s="3392"/>
      <c r="V49" s="3392" t="e">
        <f>IF(F1="售价",ROUND(PRODUCT(V48,AC7:AC47),0),ROUND(PRODUCT(V48,AC7:AC47),1))</f>
        <v>#DIV/0!</v>
      </c>
      <c r="W49" s="3392"/>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1681</v>
      </c>
      <c r="B62" s="443"/>
      <c r="C62" s="455" t="s">
        <v>1776</v>
      </c>
      <c r="D62" s="30"/>
      <c r="E62" s="30"/>
      <c r="F62" s="30"/>
      <c r="G62" s="30"/>
      <c r="H62" s="30"/>
      <c r="I62" s="30"/>
      <c r="J62" s="30"/>
      <c r="K62" s="30"/>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0"/>
      <c r="D75" s="30"/>
      <c r="E75" s="30"/>
      <c r="F75" s="30"/>
      <c r="G75" s="30"/>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0"/>
      <c r="D99" s="30"/>
      <c r="E99" s="30"/>
      <c r="F99" s="30"/>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0"/>
      <c r="D131" s="30"/>
      <c r="E131" s="30"/>
      <c r="F131" s="30"/>
      <c r="G131" s="516"/>
      <c r="H131" s="516"/>
      <c r="I131" s="516"/>
      <c r="J131" s="516"/>
      <c r="K131" s="30"/>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71986.14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84" t="s">
        <v>1770</v>
      </c>
      <c r="D4" s="3396"/>
      <c r="E4" s="3397" t="s">
        <v>1771</v>
      </c>
      <c r="F4" s="3398"/>
      <c r="G4" s="3384" t="s">
        <v>1772</v>
      </c>
      <c r="H4" s="3396"/>
      <c r="I4" s="3384" t="s">
        <v>1773</v>
      </c>
      <c r="J4" s="3396"/>
      <c r="K4" s="536" t="s">
        <v>1774</v>
      </c>
      <c r="L4" s="859"/>
      <c r="M4" s="860"/>
      <c r="N4" s="860"/>
      <c r="O4" s="860"/>
      <c r="P4" s="3399" t="s">
        <v>1775</v>
      </c>
      <c r="Q4" s="3400"/>
      <c r="R4" s="3405" t="s">
        <v>1771</v>
      </c>
      <c r="S4" s="3406"/>
      <c r="T4" s="3405" t="s">
        <v>1772</v>
      </c>
      <c r="U4" s="3406"/>
      <c r="V4" s="3392" t="s">
        <v>1773</v>
      </c>
      <c r="W4" s="3392"/>
      <c r="X4" s="1264"/>
      <c r="Y4" s="3405" t="s">
        <v>1775</v>
      </c>
      <c r="Z4" s="3406"/>
      <c r="AA4" s="3393" t="s">
        <v>1771</v>
      </c>
      <c r="AB4" s="3394" t="s">
        <v>1772</v>
      </c>
      <c r="AC4" s="3393" t="s">
        <v>1773</v>
      </c>
    </row>
    <row r="5" spans="1:29" ht="15">
      <c r="A5" s="347"/>
      <c r="B5" s="348"/>
      <c r="C5" s="3413" t="s">
        <v>1673</v>
      </c>
      <c r="D5" s="3414"/>
      <c r="E5" s="3420" t="s">
        <v>1674</v>
      </c>
      <c r="F5" s="3421"/>
      <c r="G5" s="3413" t="s">
        <v>1675</v>
      </c>
      <c r="H5" s="3414"/>
      <c r="I5" s="3413" t="s">
        <v>1676</v>
      </c>
      <c r="J5" s="3414"/>
      <c r="K5" s="536"/>
      <c r="L5" s="859"/>
      <c r="M5" s="860"/>
      <c r="N5" s="860"/>
      <c r="O5" s="860"/>
      <c r="P5" s="3401"/>
      <c r="Q5" s="3402"/>
      <c r="R5" s="3407"/>
      <c r="S5" s="3408"/>
      <c r="T5" s="3407"/>
      <c r="U5" s="3408"/>
      <c r="V5" s="3392"/>
      <c r="W5" s="3392"/>
      <c r="X5" s="1264"/>
      <c r="Y5" s="3407"/>
      <c r="Z5" s="3408"/>
      <c r="AA5" s="3394"/>
      <c r="AB5" s="3394"/>
      <c r="AC5" s="3394"/>
    </row>
    <row r="6" spans="1:29" ht="15.75" thickBot="1">
      <c r="A6" s="349"/>
      <c r="B6" s="350"/>
      <c r="C6" s="3411" t="s">
        <v>1677</v>
      </c>
      <c r="D6" s="3412"/>
      <c r="E6" s="3418" t="s">
        <v>1677</v>
      </c>
      <c r="F6" s="3419"/>
      <c r="G6" s="3411" t="s">
        <v>1677</v>
      </c>
      <c r="H6" s="3412"/>
      <c r="I6" s="3411" t="s">
        <v>1677</v>
      </c>
      <c r="J6" s="3412"/>
      <c r="K6" s="536" t="s">
        <v>1678</v>
      </c>
      <c r="L6" s="859"/>
      <c r="M6" s="860"/>
      <c r="N6" s="860"/>
      <c r="O6" s="860"/>
      <c r="P6" s="3403"/>
      <c r="Q6" s="3404"/>
      <c r="R6" s="3407"/>
      <c r="S6" s="3408"/>
      <c r="T6" s="3409"/>
      <c r="U6" s="3410"/>
      <c r="V6" s="3392"/>
      <c r="W6" s="3392"/>
      <c r="X6" s="1264"/>
      <c r="Y6" s="3409"/>
      <c r="Z6" s="3410"/>
      <c r="AA6" s="3395"/>
      <c r="AB6" s="3395"/>
      <c r="AC6" s="3395"/>
    </row>
    <row r="7" spans="1:29" s="101" customFormat="1" ht="15.75" thickBot="1">
      <c r="A7" s="351" t="s">
        <v>1679</v>
      </c>
      <c r="B7" s="352"/>
      <c r="C7" s="353">
        <f>'数据-取费表'!B2</f>
        <v>45819</v>
      </c>
      <c r="D7" s="354">
        <v>100</v>
      </c>
      <c r="E7" s="355"/>
      <c r="F7" s="356">
        <f>SUMIF(52:52,YEAR(E7)&amp;"-"&amp;MONTH(E7),53:53)</f>
        <v>0</v>
      </c>
      <c r="G7" s="355"/>
      <c r="H7" s="354">
        <f>SUMIF(52:52,YEAR(G7)&amp;"-"&amp;MONTH(G7),53:53)</f>
        <v>0</v>
      </c>
      <c r="I7" s="355"/>
      <c r="J7" s="354">
        <f>SUMIF(52:52,YEAR(I7)&amp;"-"&amp;MONTH(I7),53:53)</f>
        <v>0</v>
      </c>
      <c r="K7" s="37"/>
      <c r="L7" s="861"/>
      <c r="M7" s="862"/>
      <c r="N7" s="862"/>
      <c r="O7" s="862"/>
      <c r="P7" s="3415" t="s">
        <v>1680</v>
      </c>
      <c r="Q7" s="3417"/>
      <c r="R7" s="663" t="s">
        <v>14</v>
      </c>
      <c r="S7" s="664">
        <f t="shared" ref="S7:S15" si="0">F7</f>
        <v>0</v>
      </c>
      <c r="T7" s="663" t="s">
        <v>14</v>
      </c>
      <c r="U7" s="664">
        <f t="shared" ref="U7:U15" si="1">H7</f>
        <v>0</v>
      </c>
      <c r="V7" s="663" t="s">
        <v>14</v>
      </c>
      <c r="W7" s="664">
        <f t="shared" ref="W7:W15" si="2">J7</f>
        <v>0</v>
      </c>
      <c r="X7" s="665"/>
      <c r="Y7" s="3415" t="s">
        <v>1680</v>
      </c>
      <c r="Z7" s="3416"/>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15" t="s">
        <v>1683</v>
      </c>
      <c r="Q8" s="3416"/>
      <c r="R8" s="663" t="s">
        <v>14</v>
      </c>
      <c r="S8" s="664">
        <f t="shared" si="0"/>
        <v>100</v>
      </c>
      <c r="T8" s="663" t="s">
        <v>14</v>
      </c>
      <c r="U8" s="664">
        <f t="shared" si="1"/>
        <v>100</v>
      </c>
      <c r="V8" s="663" t="s">
        <v>14</v>
      </c>
      <c r="W8" s="664">
        <f t="shared" si="2"/>
        <v>100</v>
      </c>
      <c r="X8" s="665"/>
      <c r="Y8" s="3415" t="s">
        <v>1683</v>
      </c>
      <c r="Z8" s="3416"/>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387" t="s">
        <v>1686</v>
      </c>
      <c r="Q9" s="529" t="str">
        <f t="shared" ref="Q9:Q15" si="6">B9</f>
        <v>用途</v>
      </c>
      <c r="R9" s="663" t="s">
        <v>14</v>
      </c>
      <c r="S9" s="664">
        <f t="shared" si="0"/>
        <v>100</v>
      </c>
      <c r="T9" s="663" t="s">
        <v>14</v>
      </c>
      <c r="U9" s="664">
        <f t="shared" si="1"/>
        <v>100</v>
      </c>
      <c r="V9" s="663" t="s">
        <v>14</v>
      </c>
      <c r="W9" s="664">
        <f t="shared" si="2"/>
        <v>100</v>
      </c>
      <c r="X9" s="665"/>
      <c r="Y9" s="3284" t="s">
        <v>1687</v>
      </c>
      <c r="Z9" s="49" t="str">
        <f t="shared" ref="Z9:Z15" si="7">Q9</f>
        <v>用途</v>
      </c>
      <c r="AA9" s="49">
        <f t="shared" si="3"/>
        <v>1</v>
      </c>
      <c r="AB9" s="49">
        <f t="shared" si="4"/>
        <v>1</v>
      </c>
      <c r="AC9" s="49">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7"/>
      <c r="L10" s="864"/>
      <c r="M10" s="865"/>
      <c r="N10" s="865"/>
      <c r="O10" s="866"/>
      <c r="P10" s="3387"/>
      <c r="Q10" s="529" t="str">
        <f t="shared" si="6"/>
        <v>土地使用年限（年）</v>
      </c>
      <c r="R10" s="663" t="s">
        <v>14</v>
      </c>
      <c r="S10" s="664">
        <f t="shared" si="0"/>
        <v>100</v>
      </c>
      <c r="T10" s="663" t="s">
        <v>14</v>
      </c>
      <c r="U10" s="664">
        <f t="shared" si="1"/>
        <v>100</v>
      </c>
      <c r="V10" s="663" t="s">
        <v>14</v>
      </c>
      <c r="W10" s="664">
        <f t="shared" si="2"/>
        <v>100</v>
      </c>
      <c r="X10" s="665"/>
      <c r="Y10" s="3284"/>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87"/>
      <c r="Q11" s="529" t="str">
        <f t="shared" si="6"/>
        <v>容积率</v>
      </c>
      <c r="R11" s="663" t="s">
        <v>14</v>
      </c>
      <c r="S11" s="664">
        <f t="shared" si="0"/>
        <v>100</v>
      </c>
      <c r="T11" s="663" t="s">
        <v>14</v>
      </c>
      <c r="U11" s="664">
        <f t="shared" si="1"/>
        <v>100</v>
      </c>
      <c r="V11" s="663" t="s">
        <v>14</v>
      </c>
      <c r="W11" s="664">
        <f t="shared" si="2"/>
        <v>100</v>
      </c>
      <c r="X11" s="665"/>
      <c r="Y11" s="3284"/>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87"/>
      <c r="Q12" s="529">
        <f t="shared" si="6"/>
        <v>111</v>
      </c>
      <c r="R12" s="663" t="s">
        <v>14</v>
      </c>
      <c r="S12" s="664">
        <f t="shared" si="0"/>
        <v>100</v>
      </c>
      <c r="T12" s="663" t="s">
        <v>14</v>
      </c>
      <c r="U12" s="664">
        <f t="shared" si="1"/>
        <v>100</v>
      </c>
      <c r="V12" s="663" t="s">
        <v>14</v>
      </c>
      <c r="W12" s="664">
        <f t="shared" si="2"/>
        <v>100</v>
      </c>
      <c r="X12" s="665"/>
      <c r="Y12" s="3284"/>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87"/>
      <c r="Q13" s="529">
        <f t="shared" si="6"/>
        <v>111</v>
      </c>
      <c r="R13" s="663" t="s">
        <v>14</v>
      </c>
      <c r="S13" s="664">
        <f t="shared" si="0"/>
        <v>100</v>
      </c>
      <c r="T13" s="663" t="s">
        <v>14</v>
      </c>
      <c r="U13" s="664">
        <f t="shared" si="1"/>
        <v>100</v>
      </c>
      <c r="V13" s="663" t="s">
        <v>14</v>
      </c>
      <c r="W13" s="664">
        <f t="shared" si="2"/>
        <v>100</v>
      </c>
      <c r="X13" s="665"/>
      <c r="Y13" s="3284"/>
      <c r="Z13" s="49">
        <f t="shared" si="7"/>
        <v>111</v>
      </c>
      <c r="AA13" s="49">
        <f t="shared" si="3"/>
        <v>1</v>
      </c>
      <c r="AB13" s="49">
        <f t="shared" si="4"/>
        <v>1</v>
      </c>
      <c r="AC13" s="49">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87"/>
      <c r="Q14" s="529">
        <f t="shared" si="6"/>
        <v>111</v>
      </c>
      <c r="R14" s="663" t="s">
        <v>14</v>
      </c>
      <c r="S14" s="664">
        <f t="shared" si="0"/>
        <v>100</v>
      </c>
      <c r="T14" s="663" t="s">
        <v>14</v>
      </c>
      <c r="U14" s="664">
        <f t="shared" si="1"/>
        <v>100</v>
      </c>
      <c r="V14" s="663" t="s">
        <v>14</v>
      </c>
      <c r="W14" s="664">
        <f t="shared" si="2"/>
        <v>100</v>
      </c>
      <c r="X14" s="665"/>
      <c r="Y14" s="3284"/>
      <c r="Z14" s="49">
        <f t="shared" si="7"/>
        <v>111</v>
      </c>
      <c r="AA14" s="49">
        <f t="shared" si="3"/>
        <v>1</v>
      </c>
      <c r="AB14" s="49">
        <f t="shared" si="4"/>
        <v>1</v>
      </c>
      <c r="AC14" s="49">
        <f t="shared" si="5"/>
        <v>1</v>
      </c>
    </row>
    <row r="15" spans="1:29" ht="1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8" t="s">
        <v>1691</v>
      </c>
      <c r="Q15" s="1262" t="str">
        <f t="shared" si="6"/>
        <v>产业集聚程度</v>
      </c>
      <c r="R15" s="666" t="s">
        <v>14</v>
      </c>
      <c r="S15" s="667">
        <f t="shared" si="0"/>
        <v>100</v>
      </c>
      <c r="T15" s="666" t="s">
        <v>14</v>
      </c>
      <c r="U15" s="667">
        <f t="shared" si="1"/>
        <v>100</v>
      </c>
      <c r="V15" s="666" t="s">
        <v>14</v>
      </c>
      <c r="W15" s="667">
        <f t="shared" si="2"/>
        <v>100</v>
      </c>
      <c r="X15" s="1264"/>
      <c r="Y15" s="3388"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9"/>
      <c r="Q16" s="1262"/>
      <c r="R16" s="666"/>
      <c r="S16" s="667"/>
      <c r="T16" s="666"/>
      <c r="U16" s="667"/>
      <c r="V16" s="666"/>
      <c r="W16" s="667"/>
      <c r="X16" s="1264"/>
      <c r="Y16" s="3389"/>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9"/>
      <c r="Q17" s="1262" t="str">
        <f>B17</f>
        <v>交通便捷度</v>
      </c>
      <c r="R17" s="666" t="s">
        <v>14</v>
      </c>
      <c r="S17" s="667">
        <f>F17</f>
        <v>100</v>
      </c>
      <c r="T17" s="666" t="s">
        <v>14</v>
      </c>
      <c r="U17" s="667">
        <f>H17</f>
        <v>100</v>
      </c>
      <c r="V17" s="666" t="s">
        <v>14</v>
      </c>
      <c r="W17" s="667">
        <f>J17</f>
        <v>100</v>
      </c>
      <c r="X17" s="1264"/>
      <c r="Y17" s="338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9"/>
      <c r="Q18" s="1262"/>
      <c r="R18" s="666"/>
      <c r="S18" s="667"/>
      <c r="T18" s="666"/>
      <c r="U18" s="667"/>
      <c r="V18" s="666"/>
      <c r="W18" s="667"/>
      <c r="X18" s="1264"/>
      <c r="Y18" s="3389"/>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9"/>
      <c r="Q19" s="1262" t="str">
        <f>B19</f>
        <v>公共配套设施</v>
      </c>
      <c r="R19" s="666" t="s">
        <v>14</v>
      </c>
      <c r="S19" s="667">
        <f>F19</f>
        <v>100</v>
      </c>
      <c r="T19" s="666" t="s">
        <v>14</v>
      </c>
      <c r="U19" s="667">
        <f>H19</f>
        <v>100</v>
      </c>
      <c r="V19" s="666" t="s">
        <v>14</v>
      </c>
      <c r="W19" s="667">
        <f>J19</f>
        <v>100</v>
      </c>
      <c r="X19" s="1264"/>
      <c r="Y19" s="338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9"/>
      <c r="Q20" s="1262"/>
      <c r="R20" s="666"/>
      <c r="S20" s="667"/>
      <c r="T20" s="666"/>
      <c r="U20" s="667"/>
      <c r="V20" s="666"/>
      <c r="W20" s="667"/>
      <c r="X20" s="1264"/>
      <c r="Y20" s="3389"/>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9"/>
      <c r="Q21" s="1262" t="str">
        <f>B21</f>
        <v>基础设施水平</v>
      </c>
      <c r="R21" s="666" t="s">
        <v>14</v>
      </c>
      <c r="S21" s="667">
        <f>F21</f>
        <v>100</v>
      </c>
      <c r="T21" s="666" t="s">
        <v>14</v>
      </c>
      <c r="U21" s="667">
        <f>H21</f>
        <v>100</v>
      </c>
      <c r="V21" s="666" t="s">
        <v>14</v>
      </c>
      <c r="W21" s="667">
        <f>J21</f>
        <v>100</v>
      </c>
      <c r="X21" s="1264"/>
      <c r="Y21" s="338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9"/>
      <c r="Q22" s="1262"/>
      <c r="R22" s="666"/>
      <c r="S22" s="667"/>
      <c r="T22" s="666"/>
      <c r="U22" s="667"/>
      <c r="V22" s="666"/>
      <c r="W22" s="667"/>
      <c r="X22" s="1264"/>
      <c r="Y22" s="3389"/>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9"/>
      <c r="Q23" s="1262" t="str">
        <f>B23</f>
        <v>环境质量</v>
      </c>
      <c r="R23" s="666" t="s">
        <v>14</v>
      </c>
      <c r="S23" s="667">
        <f>F23</f>
        <v>100</v>
      </c>
      <c r="T23" s="666" t="s">
        <v>14</v>
      </c>
      <c r="U23" s="667">
        <f>H23</f>
        <v>100</v>
      </c>
      <c r="V23" s="666" t="s">
        <v>14</v>
      </c>
      <c r="W23" s="667">
        <f>J23</f>
        <v>100</v>
      </c>
      <c r="X23" s="1264"/>
      <c r="Y23" s="3389"/>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9"/>
      <c r="Q24" s="1262"/>
      <c r="R24" s="666"/>
      <c r="S24" s="667"/>
      <c r="T24" s="666"/>
      <c r="U24" s="667"/>
      <c r="V24" s="666"/>
      <c r="W24" s="667"/>
      <c r="X24" s="1264"/>
      <c r="Y24" s="338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9"/>
      <c r="Q25" s="1262">
        <f>B25</f>
        <v>111</v>
      </c>
      <c r="R25" s="666" t="s">
        <v>14</v>
      </c>
      <c r="S25" s="667">
        <f>F25</f>
        <v>100</v>
      </c>
      <c r="T25" s="666" t="s">
        <v>14</v>
      </c>
      <c r="U25" s="667">
        <f>H25</f>
        <v>100</v>
      </c>
      <c r="V25" s="666" t="s">
        <v>14</v>
      </c>
      <c r="W25" s="667">
        <f>J25</f>
        <v>100</v>
      </c>
      <c r="X25" s="1264"/>
      <c r="Y25" s="338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9"/>
      <c r="Q26" s="1262">
        <f t="shared" ref="Q26:Q40" si="11">B26</f>
        <v>111</v>
      </c>
      <c r="R26" s="666" t="s">
        <v>14</v>
      </c>
      <c r="S26" s="667">
        <f>F26</f>
        <v>100</v>
      </c>
      <c r="T26" s="666" t="s">
        <v>14</v>
      </c>
      <c r="U26" s="667">
        <f>H26</f>
        <v>100</v>
      </c>
      <c r="V26" s="666" t="s">
        <v>14</v>
      </c>
      <c r="W26" s="667">
        <f>J26</f>
        <v>100</v>
      </c>
      <c r="X26" s="1264"/>
      <c r="Y26" s="3389"/>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9"/>
      <c r="Q27" s="529">
        <f t="shared" si="11"/>
        <v>111</v>
      </c>
      <c r="R27" s="663" t="s">
        <v>14</v>
      </c>
      <c r="S27" s="664">
        <f>F27</f>
        <v>100</v>
      </c>
      <c r="T27" s="663" t="s">
        <v>14</v>
      </c>
      <c r="U27" s="664">
        <f>H27</f>
        <v>100</v>
      </c>
      <c r="V27" s="663" t="s">
        <v>14</v>
      </c>
      <c r="W27" s="664">
        <f>J27</f>
        <v>100</v>
      </c>
      <c r="X27" s="665"/>
      <c r="Y27" s="3389"/>
      <c r="Z27" s="49">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9"/>
      <c r="Q28" s="1262">
        <f t="shared" si="11"/>
        <v>111</v>
      </c>
      <c r="R28" s="666" t="s">
        <v>14</v>
      </c>
      <c r="S28" s="667">
        <f t="shared" ref="S28:S40" si="12">F28</f>
        <v>100</v>
      </c>
      <c r="T28" s="666" t="s">
        <v>14</v>
      </c>
      <c r="U28" s="667">
        <f t="shared" ref="U28:U40" si="13">H28</f>
        <v>100</v>
      </c>
      <c r="V28" s="666" t="s">
        <v>14</v>
      </c>
      <c r="W28" s="667">
        <f t="shared" ref="W28:W40" si="14">J28</f>
        <v>100</v>
      </c>
      <c r="X28" s="1264"/>
      <c r="Y28" s="3389"/>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390" t="s">
        <v>1696</v>
      </c>
      <c r="Q29" s="1262" t="str">
        <f t="shared" si="11"/>
        <v>建筑类型</v>
      </c>
      <c r="R29" s="666" t="s">
        <v>14</v>
      </c>
      <c r="S29" s="667">
        <f t="shared" si="12"/>
        <v>100</v>
      </c>
      <c r="T29" s="666" t="s">
        <v>14</v>
      </c>
      <c r="U29" s="667">
        <f t="shared" si="13"/>
        <v>100</v>
      </c>
      <c r="V29" s="666" t="s">
        <v>14</v>
      </c>
      <c r="W29" s="667">
        <f t="shared" si="14"/>
        <v>100</v>
      </c>
      <c r="X29" s="1264"/>
      <c r="Y29" s="3391"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1"/>
      <c r="Q30" s="530" t="str">
        <f t="shared" si="11"/>
        <v>项目建筑规模</v>
      </c>
      <c r="R30" s="668" t="s">
        <v>14</v>
      </c>
      <c r="S30" s="669" t="e">
        <f t="shared" si="12"/>
        <v>#N/A</v>
      </c>
      <c r="T30" s="668" t="s">
        <v>14</v>
      </c>
      <c r="U30" s="669" t="e">
        <f t="shared" si="13"/>
        <v>#N/A</v>
      </c>
      <c r="V30" s="668" t="s">
        <v>14</v>
      </c>
      <c r="W30" s="669" t="e">
        <f t="shared" si="14"/>
        <v>#N/A</v>
      </c>
      <c r="X30" s="670"/>
      <c r="Y30" s="3391"/>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1"/>
      <c r="Q31" s="1262" t="str">
        <f t="shared" si="11"/>
        <v>建筑结构</v>
      </c>
      <c r="R31" s="666" t="s">
        <v>14</v>
      </c>
      <c r="S31" s="667">
        <f t="shared" si="12"/>
        <v>100</v>
      </c>
      <c r="T31" s="666" t="s">
        <v>14</v>
      </c>
      <c r="U31" s="667">
        <f t="shared" si="13"/>
        <v>100</v>
      </c>
      <c r="V31" s="666" t="s">
        <v>14</v>
      </c>
      <c r="W31" s="667">
        <f t="shared" si="14"/>
        <v>100</v>
      </c>
      <c r="X31" s="1264"/>
      <c r="Y31" s="3391"/>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1"/>
      <c r="Q32" s="1262" t="str">
        <f t="shared" si="11"/>
        <v>公共部分装修</v>
      </c>
      <c r="R32" s="666" t="s">
        <v>14</v>
      </c>
      <c r="S32" s="667">
        <f t="shared" si="12"/>
        <v>100</v>
      </c>
      <c r="T32" s="666" t="s">
        <v>14</v>
      </c>
      <c r="U32" s="667">
        <f t="shared" si="13"/>
        <v>100</v>
      </c>
      <c r="V32" s="666" t="s">
        <v>14</v>
      </c>
      <c r="W32" s="667">
        <f t="shared" si="14"/>
        <v>100</v>
      </c>
      <c r="X32" s="1264"/>
      <c r="Y32" s="3391"/>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1"/>
      <c r="Q33" s="1262" t="str">
        <f t="shared" si="11"/>
        <v>成新度</v>
      </c>
      <c r="R33" s="666" t="s">
        <v>14</v>
      </c>
      <c r="S33" s="667" t="e">
        <f t="shared" si="12"/>
        <v>#N/A</v>
      </c>
      <c r="T33" s="666" t="s">
        <v>14</v>
      </c>
      <c r="U33" s="667" t="e">
        <f t="shared" si="13"/>
        <v>#N/A</v>
      </c>
      <c r="V33" s="666" t="s">
        <v>14</v>
      </c>
      <c r="W33" s="667" t="e">
        <f t="shared" si="14"/>
        <v>#N/A</v>
      </c>
      <c r="X33" s="1264"/>
      <c r="Y33" s="3391"/>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1"/>
      <c r="Q34" s="529" t="str">
        <f t="shared" si="11"/>
        <v>物业管理</v>
      </c>
      <c r="R34" s="663" t="s">
        <v>14</v>
      </c>
      <c r="S34" s="664">
        <f t="shared" si="12"/>
        <v>100</v>
      </c>
      <c r="T34" s="663" t="s">
        <v>14</v>
      </c>
      <c r="U34" s="664">
        <f t="shared" si="13"/>
        <v>100</v>
      </c>
      <c r="V34" s="663" t="s">
        <v>14</v>
      </c>
      <c r="W34" s="664">
        <f t="shared" si="14"/>
        <v>100</v>
      </c>
      <c r="X34" s="665"/>
      <c r="Y34" s="3391"/>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1" t="s">
        <v>1696</v>
      </c>
      <c r="Q35" s="1262" t="str">
        <f t="shared" si="11"/>
        <v>市政基础设施</v>
      </c>
      <c r="R35" s="666" t="s">
        <v>14</v>
      </c>
      <c r="S35" s="667">
        <f t="shared" si="12"/>
        <v>100</v>
      </c>
      <c r="T35" s="666" t="s">
        <v>14</v>
      </c>
      <c r="U35" s="667">
        <f t="shared" si="13"/>
        <v>100</v>
      </c>
      <c r="V35" s="666" t="s">
        <v>14</v>
      </c>
      <c r="W35" s="667">
        <f t="shared" si="14"/>
        <v>100</v>
      </c>
      <c r="X35" s="1264"/>
      <c r="Y35" s="3391"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1"/>
      <c r="Q36" s="1262" t="str">
        <f t="shared" si="11"/>
        <v>内部装修</v>
      </c>
      <c r="R36" s="666" t="s">
        <v>14</v>
      </c>
      <c r="S36" s="667">
        <f t="shared" si="12"/>
        <v>100</v>
      </c>
      <c r="T36" s="666" t="s">
        <v>14</v>
      </c>
      <c r="U36" s="667">
        <f t="shared" si="13"/>
        <v>100</v>
      </c>
      <c r="V36" s="666" t="s">
        <v>14</v>
      </c>
      <c r="W36" s="667">
        <f t="shared" si="14"/>
        <v>100</v>
      </c>
      <c r="X36" s="1264"/>
      <c r="Y36" s="3391"/>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1"/>
      <c r="Q37" s="1262" t="str">
        <f t="shared" si="11"/>
        <v>内部装修状况</v>
      </c>
      <c r="R37" s="666" t="s">
        <v>14</v>
      </c>
      <c r="S37" s="667">
        <f t="shared" si="12"/>
        <v>100</v>
      </c>
      <c r="T37" s="666" t="s">
        <v>14</v>
      </c>
      <c r="U37" s="667">
        <f t="shared" si="13"/>
        <v>100</v>
      </c>
      <c r="V37" s="666" t="s">
        <v>14</v>
      </c>
      <c r="W37" s="667">
        <f t="shared" si="14"/>
        <v>100</v>
      </c>
      <c r="X37" s="1264"/>
      <c r="Y37" s="3391"/>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1"/>
      <c r="Q38" s="530">
        <f t="shared" si="11"/>
        <v>111</v>
      </c>
      <c r="R38" s="668" t="s">
        <v>14</v>
      </c>
      <c r="S38" s="669">
        <f t="shared" si="12"/>
        <v>100</v>
      </c>
      <c r="T38" s="668" t="s">
        <v>14</v>
      </c>
      <c r="U38" s="669">
        <f t="shared" si="13"/>
        <v>100</v>
      </c>
      <c r="V38" s="668" t="s">
        <v>14</v>
      </c>
      <c r="W38" s="669">
        <f t="shared" si="14"/>
        <v>100</v>
      </c>
      <c r="X38" s="670"/>
      <c r="Y38" s="3391"/>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1"/>
      <c r="Q39" s="1262">
        <f t="shared" si="11"/>
        <v>111</v>
      </c>
      <c r="R39" s="666" t="s">
        <v>14</v>
      </c>
      <c r="S39" s="667">
        <f t="shared" si="12"/>
        <v>100</v>
      </c>
      <c r="T39" s="666" t="s">
        <v>14</v>
      </c>
      <c r="U39" s="667">
        <f t="shared" si="13"/>
        <v>100</v>
      </c>
      <c r="V39" s="666" t="s">
        <v>14</v>
      </c>
      <c r="W39" s="667">
        <f t="shared" si="14"/>
        <v>100</v>
      </c>
      <c r="X39" s="1264"/>
      <c r="Y39" s="3391"/>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8"/>
      <c r="Q40" s="1262">
        <f t="shared" si="11"/>
        <v>111</v>
      </c>
      <c r="R40" s="666" t="s">
        <v>14</v>
      </c>
      <c r="S40" s="667">
        <f t="shared" si="12"/>
        <v>100</v>
      </c>
      <c r="T40" s="666" t="s">
        <v>14</v>
      </c>
      <c r="U40" s="667">
        <f t="shared" si="13"/>
        <v>100</v>
      </c>
      <c r="V40" s="666" t="s">
        <v>14</v>
      </c>
      <c r="W40" s="667">
        <f t="shared" si="14"/>
        <v>100</v>
      </c>
      <c r="X40" s="1264"/>
      <c r="Y40" s="3458"/>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87" t="str">
        <f>A41</f>
        <v>成交单价（元/平方米）</v>
      </c>
      <c r="Q41" s="3387"/>
      <c r="R41" s="3392">
        <f>E41</f>
        <v>0</v>
      </c>
      <c r="S41" s="3392"/>
      <c r="T41" s="3392">
        <f>G41</f>
        <v>0</v>
      </c>
      <c r="U41" s="3392"/>
      <c r="V41" s="3392">
        <f>I41</f>
        <v>0</v>
      </c>
      <c r="W41" s="3392"/>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87" t="str">
        <f>A42</f>
        <v>比较价值（元/平方米）</v>
      </c>
      <c r="Q42" s="3387"/>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81" t="str">
        <f>A43</f>
        <v>估价对象XX用房的比较价值（楼面单价，元/平方米）</v>
      </c>
      <c r="Q43" s="3382"/>
      <c r="R43" s="3454" t="e">
        <f>IF(F1="售价",ROUND(IF(D42="简单平均",AVERAGE(R42:V42),R42*F42+T42*H42+V42*J42),0),ROUND(IF(D42="简单平均",AVERAGE(R42:V42),R42*F42+T42*H42+V42*J42),1))</f>
        <v>#DIV/0!</v>
      </c>
      <c r="S43" s="3454"/>
      <c r="T43" s="3454"/>
      <c r="U43" s="3454"/>
      <c r="V43" s="3454"/>
      <c r="W43" s="3454"/>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8"/>
      <c r="O54" s="2539"/>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3324</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84" t="s">
        <v>1770</v>
      </c>
      <c r="D4" s="3396"/>
      <c r="E4" s="3397" t="s">
        <v>1771</v>
      </c>
      <c r="F4" s="3398"/>
      <c r="G4" s="3384" t="s">
        <v>1772</v>
      </c>
      <c r="H4" s="3396"/>
      <c r="I4" s="3384" t="s">
        <v>1773</v>
      </c>
      <c r="J4" s="3396"/>
      <c r="K4" s="536" t="s">
        <v>1774</v>
      </c>
      <c r="L4" s="2486"/>
      <c r="M4" s="2487"/>
      <c r="N4" s="2487"/>
      <c r="O4" s="2487"/>
      <c r="P4" s="3399" t="s">
        <v>1775</v>
      </c>
      <c r="Q4" s="3400"/>
      <c r="R4" s="3405" t="s">
        <v>1771</v>
      </c>
      <c r="S4" s="3406"/>
      <c r="T4" s="3405" t="s">
        <v>1772</v>
      </c>
      <c r="U4" s="3406"/>
      <c r="V4" s="3392" t="s">
        <v>1773</v>
      </c>
      <c r="W4" s="3392"/>
      <c r="X4" s="1264"/>
      <c r="Y4" s="3405" t="s">
        <v>1775</v>
      </c>
      <c r="Z4" s="3406"/>
      <c r="AA4" s="3393" t="s">
        <v>1771</v>
      </c>
      <c r="AB4" s="3394" t="s">
        <v>1772</v>
      </c>
      <c r="AC4" s="3393" t="s">
        <v>1773</v>
      </c>
    </row>
    <row r="5" spans="1:29" ht="15">
      <c r="A5" s="347"/>
      <c r="B5" s="348"/>
      <c r="C5" s="3413" t="s">
        <v>1673</v>
      </c>
      <c r="D5" s="3414"/>
      <c r="E5" s="3420" t="s">
        <v>1674</v>
      </c>
      <c r="F5" s="3421"/>
      <c r="G5" s="3413" t="s">
        <v>1675</v>
      </c>
      <c r="H5" s="3414"/>
      <c r="I5" s="3413" t="s">
        <v>1676</v>
      </c>
      <c r="J5" s="3414"/>
      <c r="K5" s="536"/>
      <c r="L5" s="2486"/>
      <c r="M5" s="2487"/>
      <c r="N5" s="2487"/>
      <c r="O5" s="2487"/>
      <c r="P5" s="3401"/>
      <c r="Q5" s="3402"/>
      <c r="R5" s="3407"/>
      <c r="S5" s="3408"/>
      <c r="T5" s="3407"/>
      <c r="U5" s="3408"/>
      <c r="V5" s="3392"/>
      <c r="W5" s="3392"/>
      <c r="X5" s="1264"/>
      <c r="Y5" s="3407"/>
      <c r="Z5" s="3408"/>
      <c r="AA5" s="3394"/>
      <c r="AB5" s="3394"/>
      <c r="AC5" s="3394"/>
    </row>
    <row r="6" spans="1:29" ht="15.75" thickBot="1">
      <c r="A6" s="349"/>
      <c r="B6" s="350"/>
      <c r="C6" s="3411" t="s">
        <v>1677</v>
      </c>
      <c r="D6" s="3412"/>
      <c r="E6" s="3418" t="s">
        <v>1677</v>
      </c>
      <c r="F6" s="3419"/>
      <c r="G6" s="3411" t="s">
        <v>1677</v>
      </c>
      <c r="H6" s="3412"/>
      <c r="I6" s="3411" t="s">
        <v>1677</v>
      </c>
      <c r="J6" s="3412"/>
      <c r="K6" s="536" t="s">
        <v>1678</v>
      </c>
      <c r="L6" s="2486"/>
      <c r="M6" s="2487"/>
      <c r="N6" s="2487"/>
      <c r="O6" s="2487"/>
      <c r="P6" s="3403"/>
      <c r="Q6" s="3404"/>
      <c r="R6" s="3407"/>
      <c r="S6" s="3408"/>
      <c r="T6" s="3409"/>
      <c r="U6" s="3410"/>
      <c r="V6" s="3392"/>
      <c r="W6" s="3392"/>
      <c r="X6" s="1264"/>
      <c r="Y6" s="3409"/>
      <c r="Z6" s="3410"/>
      <c r="AA6" s="3395"/>
      <c r="AB6" s="3395"/>
      <c r="AC6" s="3395"/>
    </row>
    <row r="7" spans="1:29" s="101" customFormat="1" ht="15.75" thickBot="1">
      <c r="A7" s="351" t="s">
        <v>1679</v>
      </c>
      <c r="B7" s="352"/>
      <c r="C7" s="353">
        <f>'数据-取费表'!B2</f>
        <v>45819</v>
      </c>
      <c r="D7" s="354">
        <v>100</v>
      </c>
      <c r="E7" s="355"/>
      <c r="F7" s="356">
        <f>SUMIF(48:48,YEAR(E7)&amp;"-"&amp;MONTH(E7),49:49)</f>
        <v>0</v>
      </c>
      <c r="G7" s="355"/>
      <c r="H7" s="354">
        <f>SUMIF(48:48,YEAR(G7)&amp;"-"&amp;MONTH(G7),49:49)</f>
        <v>0</v>
      </c>
      <c r="I7" s="355"/>
      <c r="J7" s="354">
        <f>SUMIF(48:48,YEAR(I7)&amp;"-"&amp;MONTH(I7),49:49)</f>
        <v>0</v>
      </c>
      <c r="K7" s="37"/>
      <c r="L7" s="2488"/>
      <c r="M7" s="2439"/>
      <c r="N7" s="2439"/>
      <c r="O7" s="2439"/>
      <c r="P7" s="3415" t="s">
        <v>1680</v>
      </c>
      <c r="Q7" s="3417"/>
      <c r="R7" s="663" t="s">
        <v>14</v>
      </c>
      <c r="S7" s="664">
        <f t="shared" ref="S7:S14" si="0">F7</f>
        <v>0</v>
      </c>
      <c r="T7" s="663" t="s">
        <v>14</v>
      </c>
      <c r="U7" s="664">
        <f t="shared" ref="U7:U14" si="1">H7</f>
        <v>0</v>
      </c>
      <c r="V7" s="663" t="s">
        <v>14</v>
      </c>
      <c r="W7" s="664">
        <f t="shared" ref="W7:W14" si="2">J7</f>
        <v>0</v>
      </c>
      <c r="X7" s="665"/>
      <c r="Y7" s="3415" t="s">
        <v>1680</v>
      </c>
      <c r="Z7" s="3416"/>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8"/>
      <c r="M8" s="2439"/>
      <c r="N8" s="2439"/>
      <c r="O8" s="2439"/>
      <c r="P8" s="3415" t="s">
        <v>1683</v>
      </c>
      <c r="Q8" s="3416"/>
      <c r="R8" s="663" t="s">
        <v>14</v>
      </c>
      <c r="S8" s="664">
        <f t="shared" si="0"/>
        <v>100</v>
      </c>
      <c r="T8" s="663" t="s">
        <v>14</v>
      </c>
      <c r="U8" s="664">
        <f t="shared" si="1"/>
        <v>100</v>
      </c>
      <c r="V8" s="663" t="s">
        <v>14</v>
      </c>
      <c r="W8" s="664">
        <f t="shared" si="2"/>
        <v>100</v>
      </c>
      <c r="X8" s="665"/>
      <c r="Y8" s="3415" t="s">
        <v>1683</v>
      </c>
      <c r="Z8" s="3416"/>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8"/>
      <c r="M9" s="2439"/>
      <c r="N9" s="2439"/>
      <c r="O9" s="2439"/>
      <c r="P9" s="3387" t="s">
        <v>1686</v>
      </c>
      <c r="Q9" s="529" t="str">
        <f t="shared" ref="Q9:Q14" si="6">B9</f>
        <v>用途</v>
      </c>
      <c r="R9" s="663" t="s">
        <v>14</v>
      </c>
      <c r="S9" s="664">
        <f t="shared" si="0"/>
        <v>100</v>
      </c>
      <c r="T9" s="663" t="s">
        <v>14</v>
      </c>
      <c r="U9" s="664">
        <f t="shared" si="1"/>
        <v>100</v>
      </c>
      <c r="V9" s="663" t="s">
        <v>14</v>
      </c>
      <c r="W9" s="664">
        <f t="shared" si="2"/>
        <v>100</v>
      </c>
      <c r="X9" s="665"/>
      <c r="Y9" s="3284" t="s">
        <v>1687</v>
      </c>
      <c r="Z9" s="49" t="str">
        <f t="shared" ref="Z9:Z14" si="7">Q9</f>
        <v>用途</v>
      </c>
      <c r="AA9" s="49">
        <f t="shared" si="3"/>
        <v>1</v>
      </c>
      <c r="AB9" s="49">
        <f t="shared" si="4"/>
        <v>1</v>
      </c>
      <c r="AC9" s="49">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7"/>
      <c r="L10" s="2489"/>
      <c r="M10" s="2490"/>
      <c r="N10" s="2490"/>
      <c r="O10" s="2490"/>
      <c r="P10" s="3387"/>
      <c r="Q10" s="529" t="str">
        <f t="shared" si="6"/>
        <v>土地使用年限（年）</v>
      </c>
      <c r="R10" s="663" t="s">
        <v>14</v>
      </c>
      <c r="S10" s="664">
        <f t="shared" si="0"/>
        <v>100</v>
      </c>
      <c r="T10" s="663" t="s">
        <v>14</v>
      </c>
      <c r="U10" s="664">
        <f t="shared" si="1"/>
        <v>100</v>
      </c>
      <c r="V10" s="663" t="s">
        <v>14</v>
      </c>
      <c r="W10" s="664">
        <f t="shared" si="2"/>
        <v>100</v>
      </c>
      <c r="X10" s="665"/>
      <c r="Y10" s="3284"/>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87"/>
      <c r="Q11" s="529">
        <f t="shared" si="6"/>
        <v>111</v>
      </c>
      <c r="R11" s="663" t="s">
        <v>14</v>
      </c>
      <c r="S11" s="664">
        <f t="shared" si="0"/>
        <v>100</v>
      </c>
      <c r="T11" s="663" t="s">
        <v>14</v>
      </c>
      <c r="U11" s="664">
        <f t="shared" si="1"/>
        <v>100</v>
      </c>
      <c r="V11" s="663" t="s">
        <v>14</v>
      </c>
      <c r="W11" s="664">
        <f t="shared" si="2"/>
        <v>100</v>
      </c>
      <c r="X11" s="665"/>
      <c r="Y11" s="3284"/>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87"/>
      <c r="Q12" s="529">
        <f t="shared" si="6"/>
        <v>111</v>
      </c>
      <c r="R12" s="663" t="s">
        <v>14</v>
      </c>
      <c r="S12" s="664">
        <f t="shared" si="0"/>
        <v>100</v>
      </c>
      <c r="T12" s="663" t="s">
        <v>14</v>
      </c>
      <c r="U12" s="664">
        <f t="shared" si="1"/>
        <v>100</v>
      </c>
      <c r="V12" s="663" t="s">
        <v>14</v>
      </c>
      <c r="W12" s="664">
        <f t="shared" si="2"/>
        <v>100</v>
      </c>
      <c r="X12" s="665"/>
      <c r="Y12" s="3284"/>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87"/>
      <c r="Q13" s="529">
        <f t="shared" si="6"/>
        <v>111</v>
      </c>
      <c r="R13" s="663" t="s">
        <v>14</v>
      </c>
      <c r="S13" s="664">
        <f t="shared" si="0"/>
        <v>100</v>
      </c>
      <c r="T13" s="663" t="s">
        <v>14</v>
      </c>
      <c r="U13" s="664">
        <f t="shared" si="1"/>
        <v>100</v>
      </c>
      <c r="V13" s="663" t="s">
        <v>14</v>
      </c>
      <c r="W13" s="664">
        <f t="shared" si="2"/>
        <v>100</v>
      </c>
      <c r="X13" s="665"/>
      <c r="Y13" s="3284"/>
      <c r="Z13" s="49">
        <f t="shared" si="7"/>
        <v>111</v>
      </c>
      <c r="AA13" s="49">
        <f t="shared" si="3"/>
        <v>1</v>
      </c>
      <c r="AB13" s="49">
        <f t="shared" si="4"/>
        <v>1</v>
      </c>
      <c r="AC13" s="49">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88" t="s">
        <v>1691</v>
      </c>
      <c r="Q14" s="1262" t="str">
        <f t="shared" si="6"/>
        <v>交通便捷度</v>
      </c>
      <c r="R14" s="666" t="s">
        <v>14</v>
      </c>
      <c r="S14" s="667">
        <f t="shared" si="0"/>
        <v>100</v>
      </c>
      <c r="T14" s="666" t="s">
        <v>14</v>
      </c>
      <c r="U14" s="667">
        <f t="shared" si="1"/>
        <v>100</v>
      </c>
      <c r="V14" s="666" t="s">
        <v>14</v>
      </c>
      <c r="W14" s="667">
        <f t="shared" si="2"/>
        <v>100</v>
      </c>
      <c r="X14" s="1264"/>
      <c r="Y14" s="3388"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89"/>
      <c r="Q15" s="1262"/>
      <c r="R15" s="666"/>
      <c r="S15" s="667"/>
      <c r="T15" s="666"/>
      <c r="U15" s="667"/>
      <c r="V15" s="666"/>
      <c r="W15" s="667"/>
      <c r="X15" s="1264"/>
      <c r="Y15" s="3389"/>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89"/>
      <c r="Q16" s="1262" t="str">
        <f>B16</f>
        <v>公共配套设施</v>
      </c>
      <c r="R16" s="666" t="s">
        <v>14</v>
      </c>
      <c r="S16" s="667">
        <f>F16</f>
        <v>100</v>
      </c>
      <c r="T16" s="666" t="s">
        <v>14</v>
      </c>
      <c r="U16" s="667">
        <f>H16</f>
        <v>100</v>
      </c>
      <c r="V16" s="666" t="s">
        <v>14</v>
      </c>
      <c r="W16" s="667">
        <f>J16</f>
        <v>100</v>
      </c>
      <c r="X16" s="1264"/>
      <c r="Y16" s="3389"/>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89"/>
      <c r="Q17" s="1262"/>
      <c r="R17" s="666"/>
      <c r="S17" s="667"/>
      <c r="T17" s="666"/>
      <c r="U17" s="667"/>
      <c r="V17" s="666"/>
      <c r="W17" s="667"/>
      <c r="X17" s="1264"/>
      <c r="Y17" s="3389"/>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89"/>
      <c r="Q18" s="1262" t="str">
        <f>B18</f>
        <v>基础设施水平</v>
      </c>
      <c r="R18" s="666" t="s">
        <v>14</v>
      </c>
      <c r="S18" s="667">
        <f>F18</f>
        <v>100</v>
      </c>
      <c r="T18" s="666" t="s">
        <v>14</v>
      </c>
      <c r="U18" s="667">
        <f>H18</f>
        <v>100</v>
      </c>
      <c r="V18" s="666" t="s">
        <v>14</v>
      </c>
      <c r="W18" s="667">
        <f>J18</f>
        <v>100</v>
      </c>
      <c r="X18" s="1264"/>
      <c r="Y18" s="3389"/>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89"/>
      <c r="Q19" s="1262"/>
      <c r="R19" s="666"/>
      <c r="S19" s="667"/>
      <c r="T19" s="666"/>
      <c r="U19" s="667"/>
      <c r="V19" s="666"/>
      <c r="W19" s="667"/>
      <c r="X19" s="1264"/>
      <c r="Y19" s="3389"/>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89"/>
      <c r="Q20" s="1262" t="str">
        <f>B20</f>
        <v>自然及人文环境</v>
      </c>
      <c r="R20" s="666" t="s">
        <v>14</v>
      </c>
      <c r="S20" s="667">
        <f>F20</f>
        <v>100</v>
      </c>
      <c r="T20" s="666" t="s">
        <v>14</v>
      </c>
      <c r="U20" s="667">
        <f>H20</f>
        <v>100</v>
      </c>
      <c r="V20" s="666" t="s">
        <v>14</v>
      </c>
      <c r="W20" s="667">
        <f>J20</f>
        <v>100</v>
      </c>
      <c r="X20" s="1264"/>
      <c r="Y20" s="338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89"/>
      <c r="Q21" s="1262"/>
      <c r="R21" s="666"/>
      <c r="S21" s="667"/>
      <c r="T21" s="666"/>
      <c r="U21" s="667"/>
      <c r="V21" s="666"/>
      <c r="W21" s="667"/>
      <c r="X21" s="1264"/>
      <c r="Y21" s="3389"/>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89"/>
      <c r="Q22" s="1262" t="str">
        <f>B22</f>
        <v>楼层</v>
      </c>
      <c r="R22" s="666" t="s">
        <v>14</v>
      </c>
      <c r="S22" s="667">
        <f>F22</f>
        <v>100</v>
      </c>
      <c r="T22" s="666" t="s">
        <v>14</v>
      </c>
      <c r="U22" s="667">
        <f>H22</f>
        <v>100</v>
      </c>
      <c r="V22" s="666" t="s">
        <v>14</v>
      </c>
      <c r="W22" s="667">
        <f>J22</f>
        <v>100</v>
      </c>
      <c r="X22" s="1264"/>
      <c r="Y22" s="338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89"/>
      <c r="Q23" s="1262">
        <f>B23</f>
        <v>111</v>
      </c>
      <c r="R23" s="666" t="s">
        <v>14</v>
      </c>
      <c r="S23" s="667">
        <f>F23</f>
        <v>100</v>
      </c>
      <c r="T23" s="666" t="s">
        <v>14</v>
      </c>
      <c r="U23" s="667">
        <f>H23</f>
        <v>100</v>
      </c>
      <c r="V23" s="666" t="s">
        <v>14</v>
      </c>
      <c r="W23" s="667">
        <f>J23</f>
        <v>100</v>
      </c>
      <c r="X23" s="1264"/>
      <c r="Y23" s="338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89"/>
      <c r="Q24" s="1262">
        <f t="shared" ref="Q24:Q36" si="11">B24</f>
        <v>111</v>
      </c>
      <c r="R24" s="666" t="s">
        <v>14</v>
      </c>
      <c r="S24" s="667">
        <f>F24</f>
        <v>100</v>
      </c>
      <c r="T24" s="666" t="s">
        <v>14</v>
      </c>
      <c r="U24" s="667">
        <f>H24</f>
        <v>100</v>
      </c>
      <c r="V24" s="666" t="s">
        <v>14</v>
      </c>
      <c r="W24" s="667">
        <f>J24</f>
        <v>100</v>
      </c>
      <c r="X24" s="1264"/>
      <c r="Y24" s="3389"/>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89"/>
      <c r="Q25" s="529">
        <f t="shared" si="11"/>
        <v>111</v>
      </c>
      <c r="R25" s="663" t="s">
        <v>14</v>
      </c>
      <c r="S25" s="664">
        <f>F25</f>
        <v>100</v>
      </c>
      <c r="T25" s="663" t="s">
        <v>14</v>
      </c>
      <c r="U25" s="664">
        <f>H25</f>
        <v>100</v>
      </c>
      <c r="V25" s="663" t="s">
        <v>14</v>
      </c>
      <c r="W25" s="664">
        <f>J25</f>
        <v>100</v>
      </c>
      <c r="X25" s="665"/>
      <c r="Y25" s="3389"/>
      <c r="Z25" s="49">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390"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1"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91"/>
      <c r="Q27" s="530" t="str">
        <f t="shared" si="11"/>
        <v>项目停车位配比</v>
      </c>
      <c r="R27" s="668" t="s">
        <v>14</v>
      </c>
      <c r="S27" s="669">
        <f t="shared" si="12"/>
        <v>100</v>
      </c>
      <c r="T27" s="668" t="s">
        <v>14</v>
      </c>
      <c r="U27" s="669">
        <f t="shared" si="13"/>
        <v>100</v>
      </c>
      <c r="V27" s="668" t="s">
        <v>14</v>
      </c>
      <c r="W27" s="669">
        <f t="shared" si="14"/>
        <v>100</v>
      </c>
      <c r="X27" s="670"/>
      <c r="Y27" s="3391"/>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91"/>
      <c r="Q28" s="1262" t="str">
        <f t="shared" si="11"/>
        <v>公共部分装修</v>
      </c>
      <c r="R28" s="666" t="s">
        <v>14</v>
      </c>
      <c r="S28" s="667">
        <f t="shared" si="12"/>
        <v>100</v>
      </c>
      <c r="T28" s="666" t="s">
        <v>14</v>
      </c>
      <c r="U28" s="667">
        <f t="shared" si="13"/>
        <v>100</v>
      </c>
      <c r="V28" s="666" t="s">
        <v>14</v>
      </c>
      <c r="W28" s="667">
        <f t="shared" si="14"/>
        <v>100</v>
      </c>
      <c r="X28" s="1264"/>
      <c r="Y28" s="3391"/>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91"/>
      <c r="Q29" s="1262" t="str">
        <f t="shared" si="11"/>
        <v>成新率</v>
      </c>
      <c r="R29" s="666" t="s">
        <v>14</v>
      </c>
      <c r="S29" s="667" t="e">
        <f t="shared" si="12"/>
        <v>#N/A</v>
      </c>
      <c r="T29" s="666" t="s">
        <v>14</v>
      </c>
      <c r="U29" s="667" t="e">
        <f t="shared" si="13"/>
        <v>#N/A</v>
      </c>
      <c r="V29" s="666" t="s">
        <v>14</v>
      </c>
      <c r="W29" s="667" t="e">
        <f t="shared" si="14"/>
        <v>#N/A</v>
      </c>
      <c r="X29" s="1264"/>
      <c r="Y29" s="3391"/>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91"/>
      <c r="Q30" s="1262" t="str">
        <f t="shared" si="11"/>
        <v>物业等级</v>
      </c>
      <c r="R30" s="666" t="s">
        <v>14</v>
      </c>
      <c r="S30" s="667">
        <f t="shared" si="12"/>
        <v>100</v>
      </c>
      <c r="T30" s="666" t="s">
        <v>14</v>
      </c>
      <c r="U30" s="667">
        <f t="shared" si="13"/>
        <v>100</v>
      </c>
      <c r="V30" s="666" t="s">
        <v>14</v>
      </c>
      <c r="W30" s="667">
        <f t="shared" si="14"/>
        <v>100</v>
      </c>
      <c r="X30" s="1264"/>
      <c r="Y30" s="3391"/>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91"/>
      <c r="Q31" s="529" t="str">
        <f t="shared" si="11"/>
        <v>停车位面积</v>
      </c>
      <c r="R31" s="663" t="s">
        <v>14</v>
      </c>
      <c r="S31" s="664" t="e">
        <f t="shared" si="12"/>
        <v>#N/A</v>
      </c>
      <c r="T31" s="663" t="s">
        <v>14</v>
      </c>
      <c r="U31" s="664" t="e">
        <f t="shared" si="13"/>
        <v>#N/A</v>
      </c>
      <c r="V31" s="663" t="s">
        <v>14</v>
      </c>
      <c r="W31" s="664" t="e">
        <f t="shared" si="14"/>
        <v>#N/A</v>
      </c>
      <c r="X31" s="665"/>
      <c r="Y31" s="3391"/>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91" t="s">
        <v>1696</v>
      </c>
      <c r="Q32" s="1262" t="str">
        <f t="shared" si="11"/>
        <v>车位类型</v>
      </c>
      <c r="R32" s="666" t="s">
        <v>14</v>
      </c>
      <c r="S32" s="667">
        <f t="shared" si="12"/>
        <v>100</v>
      </c>
      <c r="T32" s="666" t="s">
        <v>14</v>
      </c>
      <c r="U32" s="667">
        <f t="shared" si="13"/>
        <v>100</v>
      </c>
      <c r="V32" s="666" t="s">
        <v>14</v>
      </c>
      <c r="W32" s="667">
        <f t="shared" si="14"/>
        <v>100</v>
      </c>
      <c r="X32" s="1264"/>
      <c r="Y32" s="3391"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91"/>
      <c r="Q33" s="1262" t="str">
        <f t="shared" si="11"/>
        <v>是否直接入户</v>
      </c>
      <c r="R33" s="666" t="s">
        <v>14</v>
      </c>
      <c r="S33" s="667">
        <f t="shared" si="12"/>
        <v>100</v>
      </c>
      <c r="T33" s="666" t="s">
        <v>14</v>
      </c>
      <c r="U33" s="667">
        <f t="shared" si="13"/>
        <v>100</v>
      </c>
      <c r="V33" s="666" t="s">
        <v>14</v>
      </c>
      <c r="W33" s="667">
        <f t="shared" si="14"/>
        <v>100</v>
      </c>
      <c r="X33" s="1264"/>
      <c r="Y33" s="3391"/>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91"/>
      <c r="Q34" s="1262">
        <f t="shared" si="11"/>
        <v>111</v>
      </c>
      <c r="R34" s="666" t="s">
        <v>14</v>
      </c>
      <c r="S34" s="667">
        <f t="shared" si="12"/>
        <v>100</v>
      </c>
      <c r="T34" s="666" t="s">
        <v>14</v>
      </c>
      <c r="U34" s="667">
        <f t="shared" si="13"/>
        <v>100</v>
      </c>
      <c r="V34" s="666" t="s">
        <v>14</v>
      </c>
      <c r="W34" s="667">
        <f t="shared" si="14"/>
        <v>100</v>
      </c>
      <c r="X34" s="1264"/>
      <c r="Y34" s="3391"/>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91"/>
      <c r="Q35" s="530">
        <f t="shared" si="11"/>
        <v>111</v>
      </c>
      <c r="R35" s="668" t="s">
        <v>14</v>
      </c>
      <c r="S35" s="669">
        <f t="shared" si="12"/>
        <v>100</v>
      </c>
      <c r="T35" s="668" t="s">
        <v>14</v>
      </c>
      <c r="U35" s="669">
        <f t="shared" si="13"/>
        <v>100</v>
      </c>
      <c r="V35" s="668" t="s">
        <v>14</v>
      </c>
      <c r="W35" s="669">
        <f t="shared" si="14"/>
        <v>100</v>
      </c>
      <c r="X35" s="670"/>
      <c r="Y35" s="3391"/>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91"/>
      <c r="Q36" s="1262">
        <f t="shared" si="11"/>
        <v>111</v>
      </c>
      <c r="R36" s="666" t="s">
        <v>14</v>
      </c>
      <c r="S36" s="667">
        <f t="shared" si="12"/>
        <v>100</v>
      </c>
      <c r="T36" s="666" t="s">
        <v>14</v>
      </c>
      <c r="U36" s="667">
        <f t="shared" si="13"/>
        <v>100</v>
      </c>
      <c r="V36" s="666" t="s">
        <v>14</v>
      </c>
      <c r="W36" s="667">
        <f t="shared" si="14"/>
        <v>100</v>
      </c>
      <c r="X36" s="1264"/>
      <c r="Y36" s="3391"/>
      <c r="Z36" s="1263">
        <f t="shared" si="15"/>
        <v>111</v>
      </c>
      <c r="AA36" s="1263">
        <f t="shared" si="3"/>
        <v>1</v>
      </c>
      <c r="AB36" s="1263">
        <f t="shared" si="4"/>
        <v>1</v>
      </c>
      <c r="AC36" s="1263">
        <f t="shared" si="5"/>
        <v>1</v>
      </c>
    </row>
    <row r="37" spans="1:29" ht="15">
      <c r="A37" s="415" t="s">
        <v>1844</v>
      </c>
      <c r="B37" s="1820" t="s">
        <v>3345</v>
      </c>
      <c r="C37" s="1080" t="s">
        <v>0</v>
      </c>
      <c r="D37" s="417"/>
      <c r="E37" s="418"/>
      <c r="F37" s="419"/>
      <c r="G37" s="420"/>
      <c r="H37" s="421"/>
      <c r="I37" s="418"/>
      <c r="J37" s="421"/>
      <c r="K37" s="544"/>
      <c r="L37" s="2494"/>
      <c r="M37" s="2487"/>
      <c r="N37" s="2487"/>
      <c r="O37" s="2487"/>
      <c r="P37" s="3387" t="str">
        <f>A37</f>
        <v>成交单价</v>
      </c>
      <c r="Q37" s="3387"/>
      <c r="R37" s="3392">
        <f>E37</f>
        <v>0</v>
      </c>
      <c r="S37" s="3392"/>
      <c r="T37" s="3392">
        <f>G37</f>
        <v>0</v>
      </c>
      <c r="U37" s="3392"/>
      <c r="V37" s="3392">
        <f>I37</f>
        <v>0</v>
      </c>
      <c r="W37" s="3392"/>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87" t="str">
        <f>A38</f>
        <v>比较价值（元/平方米）</v>
      </c>
      <c r="Q38" s="3387"/>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381" t="str">
        <f>A39</f>
        <v>估价对象XX用房的比较价值（楼面单价，元/平方米）</v>
      </c>
      <c r="Q39" s="3382"/>
      <c r="R39" s="3476" t="e">
        <f>IF(F1="售价",ROUND(IF(D38="简单平均",AVERAGE(R38:W38),R38*F38+T38*H38+V38*J38),0),ROUND(IF(D38="简单平均",AVERAGE(R38:V38),R38*F38+T38*H38+V38*J38),1))</f>
        <v>#DIV/0!</v>
      </c>
      <c r="S39" s="3476"/>
      <c r="T39" s="3476"/>
      <c r="U39" s="3476"/>
      <c r="V39" s="3476"/>
      <c r="W39" s="3476"/>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1681</v>
      </c>
      <c r="B51" s="443"/>
      <c r="C51" s="455" t="s">
        <v>1776</v>
      </c>
      <c r="D51" s="30"/>
      <c r="E51" s="30"/>
      <c r="F51" s="30"/>
      <c r="G51" s="30"/>
      <c r="H51" s="30"/>
      <c r="I51" s="30"/>
      <c r="J51" s="30"/>
      <c r="K51" s="30"/>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3325</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84" t="s">
        <v>1770</v>
      </c>
      <c r="D4" s="3396"/>
      <c r="E4" s="3397" t="s">
        <v>1771</v>
      </c>
      <c r="F4" s="3398"/>
      <c r="G4" s="3384" t="s">
        <v>1772</v>
      </c>
      <c r="H4" s="3396"/>
      <c r="I4" s="3384" t="s">
        <v>1773</v>
      </c>
      <c r="J4" s="3396"/>
      <c r="K4" s="536" t="s">
        <v>1774</v>
      </c>
      <c r="L4" s="2486"/>
      <c r="M4" s="2487"/>
      <c r="N4" s="2487"/>
      <c r="O4" s="2487"/>
      <c r="P4" s="3399" t="s">
        <v>1775</v>
      </c>
      <c r="Q4" s="3400"/>
      <c r="R4" s="3405" t="s">
        <v>1771</v>
      </c>
      <c r="S4" s="3406"/>
      <c r="T4" s="3405" t="s">
        <v>1772</v>
      </c>
      <c r="U4" s="3406"/>
      <c r="V4" s="3392" t="s">
        <v>1773</v>
      </c>
      <c r="W4" s="3392"/>
      <c r="X4" s="1264"/>
      <c r="Y4" s="3405" t="s">
        <v>1775</v>
      </c>
      <c r="Z4" s="3406"/>
      <c r="AA4" s="3393" t="s">
        <v>1771</v>
      </c>
      <c r="AB4" s="3394" t="s">
        <v>1772</v>
      </c>
      <c r="AC4" s="3393" t="s">
        <v>1773</v>
      </c>
    </row>
    <row r="5" spans="1:29" ht="15">
      <c r="A5" s="347"/>
      <c r="B5" s="348"/>
      <c r="C5" s="3413" t="s">
        <v>1673</v>
      </c>
      <c r="D5" s="3414"/>
      <c r="E5" s="3420" t="s">
        <v>1674</v>
      </c>
      <c r="F5" s="3421"/>
      <c r="G5" s="3413" t="s">
        <v>1675</v>
      </c>
      <c r="H5" s="3414"/>
      <c r="I5" s="3413" t="s">
        <v>1676</v>
      </c>
      <c r="J5" s="3414"/>
      <c r="K5" s="536"/>
      <c r="L5" s="2486"/>
      <c r="M5" s="2487"/>
      <c r="N5" s="2487"/>
      <c r="O5" s="2487"/>
      <c r="P5" s="3401"/>
      <c r="Q5" s="3402"/>
      <c r="R5" s="3407"/>
      <c r="S5" s="3408"/>
      <c r="T5" s="3407"/>
      <c r="U5" s="3408"/>
      <c r="V5" s="3392"/>
      <c r="W5" s="3392"/>
      <c r="X5" s="1264"/>
      <c r="Y5" s="3407"/>
      <c r="Z5" s="3408"/>
      <c r="AA5" s="3394"/>
      <c r="AB5" s="3394"/>
      <c r="AC5" s="3394"/>
    </row>
    <row r="6" spans="1:29" ht="15.75" thickBot="1">
      <c r="A6" s="349"/>
      <c r="B6" s="350"/>
      <c r="C6" s="3411" t="s">
        <v>1677</v>
      </c>
      <c r="D6" s="3412"/>
      <c r="E6" s="3418" t="s">
        <v>1677</v>
      </c>
      <c r="F6" s="3419"/>
      <c r="G6" s="3411" t="s">
        <v>1677</v>
      </c>
      <c r="H6" s="3412"/>
      <c r="I6" s="3411" t="s">
        <v>1677</v>
      </c>
      <c r="J6" s="3412"/>
      <c r="K6" s="536" t="s">
        <v>1678</v>
      </c>
      <c r="L6" s="2486"/>
      <c r="M6" s="2487"/>
      <c r="N6" s="2487"/>
      <c r="O6" s="2487"/>
      <c r="P6" s="3403"/>
      <c r="Q6" s="3404"/>
      <c r="R6" s="3407"/>
      <c r="S6" s="3408"/>
      <c r="T6" s="3409"/>
      <c r="U6" s="3410"/>
      <c r="V6" s="3392"/>
      <c r="W6" s="3392"/>
      <c r="X6" s="1264"/>
      <c r="Y6" s="3409"/>
      <c r="Z6" s="3410"/>
      <c r="AA6" s="3395"/>
      <c r="AB6" s="3395"/>
      <c r="AC6" s="3395"/>
    </row>
    <row r="7" spans="1:29" s="101" customFormat="1" ht="15.75" thickBot="1">
      <c r="A7" s="351" t="s">
        <v>1679</v>
      </c>
      <c r="B7" s="352"/>
      <c r="C7" s="353">
        <f>'数据-取费表'!B2</f>
        <v>45819</v>
      </c>
      <c r="D7" s="354">
        <v>100</v>
      </c>
      <c r="E7" s="355"/>
      <c r="F7" s="356">
        <f>SUMIF(46:46,YEAR(E7)&amp;"-"&amp;MONTH(E7),47:47)</f>
        <v>0</v>
      </c>
      <c r="G7" s="1821"/>
      <c r="H7" s="354">
        <f>SUMIF(46:46,YEAR(G7)&amp;"-"&amp;MONTH(G7),47:47)</f>
        <v>0</v>
      </c>
      <c r="I7" s="355"/>
      <c r="J7" s="354">
        <f>SUMIF(46:46,YEAR(I7)&amp;"-"&amp;MONTH(I7),47:47)</f>
        <v>0</v>
      </c>
      <c r="K7" s="37"/>
      <c r="L7" s="2488"/>
      <c r="M7" s="2439"/>
      <c r="N7" s="2439"/>
      <c r="O7" s="2439"/>
      <c r="P7" s="3415" t="s">
        <v>1680</v>
      </c>
      <c r="Q7" s="3417"/>
      <c r="R7" s="663" t="s">
        <v>14</v>
      </c>
      <c r="S7" s="664">
        <f t="shared" ref="S7:S14" si="0">F7</f>
        <v>0</v>
      </c>
      <c r="T7" s="663" t="s">
        <v>14</v>
      </c>
      <c r="U7" s="664">
        <f t="shared" ref="U7:U14" si="1">H7</f>
        <v>0</v>
      </c>
      <c r="V7" s="663" t="s">
        <v>14</v>
      </c>
      <c r="W7" s="664">
        <f t="shared" ref="W7:W14" si="2">J7</f>
        <v>0</v>
      </c>
      <c r="X7" s="665"/>
      <c r="Y7" s="3415" t="s">
        <v>1680</v>
      </c>
      <c r="Z7" s="3416"/>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8"/>
      <c r="M8" s="2439"/>
      <c r="N8" s="2439"/>
      <c r="O8" s="2439"/>
      <c r="P8" s="3415" t="s">
        <v>1683</v>
      </c>
      <c r="Q8" s="3416"/>
      <c r="R8" s="663" t="s">
        <v>14</v>
      </c>
      <c r="S8" s="664">
        <f t="shared" si="0"/>
        <v>100</v>
      </c>
      <c r="T8" s="663" t="s">
        <v>14</v>
      </c>
      <c r="U8" s="664">
        <f t="shared" si="1"/>
        <v>100</v>
      </c>
      <c r="V8" s="663" t="s">
        <v>14</v>
      </c>
      <c r="W8" s="664">
        <f t="shared" si="2"/>
        <v>100</v>
      </c>
      <c r="X8" s="665"/>
      <c r="Y8" s="3415" t="s">
        <v>1683</v>
      </c>
      <c r="Z8" s="3416"/>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8"/>
      <c r="M9" s="2439"/>
      <c r="N9" s="2439"/>
      <c r="O9" s="2540"/>
      <c r="P9" s="3387" t="s">
        <v>1686</v>
      </c>
      <c r="Q9" s="529" t="str">
        <f t="shared" ref="Q9:Q14" si="6">B9</f>
        <v>用途</v>
      </c>
      <c r="R9" s="663" t="s">
        <v>14</v>
      </c>
      <c r="S9" s="664">
        <f t="shared" si="0"/>
        <v>100</v>
      </c>
      <c r="T9" s="663" t="s">
        <v>14</v>
      </c>
      <c r="U9" s="664">
        <f t="shared" si="1"/>
        <v>100</v>
      </c>
      <c r="V9" s="663" t="s">
        <v>14</v>
      </c>
      <c r="W9" s="664">
        <f t="shared" si="2"/>
        <v>100</v>
      </c>
      <c r="X9" s="665"/>
      <c r="Y9" s="3284" t="s">
        <v>1687</v>
      </c>
      <c r="Z9" s="49" t="str">
        <f t="shared" ref="Z9:Z14" si="7">Q9</f>
        <v>用途</v>
      </c>
      <c r="AA9" s="49">
        <f t="shared" si="3"/>
        <v>1</v>
      </c>
      <c r="AB9" s="49">
        <f t="shared" si="4"/>
        <v>1</v>
      </c>
      <c r="AC9" s="49">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7"/>
      <c r="L10" s="2489"/>
      <c r="M10" s="2490"/>
      <c r="N10" s="2490"/>
      <c r="O10" s="2541"/>
      <c r="P10" s="3387"/>
      <c r="Q10" s="529" t="str">
        <f t="shared" si="6"/>
        <v>土地使用年限（年）</v>
      </c>
      <c r="R10" s="663" t="s">
        <v>14</v>
      </c>
      <c r="S10" s="664">
        <f t="shared" si="0"/>
        <v>100</v>
      </c>
      <c r="T10" s="663" t="s">
        <v>14</v>
      </c>
      <c r="U10" s="664">
        <f t="shared" si="1"/>
        <v>100</v>
      </c>
      <c r="V10" s="663" t="s">
        <v>14</v>
      </c>
      <c r="W10" s="664">
        <f t="shared" si="2"/>
        <v>100</v>
      </c>
      <c r="X10" s="665"/>
      <c r="Y10" s="3284"/>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87"/>
      <c r="Q11" s="529">
        <f t="shared" si="6"/>
        <v>111</v>
      </c>
      <c r="R11" s="663" t="s">
        <v>14</v>
      </c>
      <c r="S11" s="664">
        <f t="shared" si="0"/>
        <v>100</v>
      </c>
      <c r="T11" s="663" t="s">
        <v>14</v>
      </c>
      <c r="U11" s="664">
        <f t="shared" si="1"/>
        <v>100</v>
      </c>
      <c r="V11" s="663" t="s">
        <v>14</v>
      </c>
      <c r="W11" s="664">
        <f t="shared" si="2"/>
        <v>100</v>
      </c>
      <c r="X11" s="665"/>
      <c r="Y11" s="3284"/>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87"/>
      <c r="Q12" s="529">
        <f t="shared" si="6"/>
        <v>111</v>
      </c>
      <c r="R12" s="663" t="s">
        <v>14</v>
      </c>
      <c r="S12" s="664">
        <f t="shared" si="0"/>
        <v>100</v>
      </c>
      <c r="T12" s="663" t="s">
        <v>14</v>
      </c>
      <c r="U12" s="664">
        <f t="shared" si="1"/>
        <v>100</v>
      </c>
      <c r="V12" s="663" t="s">
        <v>14</v>
      </c>
      <c r="W12" s="664">
        <f t="shared" si="2"/>
        <v>100</v>
      </c>
      <c r="X12" s="665"/>
      <c r="Y12" s="3284"/>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87"/>
      <c r="Q13" s="529">
        <f t="shared" si="6"/>
        <v>111</v>
      </c>
      <c r="R13" s="663" t="s">
        <v>14</v>
      </c>
      <c r="S13" s="664">
        <f t="shared" si="0"/>
        <v>100</v>
      </c>
      <c r="T13" s="663" t="s">
        <v>14</v>
      </c>
      <c r="U13" s="664">
        <f t="shared" si="1"/>
        <v>100</v>
      </c>
      <c r="V13" s="663" t="s">
        <v>14</v>
      </c>
      <c r="W13" s="664">
        <f t="shared" si="2"/>
        <v>100</v>
      </c>
      <c r="X13" s="665"/>
      <c r="Y13" s="3284"/>
      <c r="Z13" s="49">
        <f t="shared" si="7"/>
        <v>111</v>
      </c>
      <c r="AA13" s="49">
        <f t="shared" si="3"/>
        <v>1</v>
      </c>
      <c r="AB13" s="49">
        <f t="shared" si="4"/>
        <v>1</v>
      </c>
      <c r="AC13" s="49">
        <f t="shared" si="5"/>
        <v>1</v>
      </c>
    </row>
    <row r="14" spans="1:29" ht="15">
      <c r="A14" s="378" t="s">
        <v>1690</v>
      </c>
      <c r="B14" s="57"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88" t="s">
        <v>1691</v>
      </c>
      <c r="Q14" s="1262" t="str">
        <f t="shared" si="6"/>
        <v>交通便捷度</v>
      </c>
      <c r="R14" s="666" t="s">
        <v>14</v>
      </c>
      <c r="S14" s="667">
        <f t="shared" si="0"/>
        <v>100</v>
      </c>
      <c r="T14" s="666" t="s">
        <v>14</v>
      </c>
      <c r="U14" s="667">
        <f t="shared" si="1"/>
        <v>100</v>
      </c>
      <c r="V14" s="666" t="s">
        <v>14</v>
      </c>
      <c r="W14" s="667">
        <f t="shared" si="2"/>
        <v>100</v>
      </c>
      <c r="X14" s="1264"/>
      <c r="Y14" s="3388"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89"/>
      <c r="Q15" s="1262"/>
      <c r="R15" s="666"/>
      <c r="S15" s="667"/>
      <c r="T15" s="666"/>
      <c r="U15" s="667"/>
      <c r="V15" s="666"/>
      <c r="W15" s="667"/>
      <c r="X15" s="1264"/>
      <c r="Y15" s="3389"/>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89"/>
      <c r="Q16" s="1262" t="str">
        <f>B16</f>
        <v>公共配套设施</v>
      </c>
      <c r="R16" s="666" t="s">
        <v>14</v>
      </c>
      <c r="S16" s="667">
        <f>F16</f>
        <v>100</v>
      </c>
      <c r="T16" s="666" t="s">
        <v>14</v>
      </c>
      <c r="U16" s="667">
        <f>H16</f>
        <v>100</v>
      </c>
      <c r="V16" s="666" t="s">
        <v>14</v>
      </c>
      <c r="W16" s="667">
        <f>J16</f>
        <v>100</v>
      </c>
      <c r="X16" s="1264"/>
      <c r="Y16" s="3389"/>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89"/>
      <c r="Q17" s="1262"/>
      <c r="R17" s="666"/>
      <c r="S17" s="667"/>
      <c r="T17" s="666"/>
      <c r="U17" s="667"/>
      <c r="V17" s="666"/>
      <c r="W17" s="667"/>
      <c r="X17" s="1264"/>
      <c r="Y17" s="3389"/>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89"/>
      <c r="Q18" s="1262" t="str">
        <f>B18</f>
        <v>基础设施水平</v>
      </c>
      <c r="R18" s="666" t="s">
        <v>14</v>
      </c>
      <c r="S18" s="667">
        <f>F18</f>
        <v>100</v>
      </c>
      <c r="T18" s="666" t="s">
        <v>14</v>
      </c>
      <c r="U18" s="667">
        <f>H18</f>
        <v>100</v>
      </c>
      <c r="V18" s="666" t="s">
        <v>14</v>
      </c>
      <c r="W18" s="667">
        <f>J18</f>
        <v>100</v>
      </c>
      <c r="X18" s="1264"/>
      <c r="Y18" s="3389"/>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89"/>
      <c r="Q19" s="1262"/>
      <c r="R19" s="666"/>
      <c r="S19" s="667"/>
      <c r="T19" s="666"/>
      <c r="U19" s="667"/>
      <c r="V19" s="666"/>
      <c r="W19" s="667"/>
      <c r="X19" s="1264"/>
      <c r="Y19" s="3389"/>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89"/>
      <c r="Q20" s="1262" t="str">
        <f>B20</f>
        <v>自然及人文环境</v>
      </c>
      <c r="R20" s="666" t="s">
        <v>14</v>
      </c>
      <c r="S20" s="667">
        <f>F20</f>
        <v>100</v>
      </c>
      <c r="T20" s="666" t="s">
        <v>14</v>
      </c>
      <c r="U20" s="667">
        <f>H20</f>
        <v>100</v>
      </c>
      <c r="V20" s="666" t="s">
        <v>14</v>
      </c>
      <c r="W20" s="667">
        <f>J20</f>
        <v>100</v>
      </c>
      <c r="X20" s="1264"/>
      <c r="Y20" s="338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89"/>
      <c r="Q21" s="1262"/>
      <c r="R21" s="666"/>
      <c r="S21" s="667"/>
      <c r="T21" s="666"/>
      <c r="U21" s="667"/>
      <c r="V21" s="666"/>
      <c r="W21" s="667"/>
      <c r="X21" s="1264"/>
      <c r="Y21" s="3389"/>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89"/>
      <c r="Q22" s="1262" t="str">
        <f>B22</f>
        <v>楼层</v>
      </c>
      <c r="R22" s="666" t="s">
        <v>14</v>
      </c>
      <c r="S22" s="667">
        <f>F22</f>
        <v>100</v>
      </c>
      <c r="T22" s="666" t="s">
        <v>14</v>
      </c>
      <c r="U22" s="667">
        <f>H22</f>
        <v>100</v>
      </c>
      <c r="V22" s="666" t="s">
        <v>14</v>
      </c>
      <c r="W22" s="667">
        <f>J22</f>
        <v>100</v>
      </c>
      <c r="X22" s="1264"/>
      <c r="Y22" s="338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89"/>
      <c r="Q23" s="1262">
        <f>B23</f>
        <v>111</v>
      </c>
      <c r="R23" s="666" t="s">
        <v>14</v>
      </c>
      <c r="S23" s="667">
        <f>F23</f>
        <v>100</v>
      </c>
      <c r="T23" s="666" t="s">
        <v>14</v>
      </c>
      <c r="U23" s="667">
        <f>H23</f>
        <v>100</v>
      </c>
      <c r="V23" s="666" t="s">
        <v>14</v>
      </c>
      <c r="W23" s="667">
        <f>J23</f>
        <v>100</v>
      </c>
      <c r="X23" s="1264"/>
      <c r="Y23" s="338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89"/>
      <c r="Q24" s="1262">
        <f t="shared" ref="Q24:Q34" si="11">B24</f>
        <v>111</v>
      </c>
      <c r="R24" s="666" t="s">
        <v>14</v>
      </c>
      <c r="S24" s="667">
        <f>F24</f>
        <v>100</v>
      </c>
      <c r="T24" s="666" t="s">
        <v>14</v>
      </c>
      <c r="U24" s="667">
        <f>H24</f>
        <v>100</v>
      </c>
      <c r="V24" s="666" t="s">
        <v>14</v>
      </c>
      <c r="W24" s="667">
        <f>J24</f>
        <v>100</v>
      </c>
      <c r="X24" s="1264"/>
      <c r="Y24" s="3389"/>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89"/>
      <c r="Q25" s="529">
        <f t="shared" si="11"/>
        <v>111</v>
      </c>
      <c r="R25" s="663" t="s">
        <v>14</v>
      </c>
      <c r="S25" s="664">
        <f>F25</f>
        <v>100</v>
      </c>
      <c r="T25" s="663" t="s">
        <v>14</v>
      </c>
      <c r="U25" s="664">
        <f>H25</f>
        <v>100</v>
      </c>
      <c r="V25" s="663" t="s">
        <v>14</v>
      </c>
      <c r="W25" s="664">
        <f>J25</f>
        <v>100</v>
      </c>
      <c r="X25" s="665"/>
      <c r="Y25" s="3389"/>
      <c r="Z25" s="49">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39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1"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91"/>
      <c r="Q27" s="530" t="str">
        <f t="shared" si="11"/>
        <v>成新率</v>
      </c>
      <c r="R27" s="668" t="s">
        <v>14</v>
      </c>
      <c r="S27" s="669" t="e">
        <f t="shared" si="12"/>
        <v>#N/A</v>
      </c>
      <c r="T27" s="668" t="s">
        <v>14</v>
      </c>
      <c r="U27" s="669" t="e">
        <f t="shared" si="13"/>
        <v>#N/A</v>
      </c>
      <c r="V27" s="668" t="s">
        <v>14</v>
      </c>
      <c r="W27" s="669" t="e">
        <f t="shared" si="14"/>
        <v>#N/A</v>
      </c>
      <c r="X27" s="670"/>
      <c r="Y27" s="3391"/>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91"/>
      <c r="Q28" s="1262" t="str">
        <f t="shared" si="11"/>
        <v>物业等级</v>
      </c>
      <c r="R28" s="666" t="s">
        <v>14</v>
      </c>
      <c r="S28" s="667">
        <f t="shared" si="12"/>
        <v>100</v>
      </c>
      <c r="T28" s="666" t="s">
        <v>14</v>
      </c>
      <c r="U28" s="667">
        <f t="shared" si="13"/>
        <v>100</v>
      </c>
      <c r="V28" s="666" t="s">
        <v>14</v>
      </c>
      <c r="W28" s="667">
        <f t="shared" si="14"/>
        <v>100</v>
      </c>
      <c r="X28" s="1264"/>
      <c r="Y28" s="3391"/>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91"/>
      <c r="Q29" s="1262" t="str">
        <f t="shared" si="11"/>
        <v>有无电梯</v>
      </c>
      <c r="R29" s="666" t="s">
        <v>14</v>
      </c>
      <c r="S29" s="667">
        <f t="shared" si="12"/>
        <v>100</v>
      </c>
      <c r="T29" s="666" t="s">
        <v>14</v>
      </c>
      <c r="U29" s="667">
        <f t="shared" si="13"/>
        <v>100</v>
      </c>
      <c r="V29" s="666" t="s">
        <v>14</v>
      </c>
      <c r="W29" s="667">
        <f t="shared" si="14"/>
        <v>100</v>
      </c>
      <c r="X29" s="1264"/>
      <c r="Y29" s="3391"/>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91"/>
      <c r="Q30" s="1262" t="str">
        <f t="shared" si="11"/>
        <v>建筑面积</v>
      </c>
      <c r="R30" s="666" t="s">
        <v>14</v>
      </c>
      <c r="S30" s="667" t="e">
        <f t="shared" si="12"/>
        <v>#N/A</v>
      </c>
      <c r="T30" s="666" t="s">
        <v>14</v>
      </c>
      <c r="U30" s="667" t="e">
        <f t="shared" si="13"/>
        <v>#N/A</v>
      </c>
      <c r="V30" s="666" t="s">
        <v>14</v>
      </c>
      <c r="W30" s="667" t="e">
        <f t="shared" si="14"/>
        <v>#N/A</v>
      </c>
      <c r="X30" s="1264"/>
      <c r="Y30" s="3391"/>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91"/>
      <c r="Q31" s="529" t="str">
        <f t="shared" si="11"/>
        <v>是否封闭</v>
      </c>
      <c r="R31" s="663" t="s">
        <v>14</v>
      </c>
      <c r="S31" s="664">
        <f t="shared" si="12"/>
        <v>100</v>
      </c>
      <c r="T31" s="663" t="s">
        <v>14</v>
      </c>
      <c r="U31" s="664">
        <f t="shared" si="13"/>
        <v>100</v>
      </c>
      <c r="V31" s="663" t="s">
        <v>14</v>
      </c>
      <c r="W31" s="664">
        <f t="shared" si="14"/>
        <v>100</v>
      </c>
      <c r="X31" s="665"/>
      <c r="Y31" s="3391"/>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91" t="s">
        <v>1696</v>
      </c>
      <c r="Q32" s="1262">
        <f t="shared" si="11"/>
        <v>111</v>
      </c>
      <c r="R32" s="666" t="s">
        <v>14</v>
      </c>
      <c r="S32" s="667">
        <f t="shared" si="12"/>
        <v>100</v>
      </c>
      <c r="T32" s="666" t="s">
        <v>14</v>
      </c>
      <c r="U32" s="667">
        <f t="shared" si="13"/>
        <v>100</v>
      </c>
      <c r="V32" s="666" t="s">
        <v>14</v>
      </c>
      <c r="W32" s="667">
        <f t="shared" si="14"/>
        <v>100</v>
      </c>
      <c r="X32" s="1264"/>
      <c r="Y32" s="3391"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91"/>
      <c r="Q33" s="1262">
        <f t="shared" si="11"/>
        <v>111</v>
      </c>
      <c r="R33" s="666" t="s">
        <v>14</v>
      </c>
      <c r="S33" s="667">
        <f t="shared" si="12"/>
        <v>100</v>
      </c>
      <c r="T33" s="666" t="s">
        <v>14</v>
      </c>
      <c r="U33" s="667">
        <f t="shared" si="13"/>
        <v>100</v>
      </c>
      <c r="V33" s="666" t="s">
        <v>14</v>
      </c>
      <c r="W33" s="667">
        <f t="shared" si="14"/>
        <v>100</v>
      </c>
      <c r="X33" s="1264"/>
      <c r="Y33" s="3391"/>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91"/>
      <c r="Q34" s="1262">
        <f t="shared" si="11"/>
        <v>111</v>
      </c>
      <c r="R34" s="666" t="s">
        <v>14</v>
      </c>
      <c r="S34" s="667">
        <f t="shared" si="12"/>
        <v>100</v>
      </c>
      <c r="T34" s="666" t="s">
        <v>14</v>
      </c>
      <c r="U34" s="667">
        <f t="shared" si="13"/>
        <v>100</v>
      </c>
      <c r="V34" s="666" t="s">
        <v>14</v>
      </c>
      <c r="W34" s="667">
        <f t="shared" si="14"/>
        <v>100</v>
      </c>
      <c r="X34" s="1264"/>
      <c r="Y34" s="3391"/>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387" t="str">
        <f>A35</f>
        <v>成交单价（元/平方米）</v>
      </c>
      <c r="Q35" s="3387"/>
      <c r="R35" s="3392">
        <f>E35</f>
        <v>0</v>
      </c>
      <c r="S35" s="3392"/>
      <c r="T35" s="3392">
        <f>G35</f>
        <v>0</v>
      </c>
      <c r="U35" s="3392"/>
      <c r="V35" s="3392">
        <f>I35</f>
        <v>0</v>
      </c>
      <c r="W35" s="3392"/>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87" t="str">
        <f>A36</f>
        <v>比较价值（元/平方米）</v>
      </c>
      <c r="Q36" s="3387"/>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381" t="str">
        <f>A37</f>
        <v>估价对象XX用房的比较价值（楼面单价，元/平方米）</v>
      </c>
      <c r="Q37" s="3382"/>
      <c r="R37" s="3476" t="e">
        <f>IF(F1="售价",ROUND(IF(D36="简单平均",AVERAGE(R36:W36),R36*F36+T36*H36+V36*J36),0),ROUND(IF(D36="简单平均",AVERAGE(R36:V36),R36*F36+T36*H36+V36*J36),1))</f>
        <v>#DIV/0!</v>
      </c>
      <c r="S37" s="3476"/>
      <c r="T37" s="3476"/>
      <c r="U37" s="3476"/>
      <c r="V37" s="3476"/>
      <c r="W37" s="3476"/>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0"/>
      <c r="E49" s="30"/>
      <c r="F49" s="30"/>
      <c r="G49" s="30"/>
      <c r="H49" s="30"/>
      <c r="I49" s="30"/>
      <c r="J49" s="30"/>
      <c r="K49" s="30"/>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84" t="s">
        <v>1770</v>
      </c>
      <c r="D4" s="3396"/>
      <c r="E4" s="3397" t="s">
        <v>1771</v>
      </c>
      <c r="F4" s="3398"/>
      <c r="G4" s="3384" t="s">
        <v>1772</v>
      </c>
      <c r="H4" s="3396"/>
      <c r="I4" s="3384" t="s">
        <v>1773</v>
      </c>
      <c r="J4" s="3396"/>
      <c r="K4" s="536" t="s">
        <v>1774</v>
      </c>
      <c r="L4" s="2486"/>
      <c r="M4" s="2487"/>
      <c r="N4" s="2487"/>
      <c r="O4" s="2487"/>
      <c r="P4" s="3399" t="s">
        <v>1775</v>
      </c>
      <c r="Q4" s="3400"/>
      <c r="R4" s="3405" t="s">
        <v>1771</v>
      </c>
      <c r="S4" s="3406"/>
      <c r="T4" s="3405" t="s">
        <v>1772</v>
      </c>
      <c r="U4" s="3406"/>
      <c r="V4" s="3392" t="s">
        <v>1773</v>
      </c>
      <c r="W4" s="3392"/>
      <c r="X4" s="1264"/>
      <c r="Y4" s="3405" t="s">
        <v>1775</v>
      </c>
      <c r="Z4" s="3406"/>
      <c r="AA4" s="3393" t="s">
        <v>1771</v>
      </c>
      <c r="AB4" s="3394" t="s">
        <v>1772</v>
      </c>
      <c r="AC4" s="3393" t="s">
        <v>1773</v>
      </c>
    </row>
    <row r="5" spans="1:29" ht="15">
      <c r="A5" s="347"/>
      <c r="B5" s="348"/>
      <c r="C5" s="3413" t="s">
        <v>1673</v>
      </c>
      <c r="D5" s="3414"/>
      <c r="E5" s="3420" t="s">
        <v>1674</v>
      </c>
      <c r="F5" s="3421"/>
      <c r="G5" s="3413" t="s">
        <v>1675</v>
      </c>
      <c r="H5" s="3414"/>
      <c r="I5" s="3413" t="s">
        <v>1676</v>
      </c>
      <c r="J5" s="3414"/>
      <c r="K5" s="536"/>
      <c r="L5" s="2486"/>
      <c r="M5" s="2487"/>
      <c r="N5" s="2487"/>
      <c r="O5" s="2487"/>
      <c r="P5" s="3401"/>
      <c r="Q5" s="3402"/>
      <c r="R5" s="3407"/>
      <c r="S5" s="3408"/>
      <c r="T5" s="3407"/>
      <c r="U5" s="3408"/>
      <c r="V5" s="3392"/>
      <c r="W5" s="3392"/>
      <c r="X5" s="1264"/>
      <c r="Y5" s="3407"/>
      <c r="Z5" s="3408"/>
      <c r="AA5" s="3394"/>
      <c r="AB5" s="3394"/>
      <c r="AC5" s="3394"/>
    </row>
    <row r="6" spans="1:29" ht="15.75" thickBot="1">
      <c r="A6" s="349"/>
      <c r="B6" s="350"/>
      <c r="C6" s="3477" t="s">
        <v>1919</v>
      </c>
      <c r="D6" s="3478"/>
      <c r="E6" s="3479" t="s">
        <v>1919</v>
      </c>
      <c r="F6" s="3480"/>
      <c r="G6" s="3477" t="s">
        <v>1919</v>
      </c>
      <c r="H6" s="3478"/>
      <c r="I6" s="3477" t="s">
        <v>1919</v>
      </c>
      <c r="J6" s="3478"/>
      <c r="K6" s="536" t="s">
        <v>1678</v>
      </c>
      <c r="L6" s="2486"/>
      <c r="M6" s="2487"/>
      <c r="N6" s="2487"/>
      <c r="O6" s="2487"/>
      <c r="P6" s="3403"/>
      <c r="Q6" s="3404"/>
      <c r="R6" s="3407"/>
      <c r="S6" s="3408"/>
      <c r="T6" s="3409"/>
      <c r="U6" s="3410"/>
      <c r="V6" s="3392"/>
      <c r="W6" s="3392"/>
      <c r="X6" s="1264"/>
      <c r="Y6" s="3409"/>
      <c r="Z6" s="3410"/>
      <c r="AA6" s="3395"/>
      <c r="AB6" s="3395"/>
      <c r="AC6" s="3395"/>
    </row>
    <row r="7" spans="1:29" s="101" customFormat="1" ht="15.75" thickBot="1">
      <c r="A7" s="351" t="s">
        <v>1679</v>
      </c>
      <c r="B7" s="352"/>
      <c r="C7" s="353">
        <f>'数据-取费表'!B2</f>
        <v>45819</v>
      </c>
      <c r="D7" s="354">
        <v>100</v>
      </c>
      <c r="E7" s="355"/>
      <c r="F7" s="356">
        <f>SUMIF(65:65,YEAR(E7)&amp;"-"&amp;INT((MONTH(E7)+2)/3),66:66)</f>
        <v>0</v>
      </c>
      <c r="G7" s="1821"/>
      <c r="H7" s="354">
        <f>SUMIF(65:65,YEAR(G7)&amp;"-"&amp;INT((MONTH(G7)+2)/3),66:66)</f>
        <v>0</v>
      </c>
      <c r="I7" s="1821"/>
      <c r="J7" s="354">
        <f>SUMIF(65:65,YEAR(I7)&amp;"-"&amp;INT((MONTH(I7)+2)/3),66:66)</f>
        <v>0</v>
      </c>
      <c r="K7" s="37"/>
      <c r="L7" s="2488"/>
      <c r="M7" s="2439"/>
      <c r="N7" s="2439"/>
      <c r="O7" s="2439"/>
      <c r="P7" s="3415" t="s">
        <v>1680</v>
      </c>
      <c r="Q7" s="3417"/>
      <c r="R7" s="663" t="s">
        <v>14</v>
      </c>
      <c r="S7" s="664">
        <f t="shared" ref="S7:S15" si="0">F7</f>
        <v>0</v>
      </c>
      <c r="T7" s="663" t="s">
        <v>14</v>
      </c>
      <c r="U7" s="664">
        <f t="shared" ref="U7:U15" si="1">H7</f>
        <v>0</v>
      </c>
      <c r="V7" s="663" t="s">
        <v>14</v>
      </c>
      <c r="W7" s="664">
        <f t="shared" ref="W7:W15" si="2">J7</f>
        <v>0</v>
      </c>
      <c r="X7" s="665"/>
      <c r="Y7" s="3415" t="s">
        <v>1680</v>
      </c>
      <c r="Z7" s="3416"/>
      <c r="AA7" s="49" t="e">
        <f>D7/F7</f>
        <v>#DIV/0!</v>
      </c>
      <c r="AB7" s="49" t="e">
        <f>D7/H7</f>
        <v>#DIV/0!</v>
      </c>
      <c r="AC7" s="49"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8"/>
      <c r="M8" s="2439"/>
      <c r="N8" s="2439"/>
      <c r="O8" s="2439"/>
      <c r="P8" s="3415" t="s">
        <v>1683</v>
      </c>
      <c r="Q8" s="3416"/>
      <c r="R8" s="663" t="s">
        <v>14</v>
      </c>
      <c r="S8" s="664">
        <f t="shared" si="0"/>
        <v>0</v>
      </c>
      <c r="T8" s="663" t="s">
        <v>14</v>
      </c>
      <c r="U8" s="664">
        <f t="shared" si="1"/>
        <v>0</v>
      </c>
      <c r="V8" s="663" t="s">
        <v>14</v>
      </c>
      <c r="W8" s="664">
        <f t="shared" si="2"/>
        <v>0</v>
      </c>
      <c r="X8" s="665"/>
      <c r="Y8" s="3415" t="s">
        <v>1683</v>
      </c>
      <c r="Z8" s="3416"/>
      <c r="AA8" s="49" t="e">
        <f t="shared" ref="AA8:AA40" si="3">D8/F8</f>
        <v>#DIV/0!</v>
      </c>
      <c r="AB8" s="49" t="e">
        <f t="shared" ref="AB8:AB40" si="4">D8/H8</f>
        <v>#DIV/0!</v>
      </c>
      <c r="AC8" s="49"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7"/>
      <c r="L9" s="2488"/>
      <c r="M9" s="2439"/>
      <c r="N9" s="2439"/>
      <c r="O9" s="2540"/>
      <c r="P9" s="3387" t="s">
        <v>1686</v>
      </c>
      <c r="Q9" s="529" t="str">
        <f t="shared" ref="Q9:Q15" si="6">B9</f>
        <v>用途</v>
      </c>
      <c r="R9" s="663" t="s">
        <v>14</v>
      </c>
      <c r="S9" s="664">
        <f t="shared" si="0"/>
        <v>100</v>
      </c>
      <c r="T9" s="663" t="s">
        <v>14</v>
      </c>
      <c r="U9" s="664">
        <f t="shared" si="1"/>
        <v>100</v>
      </c>
      <c r="V9" s="663" t="s">
        <v>14</v>
      </c>
      <c r="W9" s="664">
        <f t="shared" si="2"/>
        <v>100</v>
      </c>
      <c r="X9" s="665"/>
      <c r="Y9" s="3284"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118">
        <f>ROUND(100/'数据-取费表'!G16,0)</f>
        <v>107</v>
      </c>
      <c r="G10" s="370"/>
      <c r="H10" s="118">
        <f>ROUND(100/'数据-取费表'!G16,0)</f>
        <v>107</v>
      </c>
      <c r="I10" s="370"/>
      <c r="J10" s="118">
        <f>ROUND(100/'数据-取费表'!G16,0)</f>
        <v>107</v>
      </c>
      <c r="K10" s="591"/>
      <c r="L10" s="2489"/>
      <c r="M10" s="2490"/>
      <c r="N10" s="2490"/>
      <c r="O10" s="2541"/>
      <c r="P10" s="3387"/>
      <c r="Q10" s="529" t="str">
        <f t="shared" si="6"/>
        <v>土地使用年限（年）</v>
      </c>
      <c r="R10" s="663" t="s">
        <v>14</v>
      </c>
      <c r="S10" s="664">
        <f t="shared" si="0"/>
        <v>107</v>
      </c>
      <c r="T10" s="663" t="s">
        <v>14</v>
      </c>
      <c r="U10" s="664">
        <f t="shared" si="1"/>
        <v>107</v>
      </c>
      <c r="V10" s="663" t="s">
        <v>14</v>
      </c>
      <c r="W10" s="664">
        <f t="shared" si="2"/>
        <v>107</v>
      </c>
      <c r="X10" s="665"/>
      <c r="Y10" s="3284"/>
      <c r="Z10" s="49" t="str">
        <f t="shared" si="7"/>
        <v>土地使用年限（年）</v>
      </c>
      <c r="AA10" s="49">
        <f t="shared" si="3"/>
        <v>0.93457943925233644</v>
      </c>
      <c r="AB10" s="49">
        <f t="shared" si="4"/>
        <v>0.93457943925233644</v>
      </c>
      <c r="AC10" s="49">
        <f t="shared" si="5"/>
        <v>0.93457943925233644</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387"/>
      <c r="Q11" s="529" t="str">
        <f t="shared" si="6"/>
        <v>容积率</v>
      </c>
      <c r="R11" s="663" t="s">
        <v>14</v>
      </c>
      <c r="S11" s="664" t="e">
        <f t="shared" si="0"/>
        <v>#N/A</v>
      </c>
      <c r="T11" s="663" t="s">
        <v>14</v>
      </c>
      <c r="U11" s="664" t="e">
        <f t="shared" si="1"/>
        <v>#N/A</v>
      </c>
      <c r="V11" s="663" t="s">
        <v>14</v>
      </c>
      <c r="W11" s="664" t="e">
        <f t="shared" si="2"/>
        <v>#N/A</v>
      </c>
      <c r="X11" s="665"/>
      <c r="Y11" s="3284"/>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87"/>
      <c r="Q12" s="529">
        <f t="shared" si="6"/>
        <v>111</v>
      </c>
      <c r="R12" s="663" t="s">
        <v>14</v>
      </c>
      <c r="S12" s="664">
        <f t="shared" si="0"/>
        <v>100</v>
      </c>
      <c r="T12" s="663" t="s">
        <v>14</v>
      </c>
      <c r="U12" s="664">
        <f t="shared" si="1"/>
        <v>100</v>
      </c>
      <c r="V12" s="663" t="s">
        <v>14</v>
      </c>
      <c r="W12" s="664">
        <f t="shared" si="2"/>
        <v>100</v>
      </c>
      <c r="X12" s="665"/>
      <c r="Y12" s="3284"/>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87"/>
      <c r="Q13" s="529">
        <f t="shared" si="6"/>
        <v>111</v>
      </c>
      <c r="R13" s="663" t="s">
        <v>14</v>
      </c>
      <c r="S13" s="664">
        <f t="shared" si="0"/>
        <v>100</v>
      </c>
      <c r="T13" s="663" t="s">
        <v>14</v>
      </c>
      <c r="U13" s="664">
        <f t="shared" si="1"/>
        <v>100</v>
      </c>
      <c r="V13" s="663" t="s">
        <v>14</v>
      </c>
      <c r="W13" s="664">
        <f t="shared" si="2"/>
        <v>100</v>
      </c>
      <c r="X13" s="665"/>
      <c r="Y13" s="3284"/>
      <c r="Z13" s="49">
        <f t="shared" si="7"/>
        <v>111</v>
      </c>
      <c r="AA13" s="49">
        <f t="shared" si="3"/>
        <v>1</v>
      </c>
      <c r="AB13" s="49">
        <f t="shared" si="4"/>
        <v>1</v>
      </c>
      <c r="AC13" s="49">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87"/>
      <c r="Q14" s="529">
        <f t="shared" si="6"/>
        <v>111</v>
      </c>
      <c r="R14" s="663" t="s">
        <v>14</v>
      </c>
      <c r="S14" s="664">
        <f t="shared" si="0"/>
        <v>100</v>
      </c>
      <c r="T14" s="663" t="s">
        <v>14</v>
      </c>
      <c r="U14" s="664">
        <f t="shared" si="1"/>
        <v>100</v>
      </c>
      <c r="V14" s="663" t="s">
        <v>14</v>
      </c>
      <c r="W14" s="664">
        <f t="shared" si="2"/>
        <v>100</v>
      </c>
      <c r="X14" s="665"/>
      <c r="Y14" s="3284"/>
      <c r="Z14" s="49">
        <f t="shared" si="7"/>
        <v>111</v>
      </c>
      <c r="AA14" s="49">
        <f t="shared" si="3"/>
        <v>1</v>
      </c>
      <c r="AB14" s="49">
        <f t="shared" si="4"/>
        <v>1</v>
      </c>
      <c r="AC14" s="49">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388" t="s">
        <v>1691</v>
      </c>
      <c r="Q15" s="1262" t="str">
        <f t="shared" si="6"/>
        <v>产业集聚程度</v>
      </c>
      <c r="R15" s="666" t="s">
        <v>14</v>
      </c>
      <c r="S15" s="667">
        <f t="shared" si="0"/>
        <v>100</v>
      </c>
      <c r="T15" s="666" t="s">
        <v>14</v>
      </c>
      <c r="U15" s="667">
        <f t="shared" si="1"/>
        <v>100</v>
      </c>
      <c r="V15" s="666" t="s">
        <v>14</v>
      </c>
      <c r="W15" s="667">
        <f t="shared" si="2"/>
        <v>100</v>
      </c>
      <c r="X15" s="1264"/>
      <c r="Y15" s="3388"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389"/>
      <c r="Q16" s="1262"/>
      <c r="R16" s="666"/>
      <c r="S16" s="667"/>
      <c r="T16" s="666"/>
      <c r="U16" s="667"/>
      <c r="V16" s="666"/>
      <c r="W16" s="667"/>
      <c r="X16" s="1264"/>
      <c r="Y16" s="3389"/>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389"/>
      <c r="Q17" s="1262" t="str">
        <f>B17</f>
        <v>交通便捷度</v>
      </c>
      <c r="R17" s="666" t="s">
        <v>14</v>
      </c>
      <c r="S17" s="667">
        <f>F17</f>
        <v>100</v>
      </c>
      <c r="T17" s="666" t="s">
        <v>14</v>
      </c>
      <c r="U17" s="667">
        <f>H17</f>
        <v>100</v>
      </c>
      <c r="V17" s="666" t="s">
        <v>14</v>
      </c>
      <c r="W17" s="667">
        <f>J17</f>
        <v>100</v>
      </c>
      <c r="X17" s="1264"/>
      <c r="Y17" s="3389"/>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389"/>
      <c r="Q18" s="1262"/>
      <c r="R18" s="666"/>
      <c r="S18" s="667"/>
      <c r="T18" s="666"/>
      <c r="U18" s="667"/>
      <c r="V18" s="666"/>
      <c r="W18" s="667"/>
      <c r="X18" s="1264"/>
      <c r="Y18" s="3389"/>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389"/>
      <c r="Q19" s="1262" t="str">
        <f t="shared" ref="Q19:Q33" si="8">B19</f>
        <v>区域土地利用方向</v>
      </c>
      <c r="R19" s="666" t="s">
        <v>14</v>
      </c>
      <c r="S19" s="667">
        <f>F19</f>
        <v>100</v>
      </c>
      <c r="T19" s="666" t="s">
        <v>14</v>
      </c>
      <c r="U19" s="667">
        <f>H19</f>
        <v>100</v>
      </c>
      <c r="V19" s="666" t="s">
        <v>14</v>
      </c>
      <c r="W19" s="667">
        <f>J19</f>
        <v>100</v>
      </c>
      <c r="X19" s="1264"/>
      <c r="Y19" s="3389"/>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389"/>
      <c r="Q20" s="1262"/>
      <c r="R20" s="666"/>
      <c r="S20" s="667"/>
      <c r="T20" s="666"/>
      <c r="U20" s="667"/>
      <c r="V20" s="666"/>
      <c r="W20" s="667"/>
      <c r="X20" s="1264"/>
      <c r="Y20" s="3389"/>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389"/>
      <c r="Q21" s="1262" t="str">
        <f t="shared" si="8"/>
        <v>环境状况</v>
      </c>
      <c r="R21" s="666" t="s">
        <v>14</v>
      </c>
      <c r="S21" s="667">
        <f>F21</f>
        <v>100</v>
      </c>
      <c r="T21" s="666" t="s">
        <v>14</v>
      </c>
      <c r="U21" s="667">
        <f>H21</f>
        <v>100</v>
      </c>
      <c r="V21" s="666" t="s">
        <v>14</v>
      </c>
      <c r="W21" s="667">
        <f>J21</f>
        <v>100</v>
      </c>
      <c r="X21" s="1264"/>
      <c r="Y21" s="3389"/>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389"/>
      <c r="Q22" s="1262"/>
      <c r="R22" s="666"/>
      <c r="S22" s="667"/>
      <c r="T22" s="666"/>
      <c r="U22" s="667"/>
      <c r="V22" s="666"/>
      <c r="W22" s="667"/>
      <c r="X22" s="1264"/>
      <c r="Y22" s="3389"/>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389"/>
      <c r="Q23" s="529" t="str">
        <f t="shared" si="8"/>
        <v>公共配套设施</v>
      </c>
      <c r="R23" s="663" t="s">
        <v>14</v>
      </c>
      <c r="S23" s="664">
        <f>F23</f>
        <v>100</v>
      </c>
      <c r="T23" s="663" t="s">
        <v>14</v>
      </c>
      <c r="U23" s="664">
        <f>H23</f>
        <v>100</v>
      </c>
      <c r="V23" s="663" t="s">
        <v>14</v>
      </c>
      <c r="W23" s="664">
        <f>J23</f>
        <v>100</v>
      </c>
      <c r="X23" s="665"/>
      <c r="Y23" s="3389"/>
      <c r="Z23" s="49"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8"/>
      <c r="M24" s="2439"/>
      <c r="N24" s="2439"/>
      <c r="O24" s="2540"/>
      <c r="P24" s="3389"/>
      <c r="Q24" s="529"/>
      <c r="R24" s="663"/>
      <c r="S24" s="664"/>
      <c r="T24" s="663"/>
      <c r="U24" s="664"/>
      <c r="V24" s="663"/>
      <c r="W24" s="664"/>
      <c r="X24" s="665"/>
      <c r="Y24" s="3389"/>
      <c r="Z24" s="49"/>
      <c r="AA24" s="49">
        <v>1</v>
      </c>
      <c r="AB24" s="49">
        <v>1</v>
      </c>
      <c r="AC24" s="49">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389"/>
      <c r="Q25" s="529" t="str">
        <f t="shared" ref="Q25" si="9">B25</f>
        <v>基础设施水平</v>
      </c>
      <c r="R25" s="663" t="s">
        <v>14</v>
      </c>
      <c r="S25" s="664">
        <f>F25</f>
        <v>100</v>
      </c>
      <c r="T25" s="663" t="s">
        <v>14</v>
      </c>
      <c r="U25" s="664">
        <f>H25</f>
        <v>100</v>
      </c>
      <c r="V25" s="663" t="s">
        <v>14</v>
      </c>
      <c r="W25" s="664">
        <f>J25</f>
        <v>100</v>
      </c>
      <c r="X25" s="665"/>
      <c r="Y25" s="3389"/>
      <c r="Z25" s="49"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8"/>
      <c r="M26" s="2439"/>
      <c r="N26" s="2439"/>
      <c r="O26" s="2540"/>
      <c r="P26" s="3389"/>
      <c r="Q26" s="529"/>
      <c r="R26" s="663"/>
      <c r="S26" s="664"/>
      <c r="T26" s="663"/>
      <c r="U26" s="664"/>
      <c r="V26" s="663"/>
      <c r="W26" s="664"/>
      <c r="X26" s="665"/>
      <c r="Y26" s="3389"/>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8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9"/>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89"/>
      <c r="Q28" s="1262" t="str">
        <f t="shared" si="8"/>
        <v>毗邻道路的类型与等级</v>
      </c>
      <c r="R28" s="666" t="s">
        <v>14</v>
      </c>
      <c r="S28" s="667">
        <f t="shared" si="10"/>
        <v>100</v>
      </c>
      <c r="T28" s="666" t="s">
        <v>14</v>
      </c>
      <c r="U28" s="667">
        <f t="shared" si="11"/>
        <v>100</v>
      </c>
      <c r="V28" s="666" t="s">
        <v>14</v>
      </c>
      <c r="W28" s="667">
        <f t="shared" si="12"/>
        <v>100</v>
      </c>
      <c r="X28" s="1264"/>
      <c r="Y28" s="3389"/>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389"/>
      <c r="Q29" s="1262"/>
      <c r="R29" s="666"/>
      <c r="S29" s="667"/>
      <c r="T29" s="666"/>
      <c r="U29" s="667"/>
      <c r="V29" s="666"/>
      <c r="W29" s="667"/>
      <c r="X29" s="1264"/>
      <c r="Y29" s="3389"/>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89"/>
      <c r="Q30" s="1262" t="str">
        <f t="shared" si="8"/>
        <v>土地级别</v>
      </c>
      <c r="R30" s="666" t="s">
        <v>14</v>
      </c>
      <c r="S30" s="667">
        <f t="shared" si="10"/>
        <v>100</v>
      </c>
      <c r="T30" s="666" t="s">
        <v>14</v>
      </c>
      <c r="U30" s="667">
        <f t="shared" si="11"/>
        <v>100</v>
      </c>
      <c r="V30" s="666" t="s">
        <v>14</v>
      </c>
      <c r="W30" s="667">
        <f t="shared" si="12"/>
        <v>100</v>
      </c>
      <c r="X30" s="1264"/>
      <c r="Y30" s="338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89"/>
      <c r="Q31" s="1262">
        <f t="shared" si="8"/>
        <v>111</v>
      </c>
      <c r="R31" s="666" t="s">
        <v>14</v>
      </c>
      <c r="S31" s="667">
        <f t="shared" si="10"/>
        <v>100</v>
      </c>
      <c r="T31" s="666" t="s">
        <v>14</v>
      </c>
      <c r="U31" s="667">
        <f t="shared" si="11"/>
        <v>100</v>
      </c>
      <c r="V31" s="666" t="s">
        <v>14</v>
      </c>
      <c r="W31" s="667">
        <f t="shared" si="12"/>
        <v>100</v>
      </c>
      <c r="X31" s="1264"/>
      <c r="Y31" s="3389"/>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390" t="s">
        <v>1696</v>
      </c>
      <c r="Q32" s="1262">
        <f t="shared" si="8"/>
        <v>111</v>
      </c>
      <c r="R32" s="666" t="s">
        <v>14</v>
      </c>
      <c r="S32" s="667">
        <f t="shared" si="10"/>
        <v>100</v>
      </c>
      <c r="T32" s="666" t="s">
        <v>14</v>
      </c>
      <c r="U32" s="667">
        <f t="shared" si="11"/>
        <v>100</v>
      </c>
      <c r="V32" s="666" t="s">
        <v>14</v>
      </c>
      <c r="W32" s="667">
        <f t="shared" si="12"/>
        <v>100</v>
      </c>
      <c r="X32" s="1264"/>
      <c r="Y32" s="3391"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91"/>
      <c r="Q33" s="1262">
        <f t="shared" si="8"/>
        <v>111</v>
      </c>
      <c r="R33" s="668" t="s">
        <v>14</v>
      </c>
      <c r="S33" s="669">
        <f t="shared" si="10"/>
        <v>100</v>
      </c>
      <c r="T33" s="668" t="s">
        <v>14</v>
      </c>
      <c r="U33" s="669">
        <f t="shared" si="11"/>
        <v>100</v>
      </c>
      <c r="V33" s="668" t="s">
        <v>14</v>
      </c>
      <c r="W33" s="669">
        <f t="shared" si="12"/>
        <v>100</v>
      </c>
      <c r="X33" s="670"/>
      <c r="Y33" s="3391"/>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391"/>
      <c r="Q34" s="1262" t="str">
        <f>B34</f>
        <v>宗地面积</v>
      </c>
      <c r="R34" s="666" t="s">
        <v>14</v>
      </c>
      <c r="S34" s="667" t="e">
        <f t="shared" si="10"/>
        <v>#N/A</v>
      </c>
      <c r="T34" s="666" t="s">
        <v>14</v>
      </c>
      <c r="U34" s="667" t="e">
        <f t="shared" si="11"/>
        <v>#N/A</v>
      </c>
      <c r="V34" s="666" t="s">
        <v>14</v>
      </c>
      <c r="W34" s="667" t="e">
        <f t="shared" si="12"/>
        <v>#N/A</v>
      </c>
      <c r="X34" s="1264"/>
      <c r="Y34" s="3391"/>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391"/>
      <c r="Q35" s="1262" t="str">
        <f t="shared" ref="Q35:Q40" si="14">B35</f>
        <v>宗地形状</v>
      </c>
      <c r="R35" s="666" t="s">
        <v>14</v>
      </c>
      <c r="S35" s="667">
        <f t="shared" si="10"/>
        <v>100</v>
      </c>
      <c r="T35" s="666" t="s">
        <v>14</v>
      </c>
      <c r="U35" s="667">
        <f t="shared" si="11"/>
        <v>100</v>
      </c>
      <c r="V35" s="666" t="s">
        <v>14</v>
      </c>
      <c r="W35" s="667">
        <f t="shared" si="12"/>
        <v>100</v>
      </c>
      <c r="X35" s="1264"/>
      <c r="Y35" s="3391"/>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391"/>
      <c r="Q36" s="1262" t="str">
        <f t="shared" si="14"/>
        <v>宗地开发程度</v>
      </c>
      <c r="R36" s="663" t="s">
        <v>14</v>
      </c>
      <c r="S36" s="664">
        <f t="shared" si="10"/>
        <v>100</v>
      </c>
      <c r="T36" s="663" t="s">
        <v>14</v>
      </c>
      <c r="U36" s="664">
        <f t="shared" si="11"/>
        <v>100</v>
      </c>
      <c r="V36" s="663" t="s">
        <v>14</v>
      </c>
      <c r="W36" s="664">
        <f t="shared" si="12"/>
        <v>100</v>
      </c>
      <c r="X36" s="665"/>
      <c r="Y36" s="3391"/>
      <c r="Z36" s="49" t="str">
        <f t="shared" si="13"/>
        <v>宗地开发程度</v>
      </c>
      <c r="AA36" s="49">
        <f t="shared" si="3"/>
        <v>1</v>
      </c>
      <c r="AB36" s="49">
        <f t="shared" si="4"/>
        <v>1</v>
      </c>
      <c r="AC36" s="49">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391" t="s">
        <v>1696</v>
      </c>
      <c r="Q37" s="1262" t="str">
        <f t="shared" si="14"/>
        <v>工程地质条件</v>
      </c>
      <c r="R37" s="666" t="s">
        <v>14</v>
      </c>
      <c r="S37" s="667">
        <f t="shared" si="10"/>
        <v>100</v>
      </c>
      <c r="T37" s="666" t="s">
        <v>14</v>
      </c>
      <c r="U37" s="667">
        <f t="shared" si="11"/>
        <v>100</v>
      </c>
      <c r="V37" s="666" t="s">
        <v>14</v>
      </c>
      <c r="W37" s="667">
        <f t="shared" si="12"/>
        <v>100</v>
      </c>
      <c r="X37" s="1264"/>
      <c r="Y37" s="3391"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91"/>
      <c r="Q38" s="1262">
        <f t="shared" si="14"/>
        <v>111</v>
      </c>
      <c r="R38" s="666" t="s">
        <v>14</v>
      </c>
      <c r="S38" s="667">
        <f t="shared" si="10"/>
        <v>100</v>
      </c>
      <c r="T38" s="666" t="s">
        <v>14</v>
      </c>
      <c r="U38" s="667">
        <f t="shared" si="11"/>
        <v>100</v>
      </c>
      <c r="V38" s="666" t="s">
        <v>14</v>
      </c>
      <c r="W38" s="667">
        <f t="shared" si="12"/>
        <v>100</v>
      </c>
      <c r="X38" s="1264"/>
      <c r="Y38" s="3391"/>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91"/>
      <c r="Q39" s="1262">
        <f t="shared" si="14"/>
        <v>111</v>
      </c>
      <c r="R39" s="666" t="s">
        <v>14</v>
      </c>
      <c r="S39" s="667">
        <f t="shared" si="10"/>
        <v>100</v>
      </c>
      <c r="T39" s="666" t="s">
        <v>14</v>
      </c>
      <c r="U39" s="667">
        <f t="shared" si="11"/>
        <v>100</v>
      </c>
      <c r="V39" s="666" t="s">
        <v>14</v>
      </c>
      <c r="W39" s="667">
        <f t="shared" si="12"/>
        <v>100</v>
      </c>
      <c r="X39" s="1264"/>
      <c r="Y39" s="3391"/>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91"/>
      <c r="Q40" s="1262">
        <f t="shared" si="14"/>
        <v>111</v>
      </c>
      <c r="R40" s="668" t="s">
        <v>14</v>
      </c>
      <c r="S40" s="669">
        <f t="shared" si="10"/>
        <v>100</v>
      </c>
      <c r="T40" s="668" t="s">
        <v>14</v>
      </c>
      <c r="U40" s="669">
        <f t="shared" si="11"/>
        <v>100</v>
      </c>
      <c r="V40" s="668" t="s">
        <v>14</v>
      </c>
      <c r="W40" s="669">
        <f t="shared" si="12"/>
        <v>100</v>
      </c>
      <c r="X40" s="670"/>
      <c r="Y40" s="3391"/>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387" t="str">
        <f>A41</f>
        <v>成交单价</v>
      </c>
      <c r="Q41" s="3387"/>
      <c r="R41" s="3392">
        <f>E41</f>
        <v>0</v>
      </c>
      <c r="S41" s="3392"/>
      <c r="T41" s="3392">
        <f>G41</f>
        <v>0</v>
      </c>
      <c r="U41" s="3392"/>
      <c r="V41" s="3392">
        <f>I41</f>
        <v>0</v>
      </c>
      <c r="W41" s="3392"/>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387" t="str">
        <f>A42</f>
        <v>比较价值（元/平方米）</v>
      </c>
      <c r="Q42" s="3387"/>
      <c r="R42" s="3380" t="e">
        <f>ROUND(PRODUCT(R41,AA7:AA40),0)</f>
        <v>#DIV/0!</v>
      </c>
      <c r="S42" s="3380"/>
      <c r="T42" s="3380" t="e">
        <f>ROUND(PRODUCT(T41,AB7:AB40),0)</f>
        <v>#DIV/0!</v>
      </c>
      <c r="U42" s="3380"/>
      <c r="V42" s="3380" t="e">
        <f>ROUND(PRODUCT(V41,AC7:AC40),0)</f>
        <v>#DIV/0!</v>
      </c>
      <c r="W42" s="3380"/>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381" t="str">
        <f>A43</f>
        <v>估价对象XX用房的比较价值（楼面单价，元/平方米）</v>
      </c>
      <c r="Q43" s="3382"/>
      <c r="R43" s="3383" t="e">
        <f>ROUND(IF(D42="简单平均",AVERAGE(R42:W42),R42*F42+T42*H42+V42*J42),0)</f>
        <v>#DIV/0!</v>
      </c>
      <c r="S43" s="3383"/>
      <c r="T43" s="3383"/>
      <c r="U43" s="3383"/>
      <c r="V43" s="3383"/>
      <c r="W43" s="3383"/>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84" t="s">
        <v>1887</v>
      </c>
      <c r="H50" s="3385"/>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71986.14</v>
      </c>
      <c r="F51" s="610" t="e">
        <f t="shared" ref="F51:F60" si="15">ROUND(B51*E51/10000,0)</f>
        <v>#DIV/0!</v>
      </c>
      <c r="G51" s="3386"/>
      <c r="H51" s="3387"/>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8784.4599999999991</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2025-6-1</v>
      </c>
      <c r="D63" s="655">
        <f>EDATE(C63,-3)</f>
        <v>45717</v>
      </c>
      <c r="E63" s="655">
        <f>EDATE(D63,-3)</f>
        <v>45627</v>
      </c>
      <c r="F63" s="655">
        <f t="shared" ref="F63:O63" si="18">EDATE(E63,-3)</f>
        <v>45536</v>
      </c>
      <c r="G63" s="655">
        <f t="shared" si="18"/>
        <v>45444</v>
      </c>
      <c r="H63" s="655">
        <f t="shared" si="18"/>
        <v>45352</v>
      </c>
      <c r="I63" s="655">
        <f t="shared" si="18"/>
        <v>45261</v>
      </c>
      <c r="J63" s="655">
        <f t="shared" si="18"/>
        <v>45170</v>
      </c>
      <c r="K63" s="655">
        <f t="shared" si="18"/>
        <v>45078</v>
      </c>
      <c r="L63" s="655">
        <f t="shared" si="18"/>
        <v>44986</v>
      </c>
      <c r="M63" s="655">
        <f t="shared" si="18"/>
        <v>44896</v>
      </c>
      <c r="N63" s="655">
        <f t="shared" si="18"/>
        <v>44805</v>
      </c>
      <c r="O63" s="655">
        <f t="shared" si="18"/>
        <v>44713</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0"/>
      <c r="E68" s="30"/>
      <c r="F68" s="30"/>
      <c r="G68" s="30"/>
      <c r="H68" s="30"/>
      <c r="I68" s="30"/>
      <c r="J68" s="30"/>
      <c r="K68" s="30"/>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0"/>
      <c r="D81" s="30"/>
      <c r="E81" s="30"/>
      <c r="F81" s="30"/>
      <c r="G81" s="30"/>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0"/>
      <c r="D105" s="30"/>
      <c r="E105" s="30"/>
      <c r="F105" s="30"/>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0"/>
      <c r="D120" s="30"/>
      <c r="E120" s="30"/>
      <c r="F120" s="30"/>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2083</v>
      </c>
      <c r="C1" s="3484" t="s">
        <v>2084</v>
      </c>
      <c r="D1" s="3485"/>
      <c r="E1" s="3485"/>
      <c r="F1" s="3485"/>
      <c r="G1" s="3485"/>
      <c r="H1" s="3485"/>
      <c r="I1" s="3485"/>
      <c r="J1" s="3485"/>
      <c r="K1" s="3485"/>
      <c r="L1" s="3485"/>
      <c r="M1" s="3485"/>
      <c r="N1" s="3485"/>
      <c r="O1" s="3485"/>
      <c r="P1" s="3485"/>
      <c r="Q1" s="3485"/>
      <c r="R1" s="3485"/>
      <c r="S1" s="3486"/>
      <c r="T1" s="928" t="s">
        <v>2085</v>
      </c>
    </row>
    <row r="2" spans="1:45" s="624" customFormat="1">
      <c r="A2" s="929"/>
      <c r="B2" s="621" t="s">
        <v>2086</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0">
        <f>SUM(B24:B10000)</f>
        <v>0</v>
      </c>
      <c r="C22" s="3481" t="s">
        <v>27</v>
      </c>
      <c r="D22" s="3482"/>
      <c r="E22" s="3482"/>
      <c r="F22" s="3482"/>
      <c r="G22" s="3482"/>
      <c r="H22" s="3482"/>
      <c r="I22" s="3482"/>
      <c r="J22" s="3482"/>
      <c r="K22" s="3482"/>
      <c r="L22" s="3482"/>
      <c r="M22" s="3482"/>
      <c r="N22" s="3482"/>
      <c r="O22" s="3482"/>
      <c r="P22" s="3482"/>
      <c r="Q22" s="3483"/>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v>
      </c>
      <c r="B3" s="3201"/>
      <c r="C3" s="3201"/>
      <c r="D3" s="3201"/>
      <c r="E3" s="3201"/>
    </row>
    <row r="4" spans="1:5" ht="19.5" thickBot="1">
      <c r="A4" s="1390"/>
      <c r="B4" s="3199" t="s">
        <v>917</v>
      </c>
      <c r="C4" s="3199"/>
      <c r="D4" s="3199"/>
      <c r="E4" s="1390"/>
    </row>
    <row r="5" spans="1:5" ht="16.5" thickTop="1">
      <c r="B5" s="3197" t="s">
        <v>909</v>
      </c>
      <c r="C5" s="1391" t="s">
        <v>910</v>
      </c>
      <c r="D5" s="796">
        <f ca="1">结果表!H101</f>
        <v>57308</v>
      </c>
    </row>
    <row r="6" spans="1:5" ht="15.75">
      <c r="B6" s="3197"/>
      <c r="C6" s="1391" t="s">
        <v>911</v>
      </c>
      <c r="D6" s="796" t="str">
        <f ca="1">NUMBERSTRING(INT(D5*10000),2)&amp;"元整"</f>
        <v>伍亿柒仟叁佰零捌万元整</v>
      </c>
    </row>
    <row r="7" spans="1:5" ht="15.75">
      <c r="B7" s="3202"/>
      <c r="C7" s="1392" t="s">
        <v>912</v>
      </c>
      <c r="D7" s="797">
        <f ca="1">结果表!H102</f>
        <v>7961</v>
      </c>
    </row>
    <row r="8" spans="1:5" ht="15.75">
      <c r="B8" s="3203" t="str">
        <f>结果表!E103</f>
        <v>2.估价师知悉的法定优先受偿款</v>
      </c>
      <c r="C8" s="1393" t="s">
        <v>913</v>
      </c>
      <c r="D8" s="797">
        <f>结果表!H103</f>
        <v>0</v>
      </c>
    </row>
    <row r="9" spans="1:5" ht="15.75">
      <c r="B9" s="320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96" t="str">
        <f>结果表!E107</f>
        <v>3.房地产抵押价值</v>
      </c>
      <c r="C13" s="1396" t="s">
        <v>910</v>
      </c>
      <c r="D13" s="799">
        <f ca="1">结果表!H107</f>
        <v>57308</v>
      </c>
    </row>
    <row r="14" spans="1:5" ht="15.75">
      <c r="B14" s="3197"/>
      <c r="C14" s="1391" t="s">
        <v>911</v>
      </c>
      <c r="D14" s="796" t="str">
        <f ca="1">NUMBERSTRING(INT(D13*10000),2)&amp;"元整"</f>
        <v>伍亿柒仟叁佰零捌万元整</v>
      </c>
    </row>
    <row r="15" spans="1:5" ht="15">
      <c r="B15" s="3202"/>
      <c r="C15" s="1392" t="s">
        <v>921</v>
      </c>
      <c r="D15" s="805">
        <f ca="1">结果表!H108</f>
        <v>7961</v>
      </c>
    </row>
    <row r="16" spans="1:5" ht="15">
      <c r="B16" s="3203" t="str">
        <f>结果表!E109</f>
        <v>——</v>
      </c>
      <c r="C16" s="1396" t="s">
        <v>922</v>
      </c>
      <c r="D16" s="1397" t="str">
        <f>结果表!H109</f>
        <v>——</v>
      </c>
    </row>
    <row r="17" spans="1:5" ht="15.75">
      <c r="B17" s="3204"/>
      <c r="C17" s="1391" t="s">
        <v>923</v>
      </c>
      <c r="D17" s="796" t="e">
        <f>NUMBERSTRING(INT(D16*10000),2)&amp;"元整"</f>
        <v>#VALUE!</v>
      </c>
    </row>
    <row r="18" spans="1:5" ht="15">
      <c r="B18" s="3205"/>
      <c r="C18" s="1392" t="s">
        <v>912</v>
      </c>
      <c r="D18" s="805" t="str">
        <f>结果表!H110</f>
        <v>——</v>
      </c>
    </row>
    <row r="19" spans="1:5" ht="15.75">
      <c r="B19" s="3196" t="str">
        <f>结果表!E111</f>
        <v>——</v>
      </c>
      <c r="C19" s="1396" t="s">
        <v>910</v>
      </c>
      <c r="D19" s="797" t="str">
        <f>结果表!H111</f>
        <v>——</v>
      </c>
    </row>
    <row r="20" spans="1:5" ht="15.75">
      <c r="B20" s="3197"/>
      <c r="C20" s="1391" t="s">
        <v>923</v>
      </c>
      <c r="D20" s="796" t="e">
        <f>NUMBERSTRING(INT(D19*10000),2)&amp;"元整"</f>
        <v>#VALUE!</v>
      </c>
    </row>
    <row r="21" spans="1:5" ht="15.75" thickBot="1">
      <c r="B21" s="3198"/>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20"/>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8"/>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94"/>
      <c r="B4" s="3495"/>
      <c r="C4" s="3495"/>
      <c r="D4" s="3496"/>
      <c r="E4" s="3496"/>
      <c r="F4" s="3496"/>
      <c r="G4" s="3496"/>
      <c r="H4" s="3496"/>
      <c r="I4" s="3496"/>
      <c r="J4" s="349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91" t="s">
        <v>1960</v>
      </c>
      <c r="X8" s="349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93"/>
      <c r="X9" s="3064" t="s">
        <v>3259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9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6" t="s">
        <v>1988</v>
      </c>
      <c r="F14" s="3020" t="s">
        <v>3234</v>
      </c>
      <c r="G14" s="3020" t="s">
        <v>3234</v>
      </c>
      <c r="H14" s="3020" t="s">
        <v>3234</v>
      </c>
      <c r="I14" s="3020" t="s">
        <v>3234</v>
      </c>
      <c r="J14" s="3020" t="s">
        <v>3234</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t="e">
        <f>ROUND(G18/I18,2)</f>
        <v>#DIV/0!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98" t="s">
        <v>3245</v>
      </c>
      <c r="B20" s="158" t="s">
        <v>1994</v>
      </c>
      <c r="C20" s="3031" t="e">
        <f>ROUND(IF(F21="与级别开发程度一致",0,(G21-E21)/C21),0)</f>
        <v>#DIV/0!</v>
      </c>
      <c r="D20" s="3046" t="s">
        <v>1998</v>
      </c>
      <c r="E20" s="3047"/>
      <c r="F20" s="3504" t="s">
        <v>1995</v>
      </c>
      <c r="G20" s="3505"/>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99"/>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45819</v>
      </c>
      <c r="H23" s="3048" t="s">
        <v>3247</v>
      </c>
      <c r="I23" s="3049" t="str">
        <f>IF(H23="季度增幅（自定义）",SUMIF(N25:N28,E2,O25:O28),"")</f>
        <v/>
      </c>
      <c r="J23" s="3141" t="s">
        <v>3246</v>
      </c>
      <c r="K23" s="1060"/>
      <c r="L23" s="1896" t="s">
        <v>2004</v>
      </c>
      <c r="M23" s="1240">
        <f>ROUND(SUMIF(地价!B2:G2,E2,地价!B16:G16),0)</f>
        <v>0</v>
      </c>
      <c r="N23" s="1897" t="s">
        <v>2005</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3326</v>
      </c>
      <c r="C25" s="460">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3248</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3249</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50" t="s">
        <v>3251</v>
      </c>
      <c r="G33" s="1940"/>
      <c r="H33" s="1940"/>
      <c r="I33" s="1940"/>
      <c r="J33" s="1941"/>
      <c r="K33" s="1055"/>
      <c r="L33" s="3053" t="s">
        <v>3254</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3" t="s">
        <v>3255</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3252</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3256</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502"/>
      <c r="B37" s="1954" t="s">
        <v>2036</v>
      </c>
      <c r="C37" s="166" t="e">
        <f>ROUND(D5*C22*C23*C24*C28*F37,0)</f>
        <v>#DIV/0!</v>
      </c>
      <c r="D37" s="1939"/>
      <c r="E37" s="162" t="e">
        <f>ROUND(C37*D37/10000,0)</f>
        <v>#DIV/0!</v>
      </c>
      <c r="F37" s="162">
        <f>SUMIF(修正!A57:A68,G2,修正!B57:B68)</f>
        <v>0</v>
      </c>
      <c r="G37" s="162" t="e">
        <f>ROUND(IF(E2="工业",C37*$M$42,C37*$M$41),0)</f>
        <v>#DIV/0!</v>
      </c>
      <c r="H37" s="162">
        <f>D37</f>
        <v>0</v>
      </c>
      <c r="I37" s="162" t="e">
        <f>ROUND(G37*H37/10000,0)</f>
        <v>#DIV/0!</v>
      </c>
      <c r="J37" s="2754"/>
      <c r="K37" s="3061" t="s">
        <v>3257</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03"/>
      <c r="B38" s="1883" t="s">
        <v>2037</v>
      </c>
      <c r="C38" s="166" t="e">
        <f>ROUND(D5*C22*C23*C24*C28*F38,0)</f>
        <v>#DIV/0!</v>
      </c>
      <c r="D38" s="193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503"/>
      <c r="B39" s="1883" t="s">
        <v>3250</v>
      </c>
      <c r="C39" s="166" t="e">
        <f>ROUND(D5*C22*C23*C24*C28*F39,0)</f>
        <v>#DIV/0!</v>
      </c>
      <c r="D39" s="1939"/>
      <c r="E39" s="162" t="e">
        <f t="shared" si="4"/>
        <v>#DIV/0!</v>
      </c>
      <c r="F39" s="162">
        <f>SUMIF(修正!A57:A68,G2,修正!D57:D68)</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SUMIF(修正!A57:A68,G2,修正!E57:E68)</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SUMIF(修正!A57:A68,G2,修正!F57:F68)</f>
        <v>0</v>
      </c>
      <c r="G41" s="162" t="e">
        <f>ROUND(IF(E2="工业",C41*$M$42,C41*$M$41),0)</f>
        <v>#DIV/0!</v>
      </c>
      <c r="H41" s="162">
        <f t="shared" si="5"/>
        <v>0</v>
      </c>
      <c r="I41" s="162" t="e">
        <f t="shared" si="6"/>
        <v>#DIV/0!</v>
      </c>
      <c r="J41" s="938"/>
      <c r="L41" s="3062" t="s">
        <v>3258</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SUMIF(修正!A57:A68,G2,修正!G57:G68)</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3260</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3260</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3260</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3261</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3262</v>
      </c>
      <c r="B92" s="2309"/>
      <c r="C92" s="2309" t="s">
        <v>3271</v>
      </c>
      <c r="D92" s="2309" t="s">
        <v>3272</v>
      </c>
      <c r="E92" s="3052" t="s">
        <v>3273</v>
      </c>
      <c r="F92" s="3082" t="s">
        <v>3274</v>
      </c>
      <c r="G92" s="2309" t="s">
        <v>3275</v>
      </c>
      <c r="H92" s="3089" t="s">
        <v>3278</v>
      </c>
      <c r="I92" s="2309" t="s">
        <v>3279</v>
      </c>
      <c r="J92" s="2149" t="s">
        <v>3280</v>
      </c>
      <c r="K92" s="2149" t="s">
        <v>3281</v>
      </c>
      <c r="L92" s="2149" t="s">
        <v>3282</v>
      </c>
      <c r="M92" s="2149" t="s">
        <v>3283</v>
      </c>
      <c r="N92" s="2149" t="s">
        <v>3284</v>
      </c>
    </row>
    <row r="93" spans="1:37" ht="24">
      <c r="A93" s="3070" t="s">
        <v>3263</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3264</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3260</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3265</v>
      </c>
      <c r="B96" s="3086" t="s">
        <v>3276</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3266</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3267</v>
      </c>
      <c r="B98" s="3087" t="s">
        <v>3277</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3268</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3269</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3270</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500" t="s">
        <v>3285</v>
      </c>
      <c r="B103" s="3500"/>
      <c r="C103" s="3500"/>
      <c r="D103" s="3500"/>
      <c r="E103" s="3500"/>
      <c r="F103" s="3500"/>
      <c r="G103" s="3500"/>
      <c r="H103" s="3500"/>
      <c r="I103" s="3500"/>
      <c r="J103" s="3500"/>
      <c r="K103" s="1666"/>
      <c r="L103" s="1666"/>
      <c r="M103" s="1666"/>
      <c r="N103" s="1666"/>
    </row>
    <row r="104" spans="1:14">
      <c r="A104" s="3501" t="s">
        <v>3286</v>
      </c>
      <c r="B104" s="3501" t="s">
        <v>3287</v>
      </c>
      <c r="C104" s="3090" t="s">
        <v>3288</v>
      </c>
      <c r="D104" s="3091"/>
      <c r="E104" s="3091"/>
      <c r="F104" s="3091"/>
      <c r="G104" s="3091"/>
      <c r="H104" s="3091"/>
      <c r="I104" s="3091"/>
      <c r="J104" s="3092"/>
      <c r="K104" s="3093"/>
      <c r="L104" s="3093"/>
      <c r="M104" s="3093"/>
      <c r="N104" s="3093"/>
    </row>
    <row r="105" spans="1:14">
      <c r="A105" s="3501"/>
      <c r="B105" s="3501"/>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487"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8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8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8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8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88"/>
      <c r="B111" s="3094" t="s">
        <v>3259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8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90" t="s">
        <v>3302</v>
      </c>
      <c r="B113" s="3490"/>
      <c r="C113" s="3490"/>
      <c r="D113" s="3490"/>
      <c r="E113" s="3490"/>
      <c r="F113" s="3490"/>
      <c r="G113" s="3490"/>
      <c r="H113" s="3490"/>
      <c r="I113" s="3490"/>
      <c r="J113" s="3490"/>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3303</v>
      </c>
      <c r="B116" s="3114">
        <f>G3</f>
        <v>0</v>
      </c>
      <c r="C116" s="3099" t="s">
        <v>3304</v>
      </c>
      <c r="D116" s="3100">
        <f>SUMPRODUCT((A118:A122=F116)*(B117:M117=H116)*B118:M122)</f>
        <v>0</v>
      </c>
      <c r="E116" s="161" t="s">
        <v>3305</v>
      </c>
      <c r="F116" s="3101">
        <f>E2</f>
        <v>0</v>
      </c>
      <c r="G116" s="161" t="s">
        <v>3306</v>
      </c>
      <c r="H116" s="3101">
        <f>G2</f>
        <v>0</v>
      </c>
      <c r="I116" s="161"/>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3320</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3321</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3322</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2603</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15" t="s">
        <v>2598</v>
      </c>
      <c r="B20" s="3510" t="s">
        <v>2619</v>
      </c>
      <c r="C20" s="2842" t="s">
        <v>2430</v>
      </c>
      <c r="D20" s="2843"/>
      <c r="E20" s="2844">
        <v>1</v>
      </c>
      <c r="F20" s="2845" t="s">
        <v>2431</v>
      </c>
      <c r="G20" s="2845"/>
    </row>
    <row r="21" spans="1:13" ht="19.5" customHeight="1">
      <c r="A21" s="3516"/>
      <c r="B21" s="3509"/>
      <c r="C21" s="2846" t="s">
        <v>2432</v>
      </c>
      <c r="D21" s="2847"/>
      <c r="E21" s="2848">
        <v>1</v>
      </c>
      <c r="F21" s="2845" t="s">
        <v>2433</v>
      </c>
      <c r="G21" s="2845"/>
    </row>
    <row r="22" spans="1:13" ht="19.5" customHeight="1">
      <c r="A22" s="3516"/>
      <c r="B22" s="3509"/>
      <c r="C22" s="2846" t="s">
        <v>2434</v>
      </c>
      <c r="D22" s="2847"/>
      <c r="E22" s="2848">
        <v>0.9</v>
      </c>
      <c r="F22" s="2845" t="s">
        <v>2435</v>
      </c>
      <c r="G22" s="2845"/>
    </row>
    <row r="23" spans="1:13" ht="19.5" customHeight="1">
      <c r="A23" s="3516"/>
      <c r="B23" s="3509"/>
      <c r="C23" s="2846" t="s">
        <v>2436</v>
      </c>
      <c r="D23" s="2847"/>
      <c r="E23" s="2848">
        <v>0.9</v>
      </c>
      <c r="F23" s="2845" t="s">
        <v>2437</v>
      </c>
      <c r="G23" s="2845"/>
    </row>
    <row r="24" spans="1:13" ht="19.5" customHeight="1">
      <c r="A24" s="3516"/>
      <c r="B24" s="3509"/>
      <c r="C24" s="2846" t="s">
        <v>2438</v>
      </c>
      <c r="D24" s="2847"/>
      <c r="E24" s="2848">
        <v>0.8</v>
      </c>
      <c r="F24" s="2845" t="s">
        <v>2439</v>
      </c>
      <c r="G24" s="2845"/>
    </row>
    <row r="25" spans="1:13" ht="19.5" customHeight="1" thickBot="1">
      <c r="A25" s="3517"/>
      <c r="B25" s="3511"/>
      <c r="C25" s="2849" t="s">
        <v>2440</v>
      </c>
      <c r="D25" s="2850"/>
      <c r="E25" s="2851">
        <v>0.8</v>
      </c>
      <c r="F25" s="2845" t="s">
        <v>2441</v>
      </c>
      <c r="G25" s="2845"/>
    </row>
    <row r="26" spans="1:13" ht="19.5" customHeight="1" thickBot="1">
      <c r="A26" s="2852" t="s">
        <v>2620</v>
      </c>
      <c r="B26" s="2853" t="s">
        <v>2619</v>
      </c>
      <c r="C26" s="2854" t="s">
        <v>2621</v>
      </c>
      <c r="D26" s="2855"/>
      <c r="E26" s="2856">
        <v>1</v>
      </c>
      <c r="F26" s="2845" t="s">
        <v>2442</v>
      </c>
      <c r="G26" s="2845"/>
    </row>
    <row r="27" spans="1:13" ht="19.5" customHeight="1">
      <c r="A27" s="3512" t="s">
        <v>2622</v>
      </c>
      <c r="B27" s="3510" t="s">
        <v>2603</v>
      </c>
      <c r="C27" s="2842" t="s">
        <v>2443</v>
      </c>
      <c r="D27" s="2843"/>
      <c r="E27" s="2844">
        <v>1</v>
      </c>
      <c r="F27" s="2845" t="s">
        <v>2444</v>
      </c>
      <c r="G27" s="2845"/>
    </row>
    <row r="28" spans="1:13" ht="19.5" customHeight="1">
      <c r="A28" s="3513"/>
      <c r="B28" s="3509"/>
      <c r="C28" s="2846" t="s">
        <v>2445</v>
      </c>
      <c r="D28" s="2847"/>
      <c r="E28" s="2848">
        <v>1</v>
      </c>
      <c r="F28" s="2845" t="s">
        <v>2446</v>
      </c>
      <c r="G28" s="2845"/>
    </row>
    <row r="29" spans="1:13" ht="19.5" customHeight="1">
      <c r="A29" s="3513"/>
      <c r="B29" s="3509"/>
      <c r="C29" s="2846" t="s">
        <v>2447</v>
      </c>
      <c r="D29" s="2847"/>
      <c r="E29" s="2848">
        <v>0.8</v>
      </c>
      <c r="F29" s="2845" t="s">
        <v>2448</v>
      </c>
      <c r="G29" s="2845"/>
    </row>
    <row r="30" spans="1:13" ht="19.5" customHeight="1">
      <c r="A30" s="3513"/>
      <c r="B30" s="3509"/>
      <c r="C30" s="2846" t="s">
        <v>2449</v>
      </c>
      <c r="D30" s="2847"/>
      <c r="E30" s="2848">
        <v>0.8</v>
      </c>
      <c r="F30" s="2845" t="s">
        <v>2450</v>
      </c>
      <c r="G30" s="2845"/>
    </row>
    <row r="31" spans="1:13" ht="19.5" customHeight="1">
      <c r="A31" s="3513"/>
      <c r="B31" s="3509"/>
      <c r="C31" s="2846" t="s">
        <v>2451</v>
      </c>
      <c r="D31" s="2847"/>
      <c r="E31" s="2848">
        <v>0.8</v>
      </c>
      <c r="F31" s="2845" t="s">
        <v>2452</v>
      </c>
      <c r="G31" s="2845"/>
    </row>
    <row r="32" spans="1:13" ht="19.5" customHeight="1">
      <c r="A32" s="3513"/>
      <c r="B32" s="3509"/>
      <c r="C32" s="2846" t="s">
        <v>2453</v>
      </c>
      <c r="D32" s="2847"/>
      <c r="E32" s="2848">
        <v>0.7</v>
      </c>
      <c r="F32" s="2845" t="s">
        <v>2454</v>
      </c>
      <c r="G32" s="2845"/>
    </row>
    <row r="33" spans="1:7" ht="19.5" customHeight="1">
      <c r="A33" s="3513"/>
      <c r="B33" s="3509"/>
      <c r="C33" s="2846" t="s">
        <v>2455</v>
      </c>
      <c r="D33" s="2847"/>
      <c r="E33" s="2848">
        <v>0.8</v>
      </c>
      <c r="F33" s="2845" t="s">
        <v>2456</v>
      </c>
      <c r="G33" s="2845"/>
    </row>
    <row r="34" spans="1:7" ht="19.5" customHeight="1">
      <c r="A34" s="3513"/>
      <c r="B34" s="3509"/>
      <c r="C34" s="2846" t="s">
        <v>2457</v>
      </c>
      <c r="D34" s="2847"/>
      <c r="E34" s="2848">
        <v>0.6</v>
      </c>
      <c r="F34" s="2845" t="s">
        <v>2458</v>
      </c>
      <c r="G34" s="2845"/>
    </row>
    <row r="35" spans="1:7" ht="19.5" customHeight="1">
      <c r="A35" s="3513"/>
      <c r="B35" s="3509"/>
      <c r="C35" s="2846" t="s">
        <v>2459</v>
      </c>
      <c r="D35" s="2847"/>
      <c r="E35" s="2848">
        <v>0.2</v>
      </c>
      <c r="F35" s="2845" t="s">
        <v>2460</v>
      </c>
      <c r="G35" s="2845"/>
    </row>
    <row r="36" spans="1:7" ht="19.5" customHeight="1">
      <c r="A36" s="3513"/>
      <c r="B36" s="3509"/>
      <c r="C36" s="2846" t="s">
        <v>2461</v>
      </c>
      <c r="D36" s="2847"/>
      <c r="E36" s="2848">
        <v>0.2</v>
      </c>
      <c r="F36" s="2845" t="s">
        <v>2462</v>
      </c>
      <c r="G36" s="2845"/>
    </row>
    <row r="37" spans="1:7" ht="19.5" customHeight="1">
      <c r="A37" s="3513"/>
      <c r="B37" s="3507" t="s">
        <v>2623</v>
      </c>
      <c r="C37" s="2846" t="s">
        <v>2463</v>
      </c>
      <c r="D37" s="2847"/>
      <c r="E37" s="2848">
        <v>0.6</v>
      </c>
      <c r="F37" s="2845" t="s">
        <v>2464</v>
      </c>
      <c r="G37" s="2845"/>
    </row>
    <row r="38" spans="1:7" ht="19.5" customHeight="1">
      <c r="A38" s="3513"/>
      <c r="B38" s="3509"/>
      <c r="C38" s="2846" t="s">
        <v>2465</v>
      </c>
      <c r="D38" s="2847"/>
      <c r="E38" s="2848">
        <v>0.6</v>
      </c>
      <c r="F38" s="2845" t="s">
        <v>2466</v>
      </c>
      <c r="G38" s="2845"/>
    </row>
    <row r="39" spans="1:7" ht="19.5" customHeight="1" thickBot="1">
      <c r="A39" s="3514"/>
      <c r="B39" s="3511"/>
      <c r="C39" s="2849" t="s">
        <v>2467</v>
      </c>
      <c r="D39" s="2850"/>
      <c r="E39" s="2851">
        <v>0.6</v>
      </c>
      <c r="F39" s="2845" t="s">
        <v>2468</v>
      </c>
      <c r="G39" s="2845"/>
    </row>
    <row r="40" spans="1:7" ht="19.5" customHeight="1" thickBot="1">
      <c r="A40" s="2852" t="s">
        <v>2600</v>
      </c>
      <c r="B40" s="2853" t="s">
        <v>2600</v>
      </c>
      <c r="C40" s="2854" t="s">
        <v>2624</v>
      </c>
      <c r="D40" s="2855"/>
      <c r="E40" s="2856">
        <v>1</v>
      </c>
      <c r="F40" s="2845" t="s">
        <v>2469</v>
      </c>
      <c r="G40" s="2845"/>
    </row>
    <row r="41" spans="1:7" ht="19.5" customHeight="1">
      <c r="A41" s="3515" t="s">
        <v>2601</v>
      </c>
      <c r="B41" s="3510" t="s">
        <v>2625</v>
      </c>
      <c r="C41" s="2842" t="s">
        <v>2470</v>
      </c>
      <c r="D41" s="2843"/>
      <c r="E41" s="2844">
        <v>1</v>
      </c>
      <c r="F41" s="2845" t="s">
        <v>2471</v>
      </c>
      <c r="G41" s="2845"/>
    </row>
    <row r="42" spans="1:7" ht="19.5" customHeight="1">
      <c r="A42" s="3516"/>
      <c r="B42" s="3509"/>
      <c r="C42" s="2846" t="s">
        <v>2472</v>
      </c>
      <c r="D42" s="2847"/>
      <c r="E42" s="2848">
        <v>1</v>
      </c>
      <c r="F42" s="2845" t="s">
        <v>2473</v>
      </c>
      <c r="G42" s="2845"/>
    </row>
    <row r="43" spans="1:7" ht="19.5" customHeight="1">
      <c r="A43" s="3516"/>
      <c r="B43" s="3508"/>
      <c r="C43" s="2846" t="s">
        <v>2474</v>
      </c>
      <c r="D43" s="2847"/>
      <c r="E43" s="2848">
        <v>1.5</v>
      </c>
      <c r="F43" s="2845" t="s">
        <v>2475</v>
      </c>
      <c r="G43" s="2845"/>
    </row>
    <row r="44" spans="1:7" ht="19.5" customHeight="1">
      <c r="A44" s="3516"/>
      <c r="B44" s="2857" t="s">
        <v>2626</v>
      </c>
      <c r="C44" s="2846" t="s">
        <v>2627</v>
      </c>
      <c r="D44" s="2847"/>
      <c r="E44" s="2848">
        <v>2</v>
      </c>
      <c r="F44" s="2845" t="s">
        <v>2476</v>
      </c>
      <c r="G44" s="2845"/>
    </row>
    <row r="45" spans="1:7" ht="19.5" customHeight="1">
      <c r="A45" s="3516"/>
      <c r="B45" s="3507" t="s">
        <v>2628</v>
      </c>
      <c r="C45" s="2846" t="s">
        <v>2477</v>
      </c>
      <c r="D45" s="2847"/>
      <c r="E45" s="2848">
        <v>1</v>
      </c>
      <c r="F45" s="2845" t="s">
        <v>2478</v>
      </c>
      <c r="G45" s="2845"/>
    </row>
    <row r="46" spans="1:7" ht="19.5" customHeight="1">
      <c r="A46" s="3516"/>
      <c r="B46" s="3509"/>
      <c r="C46" s="2846" t="s">
        <v>2479</v>
      </c>
      <c r="D46" s="2847"/>
      <c r="E46" s="2848">
        <v>1</v>
      </c>
      <c r="F46" s="2845" t="s">
        <v>2480</v>
      </c>
      <c r="G46" s="2845"/>
    </row>
    <row r="47" spans="1:7" ht="19.5" customHeight="1">
      <c r="A47" s="3516"/>
      <c r="B47" s="3509"/>
      <c r="C47" s="2846" t="s">
        <v>2481</v>
      </c>
      <c r="D47" s="2847"/>
      <c r="E47" s="2848">
        <v>1</v>
      </c>
      <c r="F47" s="2845" t="s">
        <v>2482</v>
      </c>
      <c r="G47" s="2845"/>
    </row>
    <row r="48" spans="1:7" ht="19.5" customHeight="1">
      <c r="A48" s="3516"/>
      <c r="B48" s="3509"/>
      <c r="C48" s="2846" t="s">
        <v>2483</v>
      </c>
      <c r="D48" s="2847"/>
      <c r="E48" s="2848">
        <v>1</v>
      </c>
      <c r="F48" s="2845" t="s">
        <v>2484</v>
      </c>
      <c r="G48" s="2845"/>
    </row>
    <row r="49" spans="1:7" ht="19.5" customHeight="1">
      <c r="A49" s="3516"/>
      <c r="B49" s="3509"/>
      <c r="C49" s="2846" t="s">
        <v>2485</v>
      </c>
      <c r="D49" s="2847"/>
      <c r="E49" s="2848">
        <v>1</v>
      </c>
      <c r="F49" s="2845" t="s">
        <v>2486</v>
      </c>
      <c r="G49" s="2845"/>
    </row>
    <row r="50" spans="1:7" ht="19.5" customHeight="1">
      <c r="A50" s="3516"/>
      <c r="B50" s="3509"/>
      <c r="C50" s="2846" t="s">
        <v>2487</v>
      </c>
      <c r="D50" s="2847"/>
      <c r="E50" s="2848">
        <v>1</v>
      </c>
      <c r="F50" s="2845" t="s">
        <v>2488</v>
      </c>
      <c r="G50" s="2845"/>
    </row>
    <row r="51" spans="1:7" ht="19.5" customHeight="1" thickBot="1">
      <c r="A51" s="3517"/>
      <c r="B51" s="3511"/>
      <c r="C51" s="2849" t="s">
        <v>2489</v>
      </c>
      <c r="D51" s="2850"/>
      <c r="E51" s="2851">
        <v>1</v>
      </c>
      <c r="F51" s="2845" t="s">
        <v>2490</v>
      </c>
      <c r="G51" s="2845"/>
    </row>
    <row r="52" spans="1:7" ht="19.5" customHeight="1">
      <c r="A52" s="2858"/>
      <c r="B52" s="2858"/>
      <c r="C52" s="2858"/>
      <c r="D52" s="2858"/>
      <c r="E52" s="2858"/>
      <c r="F52" s="2858"/>
      <c r="G52" s="2858"/>
    </row>
    <row r="54" spans="1:7" ht="19.5" customHeight="1">
      <c r="A54" s="2859"/>
      <c r="B54" s="2831" t="s">
        <v>2629</v>
      </c>
      <c r="C54" s="2831" t="s">
        <v>2629</v>
      </c>
      <c r="D54" s="2831" t="s">
        <v>2629</v>
      </c>
      <c r="E54" s="2834" t="s">
        <v>2629</v>
      </c>
      <c r="F54" s="2834" t="s">
        <v>2630</v>
      </c>
      <c r="G54" s="2834" t="s">
        <v>2631</v>
      </c>
    </row>
    <row r="55" spans="1:7" ht="19.5" customHeight="1">
      <c r="A55" s="2860"/>
      <c r="B55" s="2834" t="s">
        <v>2598</v>
      </c>
      <c r="C55" s="2834" t="s">
        <v>2598</v>
      </c>
      <c r="D55" s="2834" t="s">
        <v>2598</v>
      </c>
      <c r="E55" s="2831" t="s">
        <v>2599</v>
      </c>
      <c r="F55" s="2831" t="s">
        <v>2601</v>
      </c>
      <c r="G55" s="2831" t="s">
        <v>2632</v>
      </c>
    </row>
    <row r="56" spans="1:7" ht="19.5" customHeight="1">
      <c r="A56" s="2861"/>
      <c r="B56" s="2831">
        <v>1</v>
      </c>
      <c r="C56" s="2831">
        <v>2</v>
      </c>
      <c r="D56" s="2831">
        <v>3</v>
      </c>
      <c r="E56" s="2862" t="s">
        <v>2633</v>
      </c>
      <c r="F56" s="2862" t="s">
        <v>2633</v>
      </c>
      <c r="G56" s="2862" t="s">
        <v>2633</v>
      </c>
    </row>
    <row r="57" spans="1:7" ht="19.5" customHeight="1">
      <c r="A57" s="2863" t="s">
        <v>2586</v>
      </c>
      <c r="B57" s="2831">
        <v>0.7</v>
      </c>
      <c r="C57" s="2831">
        <v>0.4</v>
      </c>
      <c r="D57" s="2831">
        <v>0.3</v>
      </c>
      <c r="E57" s="2862">
        <v>0.3</v>
      </c>
      <c r="F57" s="2831">
        <v>0.3</v>
      </c>
      <c r="G57" s="2831">
        <v>0.2</v>
      </c>
    </row>
    <row r="58" spans="1:7" ht="19.5" customHeight="1">
      <c r="A58" s="2863" t="s">
        <v>2587</v>
      </c>
      <c r="B58" s="2831">
        <v>0.7</v>
      </c>
      <c r="C58" s="2831">
        <v>0.4</v>
      </c>
      <c r="D58" s="2831">
        <v>0.3</v>
      </c>
      <c r="E58" s="2831">
        <v>0.3</v>
      </c>
      <c r="F58" s="2831">
        <v>0.3</v>
      </c>
      <c r="G58" s="2831">
        <v>0.2</v>
      </c>
    </row>
    <row r="59" spans="1:7" ht="19.5" customHeight="1">
      <c r="A59" s="2863" t="s">
        <v>2588</v>
      </c>
      <c r="B59" s="2831">
        <v>0.6</v>
      </c>
      <c r="C59" s="2831">
        <v>0.3</v>
      </c>
      <c r="D59" s="2831">
        <v>0.25</v>
      </c>
      <c r="E59" s="2831">
        <v>0.25</v>
      </c>
      <c r="F59" s="2831">
        <v>0.25</v>
      </c>
      <c r="G59" s="2831">
        <v>0.15</v>
      </c>
    </row>
    <row r="60" spans="1:7" ht="19.5" customHeight="1">
      <c r="A60" s="2863" t="s">
        <v>2589</v>
      </c>
      <c r="B60" s="2831">
        <v>0.6</v>
      </c>
      <c r="C60" s="2831">
        <v>0.3</v>
      </c>
      <c r="D60" s="2831">
        <v>0.25</v>
      </c>
      <c r="E60" s="2831">
        <v>0.25</v>
      </c>
      <c r="F60" s="2831">
        <v>0.25</v>
      </c>
      <c r="G60" s="2831">
        <v>0.15</v>
      </c>
    </row>
    <row r="61" spans="1:7" ht="19.5" customHeight="1">
      <c r="A61" s="2863" t="s">
        <v>2590</v>
      </c>
      <c r="B61" s="2831">
        <v>0.6</v>
      </c>
      <c r="C61" s="2831">
        <v>0.3</v>
      </c>
      <c r="D61" s="2831">
        <v>0.25</v>
      </c>
      <c r="E61" s="2831">
        <v>0.25</v>
      </c>
      <c r="F61" s="2831">
        <v>0.25</v>
      </c>
      <c r="G61" s="2831">
        <v>0.15</v>
      </c>
    </row>
    <row r="62" spans="1:7" ht="19.5" customHeight="1">
      <c r="A62" s="2863" t="s">
        <v>2591</v>
      </c>
      <c r="B62" s="2831">
        <v>0.6</v>
      </c>
      <c r="C62" s="2831">
        <v>0.3</v>
      </c>
      <c r="D62" s="2831">
        <v>0.25</v>
      </c>
      <c r="E62" s="2831">
        <v>0.25</v>
      </c>
      <c r="F62" s="2831">
        <v>0.25</v>
      </c>
      <c r="G62" s="2831">
        <v>0.15</v>
      </c>
    </row>
    <row r="63" spans="1:7" ht="19.5" customHeight="1">
      <c r="A63" s="2863" t="s">
        <v>2592</v>
      </c>
      <c r="B63" s="2831">
        <v>0.6</v>
      </c>
      <c r="C63" s="2831">
        <v>0.3</v>
      </c>
      <c r="D63" s="2831">
        <v>0.25</v>
      </c>
      <c r="E63" s="2831">
        <v>0.25</v>
      </c>
      <c r="F63" s="2831">
        <v>0.25</v>
      </c>
      <c r="G63" s="2831">
        <v>0.15</v>
      </c>
    </row>
    <row r="64" spans="1:7" ht="19.5" customHeight="1">
      <c r="A64" s="2863" t="s">
        <v>2593</v>
      </c>
      <c r="B64" s="2831">
        <v>0.5</v>
      </c>
      <c r="C64" s="2831">
        <v>0.2</v>
      </c>
      <c r="D64" s="2831">
        <v>0.2</v>
      </c>
      <c r="E64" s="2831">
        <v>0.2</v>
      </c>
      <c r="F64" s="2831">
        <v>0.2</v>
      </c>
      <c r="G64" s="2831">
        <v>0.1</v>
      </c>
    </row>
    <row r="65" spans="1:7" ht="19.5" customHeight="1">
      <c r="A65" s="2863" t="s">
        <v>2594</v>
      </c>
      <c r="B65" s="2831">
        <v>0.5</v>
      </c>
      <c r="C65" s="2831">
        <v>0.2</v>
      </c>
      <c r="D65" s="2831">
        <v>0.2</v>
      </c>
      <c r="E65" s="2831">
        <v>0.2</v>
      </c>
      <c r="F65" s="2831">
        <v>0.2</v>
      </c>
      <c r="G65" s="2831">
        <v>0.1</v>
      </c>
    </row>
    <row r="66" spans="1:7" ht="19.5" customHeight="1">
      <c r="A66" s="2863" t="s">
        <v>2595</v>
      </c>
      <c r="B66" s="2831">
        <v>0.5</v>
      </c>
      <c r="C66" s="2831">
        <v>0.2</v>
      </c>
      <c r="D66" s="2831">
        <v>0.2</v>
      </c>
      <c r="E66" s="2831">
        <v>0.2</v>
      </c>
      <c r="F66" s="2831">
        <v>0.2</v>
      </c>
      <c r="G66" s="2831">
        <v>0.1</v>
      </c>
    </row>
    <row r="67" spans="1:7" ht="19.5" customHeight="1">
      <c r="A67" s="2863" t="s">
        <v>2596</v>
      </c>
      <c r="B67" s="2831">
        <v>0.5</v>
      </c>
      <c r="C67" s="2831">
        <v>0.2</v>
      </c>
      <c r="D67" s="2831">
        <v>0.2</v>
      </c>
      <c r="E67" s="2831">
        <v>0.2</v>
      </c>
      <c r="F67" s="2831">
        <v>0.2</v>
      </c>
      <c r="G67" s="2831">
        <v>0.1</v>
      </c>
    </row>
    <row r="68" spans="1:7" ht="19.5" customHeight="1">
      <c r="A68" s="2863" t="s">
        <v>2597</v>
      </c>
      <c r="B68" s="2831">
        <v>0.5</v>
      </c>
      <c r="C68" s="2831">
        <v>0.2</v>
      </c>
      <c r="D68" s="2831">
        <v>0.2</v>
      </c>
      <c r="E68" s="2831">
        <v>0.2</v>
      </c>
      <c r="F68" s="2831">
        <v>0.2</v>
      </c>
      <c r="G68" s="2831">
        <v>0.1</v>
      </c>
    </row>
    <row r="70" spans="1:7" ht="19.5" customHeight="1">
      <c r="A70" s="2845"/>
      <c r="B70" s="2864"/>
      <c r="C70" s="2864"/>
      <c r="D70" s="2864" t="s">
        <v>2634</v>
      </c>
      <c r="E70" s="2864"/>
      <c r="F70" s="2864"/>
    </row>
    <row r="71" spans="1:7" ht="19.5" customHeight="1">
      <c r="A71" s="2857" t="s">
        <v>2635</v>
      </c>
      <c r="B71" s="2857" t="s">
        <v>2636</v>
      </c>
      <c r="C71" s="2857" t="s">
        <v>2637</v>
      </c>
      <c r="D71" s="2857" t="s">
        <v>2638</v>
      </c>
      <c r="E71" s="2857" t="s">
        <v>2639</v>
      </c>
      <c r="F71" s="2857" t="s">
        <v>2640</v>
      </c>
    </row>
    <row r="72" spans="1:7" ht="13.5">
      <c r="A72" s="2857"/>
      <c r="B72" s="2857"/>
      <c r="C72" s="2857" t="s">
        <v>2641</v>
      </c>
      <c r="D72" s="2857"/>
      <c r="E72" s="2857" t="s">
        <v>2612</v>
      </c>
      <c r="F72" s="2857" t="s">
        <v>2612</v>
      </c>
    </row>
    <row r="73" spans="1:7" ht="13.5">
      <c r="A73" s="2857">
        <v>1</v>
      </c>
      <c r="B73" s="3507" t="s">
        <v>2642</v>
      </c>
      <c r="C73" s="2831" t="s">
        <v>2643</v>
      </c>
      <c r="D73" s="2831" t="s">
        <v>2644</v>
      </c>
      <c r="E73" s="2857">
        <v>0.2</v>
      </c>
      <c r="F73" s="2857">
        <v>25</v>
      </c>
    </row>
    <row r="74" spans="1:7" ht="24">
      <c r="A74" s="2857">
        <v>2</v>
      </c>
      <c r="B74" s="3509"/>
      <c r="C74" s="2831" t="s">
        <v>2645</v>
      </c>
      <c r="D74" s="2831" t="s">
        <v>2646</v>
      </c>
      <c r="E74" s="2857">
        <v>0.2</v>
      </c>
      <c r="F74" s="2857">
        <v>25</v>
      </c>
    </row>
    <row r="75" spans="1:7" ht="24">
      <c r="A75" s="2857">
        <v>3</v>
      </c>
      <c r="B75" s="3509"/>
      <c r="C75" s="2831" t="s">
        <v>2647</v>
      </c>
      <c r="D75" s="2831" t="s">
        <v>2648</v>
      </c>
      <c r="E75" s="2857">
        <v>0.2</v>
      </c>
      <c r="F75" s="2857">
        <v>25</v>
      </c>
    </row>
    <row r="76" spans="1:7" ht="13.5">
      <c r="A76" s="2857">
        <v>4</v>
      </c>
      <c r="B76" s="3509"/>
      <c r="C76" s="2831" t="s">
        <v>2649</v>
      </c>
      <c r="D76" s="2831" t="s">
        <v>2650</v>
      </c>
      <c r="E76" s="2857">
        <v>0.15</v>
      </c>
      <c r="F76" s="2857">
        <v>20</v>
      </c>
    </row>
    <row r="77" spans="1:7" ht="24">
      <c r="A77" s="2857">
        <v>5</v>
      </c>
      <c r="B77" s="3509"/>
      <c r="C77" s="2831" t="s">
        <v>2651</v>
      </c>
      <c r="D77" s="2831" t="s">
        <v>2652</v>
      </c>
      <c r="E77" s="2857">
        <v>0.15</v>
      </c>
      <c r="F77" s="2857">
        <v>20</v>
      </c>
    </row>
    <row r="78" spans="1:7" ht="24">
      <c r="A78" s="2857">
        <v>6</v>
      </c>
      <c r="B78" s="3509"/>
      <c r="C78" s="2831" t="s">
        <v>2653</v>
      </c>
      <c r="D78" s="2831" t="s">
        <v>2654</v>
      </c>
      <c r="E78" s="2857">
        <v>0.15</v>
      </c>
      <c r="F78" s="2857">
        <v>20</v>
      </c>
    </row>
    <row r="79" spans="1:7" ht="24">
      <c r="A79" s="2857">
        <v>7</v>
      </c>
      <c r="B79" s="3509"/>
      <c r="C79" s="2831" t="s">
        <v>2655</v>
      </c>
      <c r="D79" s="2831" t="s">
        <v>2656</v>
      </c>
      <c r="E79" s="2857">
        <v>0.15</v>
      </c>
      <c r="F79" s="2857">
        <v>20</v>
      </c>
    </row>
    <row r="80" spans="1:7" ht="24">
      <c r="A80" s="2857">
        <v>8</v>
      </c>
      <c r="B80" s="3509"/>
      <c r="C80" s="2831" t="s">
        <v>2657</v>
      </c>
      <c r="D80" s="2831" t="s">
        <v>2658</v>
      </c>
      <c r="E80" s="2857">
        <v>0.1</v>
      </c>
      <c r="F80" s="2857">
        <v>15</v>
      </c>
    </row>
    <row r="81" spans="1:6" ht="24">
      <c r="A81" s="2857">
        <v>9</v>
      </c>
      <c r="B81" s="3509"/>
      <c r="C81" s="2831" t="s">
        <v>2659</v>
      </c>
      <c r="D81" s="2831" t="s">
        <v>2660</v>
      </c>
      <c r="E81" s="2857">
        <v>0.1</v>
      </c>
      <c r="F81" s="2857">
        <v>15</v>
      </c>
    </row>
    <row r="82" spans="1:6" ht="24">
      <c r="A82" s="2857">
        <v>10</v>
      </c>
      <c r="B82" s="3509"/>
      <c r="C82" s="2831" t="s">
        <v>2661</v>
      </c>
      <c r="D82" s="2831" t="s">
        <v>2662</v>
      </c>
      <c r="E82" s="2857">
        <v>0.1</v>
      </c>
      <c r="F82" s="2857">
        <v>15</v>
      </c>
    </row>
    <row r="83" spans="1:6" ht="24">
      <c r="A83" s="2857">
        <v>11</v>
      </c>
      <c r="B83" s="3509"/>
      <c r="C83" s="2831" t="s">
        <v>2663</v>
      </c>
      <c r="D83" s="2831" t="s">
        <v>2664</v>
      </c>
      <c r="E83" s="2857">
        <v>0.1</v>
      </c>
      <c r="F83" s="2857">
        <v>15</v>
      </c>
    </row>
    <row r="84" spans="1:6" ht="24">
      <c r="A84" s="2857">
        <v>12</v>
      </c>
      <c r="B84" s="3509"/>
      <c r="C84" s="2831" t="s">
        <v>2665</v>
      </c>
      <c r="D84" s="2831" t="s">
        <v>2666</v>
      </c>
      <c r="E84" s="2857">
        <v>0.1</v>
      </c>
      <c r="F84" s="2857">
        <v>15</v>
      </c>
    </row>
    <row r="85" spans="1:6" ht="13.5">
      <c r="A85" s="2857">
        <v>13</v>
      </c>
      <c r="B85" s="3509"/>
      <c r="C85" s="2831" t="s">
        <v>2667</v>
      </c>
      <c r="D85" s="2831" t="s">
        <v>2668</v>
      </c>
      <c r="E85" s="2857">
        <v>0.1</v>
      </c>
      <c r="F85" s="2857">
        <v>15</v>
      </c>
    </row>
    <row r="86" spans="1:6" ht="13.5">
      <c r="A86" s="2857">
        <v>14</v>
      </c>
      <c r="B86" s="3509"/>
      <c r="C86" s="2831" t="s">
        <v>2669</v>
      </c>
      <c r="D86" s="2831" t="s">
        <v>2670</v>
      </c>
      <c r="E86" s="2857">
        <v>0.1</v>
      </c>
      <c r="F86" s="2857">
        <v>15</v>
      </c>
    </row>
    <row r="87" spans="1:6" ht="13.5">
      <c r="A87" s="2857">
        <v>15</v>
      </c>
      <c r="B87" s="3509"/>
      <c r="C87" s="2831" t="s">
        <v>2671</v>
      </c>
      <c r="D87" s="2831" t="s">
        <v>2672</v>
      </c>
      <c r="E87" s="2857">
        <v>0.1</v>
      </c>
      <c r="F87" s="2857">
        <v>15</v>
      </c>
    </row>
    <row r="88" spans="1:6" ht="24">
      <c r="A88" s="2857">
        <v>16</v>
      </c>
      <c r="B88" s="3509"/>
      <c r="C88" s="2831" t="s">
        <v>2673</v>
      </c>
      <c r="D88" s="2831" t="s">
        <v>2674</v>
      </c>
      <c r="E88" s="2857">
        <v>0.1</v>
      </c>
      <c r="F88" s="2857">
        <v>15</v>
      </c>
    </row>
    <row r="89" spans="1:6" ht="24">
      <c r="A89" s="2857">
        <v>17</v>
      </c>
      <c r="B89" s="3508"/>
      <c r="C89" s="2831" t="s">
        <v>2675</v>
      </c>
      <c r="D89" s="2831" t="s">
        <v>2676</v>
      </c>
      <c r="E89" s="2857">
        <v>0.1</v>
      </c>
      <c r="F89" s="2857">
        <v>15</v>
      </c>
    </row>
    <row r="90" spans="1:6" ht="13.5">
      <c r="A90" s="2857">
        <v>18</v>
      </c>
      <c r="B90" s="3507" t="s">
        <v>2677</v>
      </c>
      <c r="C90" s="2831" t="s">
        <v>2678</v>
      </c>
      <c r="D90" s="2831" t="s">
        <v>2679</v>
      </c>
      <c r="E90" s="2857">
        <v>0.2</v>
      </c>
      <c r="F90" s="2857">
        <v>25</v>
      </c>
    </row>
    <row r="91" spans="1:6" ht="24">
      <c r="A91" s="2857">
        <v>19</v>
      </c>
      <c r="B91" s="3509"/>
      <c r="C91" s="2831" t="s">
        <v>2680</v>
      </c>
      <c r="D91" s="2831" t="s">
        <v>2681</v>
      </c>
      <c r="E91" s="2857">
        <v>0.2</v>
      </c>
      <c r="F91" s="2857">
        <v>25</v>
      </c>
    </row>
    <row r="92" spans="1:6" ht="13.5">
      <c r="A92" s="2857">
        <v>20</v>
      </c>
      <c r="B92" s="3509"/>
      <c r="C92" s="2831" t="s">
        <v>2682</v>
      </c>
      <c r="D92" s="2831" t="s">
        <v>2683</v>
      </c>
      <c r="E92" s="2857">
        <v>0.15</v>
      </c>
      <c r="F92" s="2857">
        <v>20</v>
      </c>
    </row>
    <row r="93" spans="1:6" ht="13.5">
      <c r="A93" s="2857">
        <v>21</v>
      </c>
      <c r="B93" s="3509"/>
      <c r="C93" s="2831" t="s">
        <v>2684</v>
      </c>
      <c r="D93" s="2831" t="s">
        <v>2685</v>
      </c>
      <c r="E93" s="2857">
        <v>0.15</v>
      </c>
      <c r="F93" s="2857">
        <v>20</v>
      </c>
    </row>
    <row r="94" spans="1:6" ht="13.5">
      <c r="A94" s="2857">
        <v>22</v>
      </c>
      <c r="B94" s="3509"/>
      <c r="C94" s="2831" t="s">
        <v>2686</v>
      </c>
      <c r="D94" s="2831" t="s">
        <v>2687</v>
      </c>
      <c r="E94" s="2857">
        <v>0.15</v>
      </c>
      <c r="F94" s="2857">
        <v>20</v>
      </c>
    </row>
    <row r="95" spans="1:6" ht="36">
      <c r="A95" s="2857">
        <v>23</v>
      </c>
      <c r="B95" s="3509"/>
      <c r="C95" s="2831" t="s">
        <v>2688</v>
      </c>
      <c r="D95" s="2831" t="s">
        <v>2689</v>
      </c>
      <c r="E95" s="2857">
        <v>0.15</v>
      </c>
      <c r="F95" s="2857">
        <v>20</v>
      </c>
    </row>
    <row r="96" spans="1:6" ht="13.5">
      <c r="A96" s="2857">
        <v>24</v>
      </c>
      <c r="B96" s="3509"/>
      <c r="C96" s="2831" t="s">
        <v>2690</v>
      </c>
      <c r="D96" s="2831" t="s">
        <v>2691</v>
      </c>
      <c r="E96" s="2857">
        <v>0.1</v>
      </c>
      <c r="F96" s="2857">
        <v>15</v>
      </c>
    </row>
    <row r="97" spans="1:6" ht="13.5">
      <c r="A97" s="2857">
        <v>25</v>
      </c>
      <c r="B97" s="3509"/>
      <c r="C97" s="2831" t="s">
        <v>2692</v>
      </c>
      <c r="D97" s="2831" t="s">
        <v>2693</v>
      </c>
      <c r="E97" s="2857">
        <v>0.1</v>
      </c>
      <c r="F97" s="2857">
        <v>15</v>
      </c>
    </row>
    <row r="98" spans="1:6" ht="24">
      <c r="A98" s="2857">
        <v>26</v>
      </c>
      <c r="B98" s="3509"/>
      <c r="C98" s="2831" t="s">
        <v>2694</v>
      </c>
      <c r="D98" s="2831" t="s">
        <v>2695</v>
      </c>
      <c r="E98" s="2857">
        <v>0.1</v>
      </c>
      <c r="F98" s="2857">
        <v>15</v>
      </c>
    </row>
    <row r="99" spans="1:6" ht="24">
      <c r="A99" s="2857">
        <v>27</v>
      </c>
      <c r="B99" s="3509"/>
      <c r="C99" s="2831" t="s">
        <v>2696</v>
      </c>
      <c r="D99" s="2831" t="s">
        <v>2697</v>
      </c>
      <c r="E99" s="2857">
        <v>0.1</v>
      </c>
      <c r="F99" s="2857">
        <v>15</v>
      </c>
    </row>
    <row r="100" spans="1:6" ht="13.5">
      <c r="A100" s="2857">
        <v>28</v>
      </c>
      <c r="B100" s="3509"/>
      <c r="C100" s="2831" t="s">
        <v>2698</v>
      </c>
      <c r="D100" s="2831" t="s">
        <v>2699</v>
      </c>
      <c r="E100" s="2857">
        <v>0.1</v>
      </c>
      <c r="F100" s="2857">
        <v>15</v>
      </c>
    </row>
    <row r="101" spans="1:6" ht="13.5">
      <c r="A101" s="2857">
        <v>29</v>
      </c>
      <c r="B101" s="3509"/>
      <c r="C101" s="2831" t="s">
        <v>2700</v>
      </c>
      <c r="D101" s="2831" t="s">
        <v>2701</v>
      </c>
      <c r="E101" s="2857">
        <v>0.1</v>
      </c>
      <c r="F101" s="2857">
        <v>15</v>
      </c>
    </row>
    <row r="102" spans="1:6" ht="13.5">
      <c r="A102" s="2857">
        <v>30</v>
      </c>
      <c r="B102" s="3509"/>
      <c r="C102" s="2831" t="s">
        <v>2702</v>
      </c>
      <c r="D102" s="2831" t="s">
        <v>2703</v>
      </c>
      <c r="E102" s="2857">
        <v>0.1</v>
      </c>
      <c r="F102" s="2857">
        <v>15</v>
      </c>
    </row>
    <row r="103" spans="1:6" ht="24">
      <c r="A103" s="2857">
        <v>31</v>
      </c>
      <c r="B103" s="3509"/>
      <c r="C103" s="2831" t="s">
        <v>2704</v>
      </c>
      <c r="D103" s="2831" t="s">
        <v>2705</v>
      </c>
      <c r="E103" s="2857">
        <v>0.1</v>
      </c>
      <c r="F103" s="2857">
        <v>15</v>
      </c>
    </row>
    <row r="104" spans="1:6" ht="24">
      <c r="A104" s="2857">
        <v>32</v>
      </c>
      <c r="B104" s="3509"/>
      <c r="C104" s="2831" t="s">
        <v>2706</v>
      </c>
      <c r="D104" s="2831" t="s">
        <v>2707</v>
      </c>
      <c r="E104" s="2857">
        <v>0.1</v>
      </c>
      <c r="F104" s="2857">
        <v>15</v>
      </c>
    </row>
    <row r="105" spans="1:6" ht="24">
      <c r="A105" s="2857">
        <v>33</v>
      </c>
      <c r="B105" s="3509"/>
      <c r="C105" s="2831" t="s">
        <v>2708</v>
      </c>
      <c r="D105" s="2831" t="s">
        <v>2709</v>
      </c>
      <c r="E105" s="2857">
        <v>0.1</v>
      </c>
      <c r="F105" s="2857">
        <v>15</v>
      </c>
    </row>
    <row r="106" spans="1:6" ht="24">
      <c r="A106" s="2857">
        <v>34</v>
      </c>
      <c r="B106" s="3508"/>
      <c r="C106" s="2831" t="s">
        <v>2710</v>
      </c>
      <c r="D106" s="2831" t="s">
        <v>2711</v>
      </c>
      <c r="E106" s="2857">
        <v>0.1</v>
      </c>
      <c r="F106" s="2857">
        <v>15</v>
      </c>
    </row>
    <row r="107" spans="1:6" ht="24">
      <c r="A107" s="2857">
        <v>35</v>
      </c>
      <c r="B107" s="3507" t="s">
        <v>2712</v>
      </c>
      <c r="C107" s="2857" t="s">
        <v>2713</v>
      </c>
      <c r="D107" s="2831" t="s">
        <v>2714</v>
      </c>
      <c r="E107" s="2857">
        <v>0.15</v>
      </c>
      <c r="F107" s="2857">
        <v>20</v>
      </c>
    </row>
    <row r="108" spans="1:6" ht="13.5">
      <c r="A108" s="2857">
        <v>36</v>
      </c>
      <c r="B108" s="3509"/>
      <c r="C108" s="2857" t="s">
        <v>2715</v>
      </c>
      <c r="D108" s="2831" t="s">
        <v>2716</v>
      </c>
      <c r="E108" s="2857">
        <v>0.15</v>
      </c>
      <c r="F108" s="2857">
        <v>20</v>
      </c>
    </row>
    <row r="109" spans="1:6" ht="13.5">
      <c r="A109" s="2857">
        <v>37</v>
      </c>
      <c r="B109" s="3509"/>
      <c r="C109" s="2857" t="s">
        <v>2717</v>
      </c>
      <c r="D109" s="2831" t="s">
        <v>2718</v>
      </c>
      <c r="E109" s="2857">
        <v>0.15</v>
      </c>
      <c r="F109" s="2857">
        <v>20</v>
      </c>
    </row>
    <row r="110" spans="1:6" ht="13.5">
      <c r="A110" s="2857">
        <v>38</v>
      </c>
      <c r="B110" s="3509"/>
      <c r="C110" s="2857" t="s">
        <v>2719</v>
      </c>
      <c r="D110" s="2831" t="s">
        <v>2720</v>
      </c>
      <c r="E110" s="2857">
        <v>0.1</v>
      </c>
      <c r="F110" s="2857">
        <v>15</v>
      </c>
    </row>
    <row r="111" spans="1:6" ht="24">
      <c r="A111" s="2857">
        <v>39</v>
      </c>
      <c r="B111" s="3509"/>
      <c r="C111" s="2857" t="s">
        <v>2721</v>
      </c>
      <c r="D111" s="2831" t="s">
        <v>2722</v>
      </c>
      <c r="E111" s="2857">
        <v>0.1</v>
      </c>
      <c r="F111" s="2857">
        <v>15</v>
      </c>
    </row>
    <row r="112" spans="1:6" ht="24">
      <c r="A112" s="2857">
        <v>40</v>
      </c>
      <c r="B112" s="3508"/>
      <c r="C112" s="2857" t="s">
        <v>2723</v>
      </c>
      <c r="D112" s="2831" t="s">
        <v>2724</v>
      </c>
      <c r="E112" s="2857">
        <v>0.1</v>
      </c>
      <c r="F112" s="2857">
        <v>15</v>
      </c>
    </row>
    <row r="113" spans="1:6" ht="13.5">
      <c r="A113" s="2857">
        <v>41</v>
      </c>
      <c r="B113" s="3506" t="s">
        <v>2725</v>
      </c>
      <c r="C113" s="2857" t="s">
        <v>2726</v>
      </c>
      <c r="D113" s="2831" t="s">
        <v>2727</v>
      </c>
      <c r="E113" s="2857">
        <v>0.1</v>
      </c>
      <c r="F113" s="2857">
        <v>15</v>
      </c>
    </row>
    <row r="114" spans="1:6" ht="13.5">
      <c r="A114" s="2857">
        <v>42</v>
      </c>
      <c r="B114" s="3506"/>
      <c r="C114" s="2857" t="s">
        <v>2728</v>
      </c>
      <c r="D114" s="2831" t="s">
        <v>2729</v>
      </c>
      <c r="E114" s="2857">
        <v>0.1</v>
      </c>
      <c r="F114" s="2857">
        <v>15</v>
      </c>
    </row>
    <row r="115" spans="1:6" ht="24">
      <c r="A115" s="2857">
        <v>43</v>
      </c>
      <c r="B115" s="3506"/>
      <c r="C115" s="2857" t="s">
        <v>2730</v>
      </c>
      <c r="D115" s="2831" t="s">
        <v>2731</v>
      </c>
      <c r="E115" s="2857">
        <v>0.1</v>
      </c>
      <c r="F115" s="2857">
        <v>15</v>
      </c>
    </row>
    <row r="116" spans="1:6" ht="13.5">
      <c r="A116" s="2857">
        <v>44</v>
      </c>
      <c r="B116" s="3507" t="s">
        <v>2732</v>
      </c>
      <c r="C116" s="2857" t="s">
        <v>2733</v>
      </c>
      <c r="D116" s="2831" t="s">
        <v>2734</v>
      </c>
      <c r="E116" s="2857">
        <v>0.1</v>
      </c>
      <c r="F116" s="2857">
        <v>15</v>
      </c>
    </row>
    <row r="117" spans="1:6" ht="24">
      <c r="A117" s="2857">
        <v>45</v>
      </c>
      <c r="B117" s="3508"/>
      <c r="C117" s="2831" t="s">
        <v>2735</v>
      </c>
      <c r="D117" s="2831" t="s">
        <v>2736</v>
      </c>
      <c r="E117" s="2857">
        <v>0.1</v>
      </c>
      <c r="F117" s="2857">
        <v>15</v>
      </c>
    </row>
    <row r="118" spans="1:6" ht="24">
      <c r="A118" s="2857">
        <v>46</v>
      </c>
      <c r="B118" s="3507" t="s">
        <v>2737</v>
      </c>
      <c r="C118" s="2857" t="s">
        <v>2738</v>
      </c>
      <c r="D118" s="2831" t="s">
        <v>2739</v>
      </c>
      <c r="E118" s="2857">
        <v>0.1</v>
      </c>
      <c r="F118" s="2857">
        <v>15</v>
      </c>
    </row>
    <row r="119" spans="1:6" ht="24">
      <c r="A119" s="2857">
        <v>47</v>
      </c>
      <c r="B119" s="3508"/>
      <c r="C119" s="2857" t="s">
        <v>2740</v>
      </c>
      <c r="D119" s="2831" t="s">
        <v>2741</v>
      </c>
      <c r="E119" s="2857">
        <v>0.1</v>
      </c>
      <c r="F119" s="2857">
        <v>15</v>
      </c>
    </row>
    <row r="120" spans="1:6" ht="13.5">
      <c r="A120" s="2857">
        <v>48</v>
      </c>
      <c r="B120" s="3507" t="s">
        <v>2742</v>
      </c>
      <c r="C120" s="2857" t="s">
        <v>2743</v>
      </c>
      <c r="D120" s="2831" t="s">
        <v>2744</v>
      </c>
      <c r="E120" s="2857">
        <v>0.1</v>
      </c>
      <c r="F120" s="2857">
        <v>15</v>
      </c>
    </row>
    <row r="121" spans="1:6" ht="13.5">
      <c r="A121" s="2857">
        <v>49</v>
      </c>
      <c r="B121" s="3508"/>
      <c r="C121" s="2857" t="s">
        <v>2745</v>
      </c>
      <c r="D121" s="2831" t="s">
        <v>2746</v>
      </c>
      <c r="E121" s="2857">
        <v>0.1</v>
      </c>
      <c r="F121" s="2857">
        <v>15</v>
      </c>
    </row>
    <row r="122" spans="1:6" ht="24">
      <c r="A122" s="2857">
        <v>50</v>
      </c>
      <c r="B122" s="3506" t="s">
        <v>2747</v>
      </c>
      <c r="C122" s="2857" t="s">
        <v>2748</v>
      </c>
      <c r="D122" s="2831" t="s">
        <v>2749</v>
      </c>
      <c r="E122" s="2857">
        <v>0.1</v>
      </c>
      <c r="F122" s="2857">
        <v>15</v>
      </c>
    </row>
    <row r="123" spans="1:6" ht="24">
      <c r="A123" s="2857">
        <v>51</v>
      </c>
      <c r="B123" s="3506"/>
      <c r="C123" s="2857" t="s">
        <v>2750</v>
      </c>
      <c r="D123" s="2831" t="s">
        <v>2751</v>
      </c>
      <c r="E123" s="2857">
        <v>0.1</v>
      </c>
      <c r="F123" s="2857">
        <v>15</v>
      </c>
    </row>
    <row r="124" spans="1:6" ht="24">
      <c r="A124" s="2857">
        <v>52</v>
      </c>
      <c r="B124" s="3506" t="s">
        <v>2752</v>
      </c>
      <c r="C124" s="2857" t="s">
        <v>2753</v>
      </c>
      <c r="D124" s="2831" t="s">
        <v>2754</v>
      </c>
      <c r="E124" s="2857">
        <v>0.1</v>
      </c>
      <c r="F124" s="2857">
        <v>15</v>
      </c>
    </row>
    <row r="125" spans="1:6" ht="24">
      <c r="A125" s="2857">
        <v>53</v>
      </c>
      <c r="B125" s="3506"/>
      <c r="C125" s="2857" t="s">
        <v>2755</v>
      </c>
      <c r="D125" s="2831" t="s">
        <v>2756</v>
      </c>
      <c r="E125" s="2857">
        <v>0.1</v>
      </c>
      <c r="F125" s="2857">
        <v>15</v>
      </c>
    </row>
    <row r="126" spans="1:6" ht="13.5">
      <c r="A126" s="2857">
        <v>54</v>
      </c>
      <c r="B126" s="2857" t="s">
        <v>2757</v>
      </c>
      <c r="C126" s="2857" t="s">
        <v>2758</v>
      </c>
      <c r="D126" s="2831" t="s">
        <v>2759</v>
      </c>
      <c r="E126" s="2857">
        <v>0.1</v>
      </c>
      <c r="F126" s="2857">
        <v>15</v>
      </c>
    </row>
    <row r="127" spans="1:6" ht="13.5">
      <c r="A127" s="2857">
        <v>55</v>
      </c>
      <c r="B127" s="3506" t="s">
        <v>2760</v>
      </c>
      <c r="C127" s="2857" t="s">
        <v>2761</v>
      </c>
      <c r="D127" s="2831" t="s">
        <v>2762</v>
      </c>
      <c r="E127" s="2857">
        <v>0.1</v>
      </c>
      <c r="F127" s="2857">
        <v>15</v>
      </c>
    </row>
    <row r="128" spans="1:6" ht="13.5">
      <c r="A128" s="2857">
        <v>56</v>
      </c>
      <c r="B128" s="3506"/>
      <c r="C128" s="2857" t="s">
        <v>2763</v>
      </c>
      <c r="D128" s="2831" t="s">
        <v>2764</v>
      </c>
      <c r="E128" s="2857">
        <v>0.1</v>
      </c>
      <c r="F128" s="2857">
        <v>15</v>
      </c>
    </row>
    <row r="129" spans="1:6" ht="24">
      <c r="A129" s="2857">
        <v>57</v>
      </c>
      <c r="B129" s="3506"/>
      <c r="C129" s="2857" t="s">
        <v>2765</v>
      </c>
      <c r="D129" s="2831" t="s">
        <v>2766</v>
      </c>
      <c r="E129" s="2857">
        <v>0.1</v>
      </c>
      <c r="F129" s="2857">
        <v>15</v>
      </c>
    </row>
    <row r="130" spans="1:6" ht="24">
      <c r="A130" s="2857">
        <v>58</v>
      </c>
      <c r="B130" s="3506" t="s">
        <v>2767</v>
      </c>
      <c r="C130" s="2857" t="s">
        <v>2768</v>
      </c>
      <c r="D130" s="2831" t="s">
        <v>2769</v>
      </c>
      <c r="E130" s="2857">
        <v>0.1</v>
      </c>
      <c r="F130" s="2857">
        <v>15</v>
      </c>
    </row>
    <row r="131" spans="1:6" ht="13.5">
      <c r="A131" s="2857">
        <v>59</v>
      </c>
      <c r="B131" s="3506"/>
      <c r="C131" s="2857" t="s">
        <v>2770</v>
      </c>
      <c r="D131" s="2831" t="s">
        <v>2771</v>
      </c>
      <c r="E131" s="2857">
        <v>0.1</v>
      </c>
      <c r="F131" s="2857">
        <v>15</v>
      </c>
    </row>
    <row r="132" spans="1:6" ht="13.5">
      <c r="A132" s="2857">
        <v>60</v>
      </c>
      <c r="B132" s="3507" t="s">
        <v>2772</v>
      </c>
      <c r="C132" s="2857" t="s">
        <v>2773</v>
      </c>
      <c r="D132" s="2831" t="s">
        <v>2774</v>
      </c>
      <c r="E132" s="2857">
        <v>0.1</v>
      </c>
      <c r="F132" s="2857">
        <v>15</v>
      </c>
    </row>
    <row r="133" spans="1:6" ht="13.5">
      <c r="A133" s="2857">
        <v>61</v>
      </c>
      <c r="B133" s="3508"/>
      <c r="C133" s="2857" t="s">
        <v>2775</v>
      </c>
      <c r="D133" s="2831" t="s">
        <v>2776</v>
      </c>
      <c r="E133" s="2857">
        <v>0.1</v>
      </c>
      <c r="F133" s="2857">
        <v>15</v>
      </c>
    </row>
    <row r="134" spans="1:6" ht="24">
      <c r="A134" s="2857">
        <v>62</v>
      </c>
      <c r="B134" s="2857" t="s">
        <v>2777</v>
      </c>
      <c r="C134" s="2857" t="s">
        <v>2778</v>
      </c>
      <c r="D134" s="2831" t="s">
        <v>2779</v>
      </c>
      <c r="E134" s="2857">
        <v>0.1</v>
      </c>
      <c r="F134" s="2857">
        <v>15</v>
      </c>
    </row>
    <row r="135" spans="1:6" ht="13.5">
      <c r="A135" s="2857">
        <v>63</v>
      </c>
      <c r="B135" s="3506" t="s">
        <v>2780</v>
      </c>
      <c r="C135" s="2857" t="s">
        <v>2781</v>
      </c>
      <c r="D135" s="2831" t="s">
        <v>2782</v>
      </c>
      <c r="E135" s="2857">
        <v>0.1</v>
      </c>
      <c r="F135" s="2857">
        <v>15</v>
      </c>
    </row>
    <row r="136" spans="1:6" ht="13.5">
      <c r="A136" s="2857">
        <v>64</v>
      </c>
      <c r="B136" s="3506"/>
      <c r="C136" s="2857" t="s">
        <v>2783</v>
      </c>
      <c r="D136" s="2831" t="s">
        <v>2784</v>
      </c>
      <c r="E136" s="2857">
        <v>0.1</v>
      </c>
      <c r="F136" s="2857">
        <v>15</v>
      </c>
    </row>
    <row r="137" spans="1:6" ht="13.5">
      <c r="A137" s="2857">
        <v>65</v>
      </c>
      <c r="B137" s="2857" t="s">
        <v>2785</v>
      </c>
      <c r="C137" s="2857" t="s">
        <v>2786</v>
      </c>
      <c r="D137" s="2831" t="s">
        <v>2787</v>
      </c>
      <c r="E137" s="2857">
        <v>0.1</v>
      </c>
      <c r="F137" s="2857">
        <v>15</v>
      </c>
    </row>
    <row r="138" spans="1:6" ht="13.5">
      <c r="A138" s="2857"/>
      <c r="B138" s="2857"/>
      <c r="C138" s="2857"/>
      <c r="D138" s="2857"/>
      <c r="E138" s="2857" t="s">
        <v>2788</v>
      </c>
      <c r="F138" s="2857"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79669</v>
      </c>
      <c r="C2" s="2" t="s">
        <v>106</v>
      </c>
      <c r="D2" s="190"/>
      <c r="E2" s="190"/>
      <c r="F2" s="190"/>
      <c r="G2" s="190"/>
    </row>
    <row r="3" spans="1:7" s="191" customFormat="1" ht="18" customHeight="1" thickBot="1">
      <c r="A3" s="194" t="s">
        <v>58</v>
      </c>
      <c r="B3" s="195">
        <f ca="1">ROUND(B2*10000/'数据-汇总表'!E3,0)</f>
        <v>11067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55</v>
      </c>
      <c r="F9" s="212"/>
      <c r="G9" s="217"/>
    </row>
    <row r="10" spans="1:7" s="205" customFormat="1" ht="13.5" customHeight="1">
      <c r="A10" s="732" t="s">
        <v>356</v>
      </c>
      <c r="B10" s="215" t="s">
        <v>67</v>
      </c>
      <c r="C10" s="216">
        <f>ROUND(D10*E10/10000,0)</f>
        <v>396</v>
      </c>
      <c r="D10" s="794">
        <f>'数据-汇总表'!E6</f>
        <v>71986.14</v>
      </c>
      <c r="E10" s="216">
        <f>'数据-取费表'!B28</f>
        <v>55</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1440</v>
      </c>
      <c r="D19" s="203">
        <f>'数据-汇总表'!E3</f>
        <v>71986.14</v>
      </c>
      <c r="E19" s="202">
        <f>'数据-取费表'!B31</f>
        <v>200</v>
      </c>
      <c r="F19" s="222"/>
      <c r="G19" s="1" t="s">
        <v>436</v>
      </c>
    </row>
    <row r="20" spans="1:7" s="205" customFormat="1" ht="13.5" customHeight="1">
      <c r="A20" s="730" t="s">
        <v>419</v>
      </c>
      <c r="B20" s="201" t="s">
        <v>77</v>
      </c>
      <c r="C20" s="223">
        <f>ROUND((C5+C19)*F20,0)</f>
        <v>441</v>
      </c>
      <c r="D20" s="223"/>
      <c r="E20" s="223"/>
      <c r="F20" s="224">
        <f>'数据-取费表'!B37</f>
        <v>0.02</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1708</v>
      </c>
      <c r="D22" s="226">
        <f ca="1">C26</f>
        <v>1.1000000000000001E-3</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1581</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110</v>
      </c>
      <c r="D24" s="229"/>
      <c r="E24" s="229"/>
      <c r="F24" s="230"/>
      <c r="G24" s="231" t="s">
        <v>82</v>
      </c>
    </row>
    <row r="25" spans="1:7" s="205" customFormat="1" ht="24">
      <c r="A25" s="733" t="s">
        <v>348</v>
      </c>
      <c r="B25" s="206" t="s">
        <v>420</v>
      </c>
      <c r="C25" s="1041">
        <f ca="1">ROUND(IF('数据-取费表'!B22&lt;=1,C20*F22*'数据-取费表'!B23/2,C20*(POWER((1+F22),'数据-取费表'!B23/2)-1)),0)</f>
        <v>17</v>
      </c>
      <c r="D25" s="229"/>
      <c r="E25" s="232"/>
      <c r="F25" s="230"/>
      <c r="G25" s="233" t="s">
        <v>83</v>
      </c>
    </row>
    <row r="26" spans="1:7" s="205" customFormat="1">
      <c r="A26" s="733" t="s">
        <v>350</v>
      </c>
      <c r="B26" s="206" t="s">
        <v>422</v>
      </c>
      <c r="C26" s="229">
        <f ca="1">ROUND(IF('数据-取费表'!B22&lt;=1,F21*F22*'数据-取费表'!B23/2,F21*(POWER((1+F22),'数据-取费表'!B23/2)-1)),4)</f>
        <v>1.1000000000000001E-3</v>
      </c>
      <c r="D26" s="229"/>
      <c r="E26" s="232"/>
      <c r="F26" s="230"/>
      <c r="G26" s="234"/>
    </row>
    <row r="27" spans="1:7" s="205" customFormat="1" ht="24.75">
      <c r="A27" s="730" t="s">
        <v>342</v>
      </c>
      <c r="B27" s="235" t="s">
        <v>85</v>
      </c>
      <c r="C27" s="236">
        <f>C28</f>
        <v>3374</v>
      </c>
      <c r="D27" s="226">
        <f>C29</f>
        <v>4.4999999999999997E-3</v>
      </c>
      <c r="E27" s="227" t="s">
        <v>99</v>
      </c>
      <c r="F27" s="237">
        <f>'数据-取费表'!Q16</f>
        <v>0.15</v>
      </c>
      <c r="G27" s="238" t="s">
        <v>431</v>
      </c>
    </row>
    <row r="28" spans="1:7" s="205" customFormat="1" ht="13.5" customHeight="1">
      <c r="A28" s="733" t="s">
        <v>349</v>
      </c>
      <c r="B28" s="239" t="s">
        <v>424</v>
      </c>
      <c r="C28" s="240">
        <f>ROUND((C5+C19+C20)*F27*'数据-取费表'!B21/'数据-取费表'!B20,0)</f>
        <v>3374</v>
      </c>
      <c r="D28" s="226"/>
      <c r="E28" s="227"/>
      <c r="F28" s="237"/>
      <c r="G28" s="238"/>
    </row>
    <row r="29" spans="1:7" s="205" customFormat="1" ht="13.5" customHeight="1">
      <c r="A29" s="733" t="s">
        <v>347</v>
      </c>
      <c r="B29" s="239" t="s">
        <v>425</v>
      </c>
      <c r="C29" s="229">
        <f>ROUND(C21*F27*'数据-取费表'!B21/'数据-取费表'!B20,4)</f>
        <v>4.4999999999999997E-3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30265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39953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35993</v>
      </c>
      <c r="D34" s="208"/>
      <c r="E34" s="211"/>
      <c r="F34" s="248">
        <f>IF('数据-取费表'!B24=0,1,'数据-取费表'!N16)</f>
        <v>1</v>
      </c>
      <c r="G34" s="210" t="s">
        <v>89</v>
      </c>
    </row>
    <row r="35" spans="1:7" ht="13.5" customHeight="1">
      <c r="A35" s="733" t="s">
        <v>351</v>
      </c>
      <c r="B35" s="206" t="s">
        <v>33</v>
      </c>
      <c r="C35" s="211">
        <f>ROUND(C34*F35,0)</f>
        <v>1800</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1440</v>
      </c>
      <c r="D37" s="208">
        <f>'数据-汇总表'!E3</f>
        <v>71986.14</v>
      </c>
      <c r="E37" s="240">
        <f>'数据-取费表'!B35</f>
        <v>200</v>
      </c>
      <c r="F37" s="250"/>
      <c r="G37" s="252" t="s">
        <v>92</v>
      </c>
    </row>
    <row r="38" spans="1:7" ht="13.5" customHeight="1">
      <c r="A38" s="733" t="s">
        <v>354</v>
      </c>
      <c r="B38" s="206" t="s">
        <v>36</v>
      </c>
      <c r="C38" s="211">
        <f>ROUND(C34*F38,0)</f>
        <v>720</v>
      </c>
      <c r="D38" s="211"/>
      <c r="E38" s="211"/>
      <c r="F38" s="250">
        <f>'数据-取费表'!B36</f>
        <v>0.02</v>
      </c>
      <c r="G38" s="210" t="s">
        <v>90</v>
      </c>
    </row>
    <row r="39" spans="1:7" s="205" customFormat="1" ht="13.5" customHeight="1">
      <c r="A39" s="730" t="s">
        <v>338</v>
      </c>
      <c r="B39" s="201" t="s">
        <v>77</v>
      </c>
      <c r="C39" s="223">
        <f>ROUND(C33*F20,0)</f>
        <v>799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1534</v>
      </c>
      <c r="D41" s="226">
        <f ca="1">C44</f>
        <v>1.1000000000000001E-3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1504</v>
      </c>
      <c r="D42" s="229"/>
      <c r="E42" s="229"/>
      <c r="F42" s="230"/>
      <c r="G42" s="3377" t="s">
        <v>94</v>
      </c>
    </row>
    <row r="43" spans="1:7" ht="13.5" customHeight="1">
      <c r="A43" s="733" t="s">
        <v>347</v>
      </c>
      <c r="B43" s="206" t="s">
        <v>426</v>
      </c>
      <c r="C43" s="229">
        <f ca="1">ROUND(IF('数据-取费表'!B22&lt;=1,C39*F22*'数据-取费表'!B21/2,C39*(POWER((1+F22),'数据-取费表'!B21/2)-1)),0)</f>
        <v>30</v>
      </c>
      <c r="D43" s="229"/>
      <c r="E43" s="229"/>
      <c r="F43" s="230"/>
      <c r="G43" s="3378"/>
    </row>
    <row r="44" spans="1:7" ht="13.5" customHeight="1">
      <c r="A44" s="733" t="s">
        <v>348</v>
      </c>
      <c r="B44" s="206" t="s">
        <v>428</v>
      </c>
      <c r="C44" s="229">
        <f ca="1">ROUND(IF('数据-取费表'!B22&lt;=1,C40*F22*'数据-取费表'!B21/2,C40*(POWER((1+F22),'数据-取费表'!B21/2)-1)),4)</f>
        <v>1.1000000000000001E-3</v>
      </c>
      <c r="D44" s="229"/>
      <c r="E44" s="229"/>
      <c r="F44" s="230"/>
      <c r="G44" s="3379"/>
    </row>
    <row r="45" spans="1:7" s="205" customFormat="1" ht="13.5" customHeight="1">
      <c r="A45" s="730" t="s">
        <v>341</v>
      </c>
      <c r="B45" s="235" t="s">
        <v>85</v>
      </c>
      <c r="C45" s="236">
        <f>C46</f>
        <v>6113</v>
      </c>
      <c r="D45" s="226">
        <f>C47</f>
        <v>4.4999999999999997E-3</v>
      </c>
      <c r="E45" s="227" t="s">
        <v>102</v>
      </c>
      <c r="F45" s="237"/>
      <c r="G45" s="238" t="s">
        <v>434</v>
      </c>
    </row>
    <row r="46" spans="1:7" s="205" customFormat="1" ht="13.5" customHeight="1">
      <c r="A46" s="733" t="s">
        <v>349</v>
      </c>
      <c r="B46" s="239" t="s">
        <v>427</v>
      </c>
      <c r="C46" s="240">
        <f>ROUND((C33+C39)*F27,0)</f>
        <v>6113</v>
      </c>
      <c r="D46" s="254"/>
      <c r="E46" s="227"/>
      <c r="F46" s="237"/>
      <c r="G46" s="238"/>
    </row>
    <row r="47" spans="1:7" s="205" customFormat="1" ht="13.5" customHeight="1">
      <c r="A47" s="733" t="s">
        <v>347</v>
      </c>
      <c r="B47" s="239" t="s">
        <v>429</v>
      </c>
      <c r="C47" s="229">
        <f>ROUND(C40*F27,4)</f>
        <v>4.4999999999999997E-3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53123</v>
      </c>
      <c r="D49" s="223"/>
      <c r="E49" s="223"/>
      <c r="F49" s="255"/>
      <c r="G49" s="225" t="s">
        <v>435</v>
      </c>
    </row>
    <row r="50" spans="1:7" s="249" customFormat="1" ht="24">
      <c r="A50" s="730" t="s">
        <v>344</v>
      </c>
      <c r="B50" s="201" t="s">
        <v>97</v>
      </c>
      <c r="C50" s="223"/>
      <c r="D50" s="223"/>
      <c r="E50" s="223"/>
      <c r="F50" s="255">
        <f>IF('数据-取费表'!B24=0,'数据-取费表'!N16,1)</f>
        <v>0.93</v>
      </c>
      <c r="G50" s="238" t="s">
        <v>98</v>
      </c>
    </row>
    <row r="51" spans="1:7" ht="16.5" customHeight="1">
      <c r="A51" s="730" t="s">
        <v>345</v>
      </c>
      <c r="B51" s="201" t="s">
        <v>105</v>
      </c>
      <c r="C51" s="223">
        <f ca="1">ROUND(C49*F50,0)</f>
        <v>49404</v>
      </c>
      <c r="D51" s="223"/>
      <c r="E51" s="223"/>
      <c r="F51" s="255"/>
      <c r="G51" s="225" t="s">
        <v>37</v>
      </c>
    </row>
    <row r="52" spans="1:7" s="199" customFormat="1" ht="16.5" thickBot="1">
      <c r="A52" s="256" t="s">
        <v>38</v>
      </c>
      <c r="B52" s="257"/>
      <c r="C52" s="258">
        <f ca="1">C31+C51</f>
        <v>79669</v>
      </c>
      <c r="D52" s="257"/>
      <c r="E52" s="257"/>
      <c r="F52" s="257"/>
      <c r="G52" s="259"/>
    </row>
    <row r="55" spans="1:7" ht="15">
      <c r="B55" s="261" t="s">
        <v>39</v>
      </c>
      <c r="C55" s="262"/>
    </row>
    <row r="56" spans="1:7">
      <c r="B56" s="264" t="s">
        <v>40</v>
      </c>
      <c r="C56" s="265">
        <f ca="1">ROUND(C51/C52,3)</f>
        <v>0.62</v>
      </c>
    </row>
    <row r="57" spans="1:7">
      <c r="B57" s="264" t="s">
        <v>41</v>
      </c>
      <c r="C57" s="266">
        <f ca="1">1-C56</f>
        <v>0.38</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18" t="s">
        <v>3172</v>
      </c>
      <c r="B1" s="3518"/>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519" t="s">
        <v>3223</v>
      </c>
      <c r="B1" s="3519"/>
      <c r="C1" s="3519"/>
      <c r="D1" s="3519"/>
      <c r="E1" s="3519"/>
      <c r="F1" s="3520"/>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2937">
        <f>基准地价修正!G23</f>
        <v>45819</v>
      </c>
      <c r="B1" s="2929" t="s">
        <v>3369</v>
      </c>
      <c r="C1" s="2930"/>
      <c r="D1" s="2930"/>
      <c r="E1" s="2930"/>
      <c r="F1" s="2930"/>
      <c r="G1" s="2930"/>
      <c r="H1" s="2930"/>
      <c r="I1" s="2930"/>
      <c r="J1" s="2896"/>
      <c r="K1" s="2930" t="s">
        <v>454</v>
      </c>
      <c r="L1" s="2930"/>
      <c r="M1" s="2930"/>
      <c r="N1" s="2930"/>
      <c r="O1" s="2930"/>
      <c r="P1" s="2930"/>
      <c r="Q1" s="2896"/>
      <c r="R1" s="3521" t="s">
        <v>456</v>
      </c>
      <c r="S1" s="3522"/>
      <c r="T1" s="3522"/>
      <c r="U1" s="3522"/>
      <c r="V1" s="3522"/>
      <c r="W1" s="3522"/>
      <c r="X1" s="2896"/>
      <c r="Y1" s="3521" t="s">
        <v>457</v>
      </c>
      <c r="Z1" s="3522"/>
      <c r="AA1" s="3522"/>
      <c r="AB1" s="3522"/>
      <c r="AC1" s="3522"/>
      <c r="AD1" s="3522"/>
    </row>
    <row r="2" spans="1:44"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c r="AF2" t="s">
        <v>3396</v>
      </c>
      <c r="AG2" t="s">
        <v>673</v>
      </c>
      <c r="AH2" t="s">
        <v>21</v>
      </c>
      <c r="AI2" t="s">
        <v>3397</v>
      </c>
      <c r="AJ2" t="s">
        <v>3</v>
      </c>
      <c r="AK2" t="s">
        <v>3398</v>
      </c>
      <c r="AM2" t="s">
        <v>3396</v>
      </c>
      <c r="AN2" t="s">
        <v>673</v>
      </c>
      <c r="AO2" t="s">
        <v>21</v>
      </c>
      <c r="AP2" t="s">
        <v>3397</v>
      </c>
      <c r="AQ2" t="s">
        <v>3</v>
      </c>
      <c r="AR2" t="s">
        <v>3398</v>
      </c>
    </row>
    <row r="3" spans="1:44" s="2886" customFormat="1" ht="12.75">
      <c r="A3" s="2884" t="s">
        <v>2810</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3395</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3394</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3393</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3401</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3400</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3373</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3367</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3366</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3362</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3361</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3359</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3358</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3357</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3355</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3346</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2811</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2812</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2813</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2814</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3372</v>
      </c>
    </row>
    <row r="27" spans="1:44">
      <c r="I27" s="1404" t="s">
        <v>2816</v>
      </c>
    </row>
    <row r="29" spans="1:44" s="2008" customFormat="1" ht="12.75">
      <c r="B29" s="2929" t="s">
        <v>3370</v>
      </c>
      <c r="C29" s="2930"/>
      <c r="D29" s="2930"/>
      <c r="E29" s="2930"/>
      <c r="F29" s="2930"/>
      <c r="G29" s="2930"/>
      <c r="H29" s="2930"/>
      <c r="I29" s="2930"/>
      <c r="J29" s="2896"/>
      <c r="K29" s="2930" t="s">
        <v>2817</v>
      </c>
      <c r="L29" s="2930"/>
      <c r="M29" s="2930"/>
      <c r="N29" s="2930"/>
      <c r="O29" s="2930"/>
      <c r="P29" s="2930"/>
      <c r="Q29" s="2896"/>
      <c r="R29" s="3521" t="s">
        <v>2818</v>
      </c>
      <c r="S29" s="3522"/>
      <c r="T29" s="3522"/>
      <c r="U29" s="3522"/>
      <c r="V29" s="3522"/>
      <c r="W29" s="3522"/>
      <c r="X29" s="2896"/>
      <c r="Y29" s="3521" t="s">
        <v>2819</v>
      </c>
      <c r="Z29" s="3522"/>
      <c r="AA29" s="3522"/>
      <c r="AB29" s="3522"/>
      <c r="AC29" s="3522"/>
      <c r="AD29" s="3522"/>
    </row>
    <row r="30" spans="1:44" s="2009" customFormat="1" ht="14.25" thickBot="1">
      <c r="B30" s="2881"/>
      <c r="C30" s="2882"/>
      <c r="D30" s="2010" t="s">
        <v>2820</v>
      </c>
      <c r="E30" s="2011" t="s">
        <v>2821</v>
      </c>
      <c r="F30" s="2011" t="s">
        <v>2822</v>
      </c>
      <c r="G30" s="2011" t="s">
        <v>2823</v>
      </c>
      <c r="H30" s="2011"/>
      <c r="I30" s="2011" t="s">
        <v>2824</v>
      </c>
      <c r="J30" s="2883"/>
      <c r="K30" s="2010" t="s">
        <v>2820</v>
      </c>
      <c r="L30" s="2011" t="s">
        <v>2821</v>
      </c>
      <c r="M30" s="2011" t="s">
        <v>2822</v>
      </c>
      <c r="N30" s="2011" t="s">
        <v>2823</v>
      </c>
      <c r="O30" s="2011"/>
      <c r="P30" s="2011" t="s">
        <v>2824</v>
      </c>
      <c r="Q30" s="2883"/>
      <c r="R30" s="2010" t="s">
        <v>2820</v>
      </c>
      <c r="S30" s="2011" t="s">
        <v>2821</v>
      </c>
      <c r="T30" s="2011" t="s">
        <v>2822</v>
      </c>
      <c r="U30" s="2011" t="s">
        <v>2823</v>
      </c>
      <c r="V30" s="2011"/>
      <c r="W30" s="2011" t="s">
        <v>2824</v>
      </c>
      <c r="X30" s="2883"/>
      <c r="Y30" s="2010" t="s">
        <v>2820</v>
      </c>
      <c r="Z30" s="2011" t="s">
        <v>2821</v>
      </c>
      <c r="AA30" s="2011" t="s">
        <v>2822</v>
      </c>
      <c r="AB30" s="2011" t="s">
        <v>2823</v>
      </c>
      <c r="AC30" s="2011"/>
      <c r="AD30" s="2011" t="s">
        <v>2824</v>
      </c>
      <c r="AG30" t="s">
        <v>673</v>
      </c>
      <c r="AH30" t="s">
        <v>21</v>
      </c>
      <c r="AI30" t="s">
        <v>3397</v>
      </c>
      <c r="AJ30"/>
      <c r="AK30" t="s">
        <v>3398</v>
      </c>
      <c r="AN30" t="s">
        <v>673</v>
      </c>
      <c r="AO30" t="s">
        <v>21</v>
      </c>
      <c r="AP30" t="s">
        <v>3397</v>
      </c>
      <c r="AQ30"/>
      <c r="AR30" t="s">
        <v>3398</v>
      </c>
    </row>
    <row r="31" spans="1:44" s="2886" customFormat="1" ht="12.75">
      <c r="A31" s="2884" t="s">
        <v>2825</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3395</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3394</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3402</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3399</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3400</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3364</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3368</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3365</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3363</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3361</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3360</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3358</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3357</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3356</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3346</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2826</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2827</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2828</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2829</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Q80" sqref="Q80"/>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2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2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2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2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2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2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2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2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2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2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2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2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2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2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2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2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Q80" sqref="Q80"/>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34" t="s">
        <v>2830</v>
      </c>
      <c r="B1" s="3534"/>
      <c r="C1" s="3534"/>
      <c r="D1" s="3534"/>
      <c r="E1" s="3534"/>
      <c r="F1" s="3534"/>
      <c r="G1" s="3535"/>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32"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33"/>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Q80" sqref="Q8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45819</v>
      </c>
      <c r="D1" s="1216" t="s">
        <v>603</v>
      </c>
      <c r="E1" s="1211">
        <f>'数据-取费表'!B22</f>
        <v>2.5</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3" t="str">
        <f>IF(项目基本情况!B9="房地产市场价值","估价结果一览表","结果表-2")</f>
        <v>结果表-2</v>
      </c>
      <c r="B1" s="3213"/>
      <c r="C1" s="3213"/>
      <c r="D1" s="3213"/>
      <c r="E1" s="3213"/>
      <c r="F1" s="3213"/>
      <c r="G1" s="3213"/>
      <c r="H1" s="3213"/>
      <c r="I1" s="3213"/>
    </row>
    <row r="2" spans="1:9" ht="30" customHeight="1" thickTop="1">
      <c r="A2" s="3214" t="s">
        <v>928</v>
      </c>
      <c r="B2" s="3214" t="s">
        <v>929</v>
      </c>
      <c r="C2" s="3214" t="s">
        <v>930</v>
      </c>
      <c r="D2" s="3214" t="str">
        <f>结果表!D116</f>
        <v>出让国有建设用地使用权价值</v>
      </c>
      <c r="E2" s="3214"/>
      <c r="F2" s="3214" t="str">
        <f>结果表!F116</f>
        <v>在建建筑物价值</v>
      </c>
      <c r="G2" s="3214"/>
      <c r="H2" s="3214" t="str">
        <f>IF(项目基本情况!B9="房地产市场价值","房地产市场价值","房地产价值")</f>
        <v>房地产价值</v>
      </c>
      <c r="I2" s="3214"/>
    </row>
    <row r="3" spans="1:9" ht="15">
      <c r="A3" s="3209"/>
      <c r="B3" s="3209"/>
      <c r="C3" s="3209"/>
      <c r="D3" s="800" t="s">
        <v>925</v>
      </c>
      <c r="E3" s="800" t="s">
        <v>931</v>
      </c>
      <c r="F3" s="800" t="s">
        <v>925</v>
      </c>
      <c r="G3" s="800" t="s">
        <v>926</v>
      </c>
      <c r="H3" s="800" t="s">
        <v>925</v>
      </c>
      <c r="I3" s="800" t="s">
        <v>926</v>
      </c>
    </row>
    <row r="4" spans="1:9" ht="15">
      <c r="A4" s="1402" t="str">
        <f>项目基本情况!S2</f>
        <v>房地产</v>
      </c>
      <c r="B4" s="800">
        <f>项目基本情况!C17</f>
        <v>71986.14</v>
      </c>
      <c r="C4" s="800">
        <f>项目基本情况!C18</f>
        <v>8784.4599999999991</v>
      </c>
      <c r="D4" s="800">
        <f ca="1">结果表!D118</f>
        <v>12436</v>
      </c>
      <c r="E4" s="800">
        <f ca="1">结果表!E118</f>
        <v>1728</v>
      </c>
      <c r="F4" s="800">
        <f ca="1">结果表!F118</f>
        <v>44872</v>
      </c>
      <c r="G4" s="800">
        <f ca="1">结果表!G118</f>
        <v>6233</v>
      </c>
      <c r="H4" s="800">
        <f ca="1">结果表!H118</f>
        <v>57308</v>
      </c>
      <c r="I4" s="800">
        <f ca="1">结果表!I118</f>
        <v>7961</v>
      </c>
    </row>
    <row r="5" spans="1:9" ht="30" customHeight="1">
      <c r="A5" s="3209" t="s">
        <v>927</v>
      </c>
      <c r="B5" s="3209"/>
      <c r="C5" s="3209"/>
      <c r="D5" s="3209" t="str">
        <f ca="1">结果表!D119</f>
        <v>壹亿贰仟肆佰叁拾陆万元整</v>
      </c>
      <c r="E5" s="3209"/>
      <c r="F5" s="3209" t="str">
        <f ca="1">结果表!F119</f>
        <v>肆亿肆仟捌佰柒拾贰万元整</v>
      </c>
      <c r="G5" s="3209"/>
      <c r="H5" s="3209" t="str">
        <f ca="1">结果表!H119</f>
        <v>伍亿柒仟叁佰零捌万元整</v>
      </c>
      <c r="I5" s="3209"/>
    </row>
    <row r="6" spans="1:9" ht="15.75">
      <c r="A6" s="3208" t="str">
        <f>结果表!A120</f>
        <v>估价师知悉的法定优先受偿款</v>
      </c>
      <c r="B6" s="3208"/>
      <c r="C6" s="3208"/>
      <c r="D6" s="3208">
        <f>结果表!D120</f>
        <v>0</v>
      </c>
      <c r="E6" s="3208"/>
      <c r="F6" s="3208"/>
      <c r="G6" s="3208"/>
      <c r="H6" s="3208"/>
      <c r="I6" s="3208"/>
    </row>
    <row r="7" spans="1:9" ht="15">
      <c r="A7" s="3209" t="s">
        <v>927</v>
      </c>
      <c r="B7" s="3209"/>
      <c r="C7" s="3209"/>
      <c r="D7" s="3210" t="str">
        <f>结果表!D121</f>
        <v>零元整</v>
      </c>
      <c r="E7" s="3211"/>
      <c r="F7" s="3211"/>
      <c r="G7" s="3211"/>
      <c r="H7" s="3211"/>
      <c r="I7" s="3212"/>
    </row>
    <row r="8" spans="1:9" ht="15.75">
      <c r="A8" s="3208" t="str">
        <f>结果表!A122</f>
        <v>房地产抵押价值</v>
      </c>
      <c r="B8" s="3208"/>
      <c r="C8" s="3208"/>
      <c r="D8" s="3208">
        <f ca="1">结果表!D122</f>
        <v>57308</v>
      </c>
      <c r="E8" s="3208"/>
      <c r="F8" s="3208"/>
      <c r="G8" s="3208"/>
      <c r="H8" s="3208"/>
      <c r="I8" s="3208"/>
    </row>
    <row r="9" spans="1:9" ht="15">
      <c r="A9" s="3209" t="s">
        <v>927</v>
      </c>
      <c r="B9" s="3209"/>
      <c r="C9" s="3209"/>
      <c r="D9" s="3209" t="str">
        <f ca="1">结果表!D123</f>
        <v>伍亿柒仟叁佰零捌万元整</v>
      </c>
      <c r="E9" s="3209"/>
      <c r="F9" s="3209"/>
      <c r="G9" s="3209"/>
      <c r="H9" s="3209"/>
      <c r="I9" s="3209"/>
    </row>
    <row r="10" spans="1:9" ht="15.75">
      <c r="A10" s="3208" t="str">
        <f>结果表!A124</f>
        <v/>
      </c>
      <c r="B10" s="3208"/>
      <c r="C10" s="3208"/>
      <c r="D10" s="3208" t="str">
        <f>结果表!D124</f>
        <v>——</v>
      </c>
      <c r="E10" s="3208"/>
      <c r="F10" s="3208"/>
      <c r="G10" s="3208"/>
      <c r="H10" s="3208"/>
      <c r="I10" s="3208"/>
    </row>
    <row r="11" spans="1:9" ht="15">
      <c r="A11" s="3209" t="s">
        <v>927</v>
      </c>
      <c r="B11" s="3209"/>
      <c r="C11" s="3209"/>
      <c r="D11" s="3209" t="e">
        <f>结果表!D125</f>
        <v>#VALUE!</v>
      </c>
      <c r="E11" s="3209"/>
      <c r="F11" s="3209"/>
      <c r="G11" s="3209"/>
      <c r="H11" s="3209"/>
      <c r="I11" s="3209"/>
    </row>
    <row r="12" spans="1:9" ht="15.75">
      <c r="A12" s="3208" t="str">
        <f>结果表!A126</f>
        <v/>
      </c>
      <c r="B12" s="3208"/>
      <c r="C12" s="3208"/>
      <c r="D12" s="3208" t="str">
        <f>结果表!D126</f>
        <v>——</v>
      </c>
      <c r="E12" s="3208"/>
      <c r="F12" s="3208"/>
      <c r="G12" s="3208"/>
      <c r="H12" s="3208"/>
      <c r="I12" s="3208"/>
    </row>
    <row r="13" spans="1:9" ht="15.75" thickBot="1">
      <c r="A13" s="3206" t="s">
        <v>927</v>
      </c>
      <c r="B13" s="3206"/>
      <c r="C13" s="3206"/>
      <c r="D13" s="3206" t="e">
        <f>结果表!D127</f>
        <v>#VALUE!</v>
      </c>
      <c r="E13" s="3206"/>
      <c r="F13" s="3206"/>
      <c r="G13" s="3206"/>
      <c r="H13" s="3206"/>
      <c r="I13" s="3206"/>
    </row>
    <row r="14" spans="1:9" ht="15" thickTop="1">
      <c r="A14" s="3207" t="s">
        <v>932</v>
      </c>
      <c r="B14" s="3207"/>
      <c r="C14" s="3207"/>
      <c r="D14" s="3207"/>
      <c r="E14" s="3207"/>
      <c r="F14" s="3207"/>
      <c r="G14" s="3207"/>
      <c r="H14" s="3207"/>
      <c r="I14" s="3207"/>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1" t="s">
        <v>949</v>
      </c>
      <c r="B1" s="3221"/>
      <c r="C1" s="3221"/>
      <c r="D1" s="3221"/>
    </row>
    <row r="2" spans="1:4" ht="18">
      <c r="A2" s="3222" t="s">
        <v>933</v>
      </c>
      <c r="B2" s="3222"/>
      <c r="C2" s="3222"/>
      <c r="D2" s="3222"/>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2" t="s">
        <v>939</v>
      </c>
      <c r="B6" s="3222"/>
      <c r="C6" s="3222"/>
      <c r="D6" s="322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3" t="s">
        <v>942</v>
      </c>
      <c r="B11" s="3215"/>
      <c r="C11" s="3215"/>
      <c r="D11" s="3215"/>
    </row>
    <row r="12" spans="1:4" ht="15.75">
      <c r="A12" s="32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0"/>
      <c r="C12" s="3220"/>
      <c r="D12" s="3220"/>
    </row>
    <row r="13" spans="1:4" ht="30" customHeight="1">
      <c r="A13" s="32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0"/>
      <c r="C13" s="3220"/>
      <c r="D13" s="3220"/>
    </row>
    <row r="14" spans="1:4" ht="15.75" customHeight="1">
      <c r="A14" s="3215" t="str">
        <f>IF(项目基本情况!B8="抵押","4.本次评估估价师所知悉的法定优先受偿款情况说明如下：","——")</f>
        <v>4.本次评估估价师所知悉的法定优先受偿款情况说明如下：</v>
      </c>
      <c r="B14" s="3220"/>
      <c r="C14" s="3220"/>
      <c r="D14" s="3220"/>
    </row>
    <row r="15" spans="1:4" ht="42" customHeight="1">
      <c r="A15" s="32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5"/>
      <c r="C15" s="3215"/>
      <c r="D15" s="3215"/>
    </row>
    <row r="16" spans="1:4" ht="30" customHeight="1">
      <c r="A16" s="3217" t="s">
        <v>943</v>
      </c>
      <c r="B16" s="3217"/>
      <c r="C16" s="3217"/>
      <c r="D16" s="3217"/>
    </row>
    <row r="17" spans="1:4" ht="144" customHeight="1">
      <c r="A17" s="3217" t="s">
        <v>944</v>
      </c>
      <c r="B17" s="3217"/>
      <c r="C17" s="3217"/>
      <c r="D17" s="3217"/>
    </row>
    <row r="18" spans="1:4" ht="15.75" customHeight="1">
      <c r="A18" s="3215" t="str">
        <f>IF(项目基本情况!B8="抵押",结果表!K120,"——")</f>
        <v>故，本次评估不存在估价师知悉的法定优先受偿款</v>
      </c>
      <c r="B18" s="3215"/>
      <c r="C18" s="3215"/>
      <c r="D18" s="3215"/>
    </row>
    <row r="19" spans="1:4" ht="46.5" customHeight="1">
      <c r="A19" s="32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57.75" customHeight="1">
      <c r="A20" s="32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5"/>
      <c r="C20" s="3215"/>
      <c r="D20" s="3215"/>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8"/>
      <c r="C21" s="3218"/>
      <c r="D21" s="3218"/>
    </row>
    <row r="22" spans="1:4" ht="18.75" customHeight="1">
      <c r="A22" s="3219" t="s">
        <v>945</v>
      </c>
      <c r="B22" s="3219"/>
      <c r="C22" s="3219"/>
      <c r="D22" s="3219"/>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16">
        <v>42551</v>
      </c>
      <c r="D31" s="32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9" t="s">
        <v>956</v>
      </c>
      <c r="B15" s="3224" t="s">
        <v>109</v>
      </c>
      <c r="C15" s="3225"/>
    </row>
    <row r="16" spans="1:7" ht="13.5">
      <c r="A16" s="3230"/>
      <c r="B16" s="3224" t="s">
        <v>42</v>
      </c>
      <c r="C16" s="3225"/>
    </row>
    <row r="17" spans="1:3" ht="13.5">
      <c r="A17" s="3230"/>
      <c r="B17" s="3227" t="s">
        <v>957</v>
      </c>
      <c r="C17" s="1428" t="s">
        <v>956</v>
      </c>
    </row>
    <row r="18" spans="1:3" ht="13.5">
      <c r="A18" s="3230"/>
      <c r="B18" s="3227"/>
      <c r="C18" s="1428" t="s">
        <v>958</v>
      </c>
    </row>
    <row r="19" spans="1:3" ht="13.5">
      <c r="A19" s="3230"/>
      <c r="B19" s="3227"/>
      <c r="C19" s="1428" t="s">
        <v>959</v>
      </c>
    </row>
    <row r="20" spans="1:3" ht="13.5">
      <c r="A20" s="3231"/>
      <c r="B20" s="3226" t="s">
        <v>960</v>
      </c>
      <c r="C20" s="3225"/>
    </row>
    <row r="21" spans="1:3" ht="13.5">
      <c r="A21" s="1429" t="s">
        <v>961</v>
      </c>
      <c r="B21" s="1430"/>
      <c r="C21" s="1431"/>
    </row>
    <row r="22" spans="1:3" ht="13.5">
      <c r="A22" s="3228" t="s">
        <v>962</v>
      </c>
      <c r="B22" s="3226" t="s">
        <v>963</v>
      </c>
      <c r="C22" s="3225"/>
    </row>
    <row r="23" spans="1:3" ht="13.5">
      <c r="A23" s="3228"/>
      <c r="B23" s="3226" t="s">
        <v>964</v>
      </c>
      <c r="C23" s="3225"/>
    </row>
    <row r="24" spans="1:3" ht="13.5">
      <c r="A24" s="3228"/>
      <c r="B24" s="3226" t="s">
        <v>965</v>
      </c>
      <c r="C24" s="3225"/>
    </row>
    <row r="25" spans="1:3" ht="13.5">
      <c r="A25" s="3228"/>
      <c r="B25" s="3227" t="s">
        <v>966</v>
      </c>
      <c r="C25" s="1428" t="s">
        <v>967</v>
      </c>
    </row>
    <row r="26" spans="1:3" ht="13.5">
      <c r="A26" s="3228"/>
      <c r="B26" s="3227"/>
      <c r="C26" s="1428" t="s">
        <v>968</v>
      </c>
    </row>
    <row r="27" spans="1:3" ht="13.5">
      <c r="A27" s="3228"/>
      <c r="B27" s="3227"/>
      <c r="C27" s="1428" t="s">
        <v>969</v>
      </c>
    </row>
    <row r="28" spans="1:3" ht="13.5">
      <c r="A28" s="3228"/>
      <c r="B28" s="3227"/>
      <c r="C28" s="1428" t="s">
        <v>970</v>
      </c>
    </row>
    <row r="29" spans="1:3" ht="13.5">
      <c r="A29" s="3228"/>
      <c r="B29" s="3227"/>
      <c r="C29" s="1428" t="s">
        <v>971</v>
      </c>
    </row>
    <row r="30" spans="1:3" ht="13.5">
      <c r="A30" s="3228"/>
      <c r="B30" s="3227"/>
      <c r="C30" s="1428" t="s">
        <v>972</v>
      </c>
    </row>
    <row r="31" spans="1:3" ht="13.5">
      <c r="A31" s="3228"/>
      <c r="B31" s="3227"/>
      <c r="C31" s="1428" t="s">
        <v>973</v>
      </c>
    </row>
    <row r="32" spans="1:3" ht="13.5">
      <c r="A32" s="3228"/>
      <c r="B32" s="3227"/>
      <c r="C32" s="1428" t="s">
        <v>974</v>
      </c>
    </row>
    <row r="33" spans="1:3" ht="13.5">
      <c r="A33" s="3228"/>
      <c r="B33" s="322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45820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2" t="s">
        <v>2160</v>
      </c>
      <c r="B17" s="3232"/>
      <c r="C17" s="3232"/>
      <c r="D17" s="3232"/>
      <c r="E17" s="3232"/>
      <c r="F17" s="3232"/>
      <c r="G17" s="3232"/>
      <c r="H17" s="3232"/>
    </row>
    <row r="18" spans="1:8" ht="24" customHeight="1">
      <c r="A18" s="3233" t="s">
        <v>2161</v>
      </c>
      <c r="B18" s="3233"/>
      <c r="C18" s="3233"/>
      <c r="D18" s="2159"/>
      <c r="E18" s="3234" t="s">
        <v>2162</v>
      </c>
      <c r="F18" s="3233"/>
      <c r="G18" s="3233"/>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附表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土地案例</vt:lpstr>
      <vt:lpstr>2024年12月</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2025-06-12T01:40:28Z</dcterms:modified>
</cp:coreProperties>
</file>