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市调" sheetId="80" r:id="rId26"/>
    <sheet name="中指成交" sheetId="84" r:id="rId27"/>
    <sheet name="Sheet3" sheetId="82" r:id="rId28"/>
    <sheet name="租赁合同" sheetId="83"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D60" i="37" l="1"/>
  <c r="E60" i="37" s="1"/>
  <c r="F60" i="37" s="1"/>
  <c r="G60" i="37" s="1"/>
  <c r="U24" i="1" l="1"/>
  <c r="E10" i="37" l="1"/>
  <c r="G10" i="37"/>
  <c r="N6" i="1" l="1"/>
  <c r="D5" i="83" l="1"/>
  <c r="G5" i="83"/>
  <c r="I4" i="83"/>
  <c r="H4" i="83" s="1"/>
  <c r="I3" i="83"/>
  <c r="H3" i="83" s="1"/>
  <c r="H5" i="83" l="1"/>
  <c r="D5" i="31"/>
  <c r="C5" i="31"/>
  <c r="D4" i="31"/>
  <c r="E4" i="31"/>
  <c r="F4" i="31"/>
  <c r="G4" i="31"/>
  <c r="C4" i="31"/>
  <c r="G3" i="31"/>
  <c r="D3" i="31"/>
  <c r="E3" i="31"/>
  <c r="F3" i="31"/>
  <c r="C3" i="31"/>
  <c r="C10" i="37"/>
  <c r="I10" i="37" s="1"/>
  <c r="Q18" i="1"/>
  <c r="J49" i="67" l="1"/>
  <c r="F19" i="6"/>
  <c r="D3" i="4"/>
  <c r="I12" i="79"/>
  <c r="B24" i="31" l="1"/>
  <c r="B14" i="74"/>
  <c r="D33" i="43"/>
  <c r="C30" i="37"/>
  <c r="C33" i="37"/>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N31" i="79"/>
  <c r="AR18" i="79"/>
  <c r="AR19" i="79" s="1"/>
  <c r="AR20" i="79" s="1"/>
  <c r="AR21" i="79" s="1"/>
  <c r="AR22" i="79" s="1"/>
  <c r="AR23" i="79" s="1"/>
  <c r="AR24" i="79" s="1"/>
  <c r="S20" i="79"/>
  <c r="AG20" i="79" s="1"/>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D24" i="71" s="1"/>
  <c r="U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P37" i="71"/>
  <c r="O37" i="71"/>
  <c r="C38" i="71" s="1"/>
  <c r="N37" i="71"/>
  <c r="B38" i="71" s="1"/>
  <c r="B39" i="71" s="1"/>
  <c r="D37" i="71"/>
  <c r="Q36" i="71"/>
  <c r="P36" i="71"/>
  <c r="O36" i="71"/>
  <c r="N36" i="71"/>
  <c r="Q35" i="71"/>
  <c r="P35" i="71"/>
  <c r="O35" i="71"/>
  <c r="N35" i="71"/>
  <c r="Q34" i="71"/>
  <c r="P34" i="71"/>
  <c r="O34" i="71"/>
  <c r="N34" i="7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E34" i="71"/>
  <c r="P28" i="71"/>
  <c r="Q28" i="71"/>
  <c r="F28" i="71" s="1"/>
  <c r="C67" i="71"/>
  <c r="D67" i="71" s="1"/>
  <c r="D7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J18" i="36"/>
  <c r="AC18" i="36" s="1"/>
  <c r="H18" i="35"/>
  <c r="AB18" i="35" s="1"/>
  <c r="J18" i="35"/>
  <c r="AC18" i="35" s="1"/>
  <c r="H21" i="37"/>
  <c r="AB21" i="37" s="1"/>
  <c r="F21" i="37"/>
  <c r="AA21" i="37" s="1"/>
  <c r="H21" i="34"/>
  <c r="AB21" i="34" s="1"/>
  <c r="H21" i="33"/>
  <c r="U21" i="33" s="1"/>
  <c r="F21" i="33"/>
  <c r="H1" i="69"/>
  <c r="AC25" i="40"/>
  <c r="W25" i="40"/>
  <c r="U21" i="34"/>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6" i="31"/>
  <c r="S308" i="31"/>
  <c r="S302" i="31"/>
  <c r="S300" i="31"/>
  <c r="S292" i="31"/>
  <c r="S284" i="31"/>
  <c r="S276" i="31"/>
  <c r="S268" i="31"/>
  <c r="S260" i="31"/>
  <c r="S252" i="31"/>
  <c r="S248" i="31"/>
  <c r="S244" i="31"/>
  <c r="S240" i="31"/>
  <c r="S236" i="31"/>
  <c r="S232" i="31"/>
  <c r="S228" i="31"/>
  <c r="S224" i="31"/>
  <c r="S428" i="31"/>
  <c r="S221" i="31"/>
  <c r="S217" i="31"/>
  <c r="S213" i="31"/>
  <c r="S209" i="31"/>
  <c r="S205" i="31"/>
  <c r="S201" i="31"/>
  <c r="S197" i="31"/>
  <c r="S193" i="31"/>
  <c r="S189" i="31"/>
  <c r="S186" i="31"/>
  <c r="S185" i="31"/>
  <c r="S181" i="31"/>
  <c r="S177" i="31"/>
  <c r="S173" i="31"/>
  <c r="S169" i="31"/>
  <c r="S165" i="31"/>
  <c r="S161" i="31"/>
  <c r="S157" i="31"/>
  <c r="S153" i="31"/>
  <c r="S149" i="31"/>
  <c r="S145" i="31"/>
  <c r="S141" i="31"/>
  <c r="S137" i="31"/>
  <c r="S133" i="31"/>
  <c r="S129" i="31"/>
  <c r="S125" i="31"/>
  <c r="S496" i="31"/>
  <c r="S488" i="31"/>
  <c r="S484" i="31"/>
  <c r="S480" i="31"/>
  <c r="S472" i="31"/>
  <c r="S470" i="31"/>
  <c r="S468" i="31"/>
  <c r="S441" i="31"/>
  <c r="S437" i="31"/>
  <c r="S433" i="31"/>
  <c r="S504" i="31"/>
  <c r="S464" i="31"/>
  <c r="S460" i="31"/>
  <c r="S452" i="31"/>
  <c r="S54" i="31"/>
  <c r="S52" i="31"/>
  <c r="S48" i="31"/>
  <c r="S44" i="31"/>
  <c r="S40" i="31"/>
  <c r="S36" i="31"/>
  <c r="S32" i="31"/>
  <c r="S70"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s="1"/>
  <c r="W35" i="37" s="1"/>
  <c r="F97" i="37"/>
  <c r="E97" i="37"/>
  <c r="D97" i="37"/>
  <c r="C97" i="37"/>
  <c r="D96" i="37"/>
  <c r="E96" i="37" s="1"/>
  <c r="D94" i="37"/>
  <c r="M90" i="37"/>
  <c r="L90" i="37"/>
  <c r="K90" i="37"/>
  <c r="J90" i="37"/>
  <c r="I90" i="37"/>
  <c r="H90" i="37"/>
  <c r="G90" i="37"/>
  <c r="F90" i="37"/>
  <c r="E90" i="37"/>
  <c r="D90" i="37"/>
  <c r="C90" i="37"/>
  <c r="D89" i="37"/>
  <c r="H29" i="37" s="1"/>
  <c r="AB29" i="37" s="1"/>
  <c r="B86" i="37"/>
  <c r="B84" i="37"/>
  <c r="H27" i="37" s="1"/>
  <c r="U27" i="37" s="1"/>
  <c r="B82" i="37"/>
  <c r="H26" i="37" s="1"/>
  <c r="D79" i="37"/>
  <c r="E79" i="37" s="1"/>
  <c r="D75" i="37"/>
  <c r="E75" i="37" s="1"/>
  <c r="D73" i="37"/>
  <c r="E73" i="37" s="1"/>
  <c r="F73" i="37" s="1"/>
  <c r="G73" i="37" s="1"/>
  <c r="D71" i="37"/>
  <c r="E71" i="37" s="1"/>
  <c r="F71" i="37" s="1"/>
  <c r="G71"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Q28" i="37"/>
  <c r="Z28" i="37"/>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B59" i="35"/>
  <c r="J12" i="35" s="1"/>
  <c r="W12" i="35" s="1"/>
  <c r="B131" i="34"/>
  <c r="B129" i="34"/>
  <c r="B127" i="34"/>
  <c r="B99" i="34"/>
  <c r="J32" i="34" s="1"/>
  <c r="W32" i="34" s="1"/>
  <c r="B97" i="34"/>
  <c r="B95" i="34"/>
  <c r="B93" i="34"/>
  <c r="B75" i="34"/>
  <c r="B73" i="34"/>
  <c r="B71" i="34"/>
  <c r="H12" i="34" s="1"/>
  <c r="B130" i="33"/>
  <c r="B128" i="33"/>
  <c r="F45" i="33" s="1"/>
  <c r="B126" i="33"/>
  <c r="B98" i="33"/>
  <c r="B96" i="33"/>
  <c r="B94" i="33"/>
  <c r="F29" i="33" s="1"/>
  <c r="S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C24" i="20"/>
  <c r="B97" i="43" s="1"/>
  <c r="C21" i="20"/>
  <c r="B99" i="43" s="1"/>
  <c r="C20" i="20"/>
  <c r="C18" i="20"/>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N5" i="3" s="1"/>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J26" i="21"/>
  <c r="W26" i="21" s="1"/>
  <c r="F26" i="21"/>
  <c r="S26" i="21" s="1"/>
  <c r="AB41" i="21"/>
  <c r="S41" i="21"/>
  <c r="AA41" i="21"/>
  <c r="F45" i="39"/>
  <c r="S45" i="39" s="1"/>
  <c r="J45" i="39"/>
  <c r="W45" i="39" s="1"/>
  <c r="J44" i="39"/>
  <c r="AC44" i="39" s="1"/>
  <c r="J35" i="39"/>
  <c r="AC35" i="39" s="1"/>
  <c r="F35" i="39"/>
  <c r="J36" i="39"/>
  <c r="AC36" i="39" s="1"/>
  <c r="F103" i="37"/>
  <c r="G103" i="37" s="1"/>
  <c r="H103" i="37" s="1"/>
  <c r="I103" i="37" s="1"/>
  <c r="J103" i="37" s="1"/>
  <c r="K103" i="37" s="1"/>
  <c r="L103" i="37" s="1"/>
  <c r="M103" i="37" s="1"/>
  <c r="F29" i="36"/>
  <c r="AA29" i="36" s="1"/>
  <c r="F16" i="36"/>
  <c r="AA16" i="36" s="1"/>
  <c r="U31" i="36"/>
  <c r="J33" i="36"/>
  <c r="AC33" i="36" s="1"/>
  <c r="H22" i="35"/>
  <c r="AB22" i="35" s="1"/>
  <c r="W22" i="35"/>
  <c r="S31" i="35"/>
  <c r="F36" i="34"/>
  <c r="J35" i="34"/>
  <c r="W9" i="34"/>
  <c r="H39" i="33"/>
  <c r="S40" i="33"/>
  <c r="W39" i="33"/>
  <c r="H39" i="37"/>
  <c r="AB39" i="37" s="1"/>
  <c r="S27" i="35"/>
  <c r="F11" i="40"/>
  <c r="AA11" i="40" s="1"/>
  <c r="H11" i="40"/>
  <c r="AB11" i="40"/>
  <c r="AA9" i="40"/>
  <c r="U9" i="40"/>
  <c r="F42" i="39"/>
  <c r="AA42" i="39" s="1"/>
  <c r="F41" i="39"/>
  <c r="H40" i="39"/>
  <c r="AB40" i="39" s="1"/>
  <c r="H39" i="39"/>
  <c r="U39" i="39" s="1"/>
  <c r="S38" i="39"/>
  <c r="S34" i="39"/>
  <c r="H34" i="39"/>
  <c r="U34"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J27" i="39"/>
  <c r="F27" i="39"/>
  <c r="F11" i="21"/>
  <c r="S11" i="21" s="1"/>
  <c r="S40" i="21"/>
  <c r="U34" i="21"/>
  <c r="H11" i="39"/>
  <c r="H32" i="33"/>
  <c r="AB32" i="33" s="1"/>
  <c r="H11" i="21"/>
  <c r="U11" i="21" s="1"/>
  <c r="J11" i="21"/>
  <c r="W11" i="21" s="1"/>
  <c r="H37" i="40"/>
  <c r="U37" i="40" s="1"/>
  <c r="H36" i="40"/>
  <c r="AB36" i="40" s="1"/>
  <c r="F35" i="40"/>
  <c r="H23" i="40"/>
  <c r="AB23" i="40" s="1"/>
  <c r="H17" i="40"/>
  <c r="U17" i="40" s="1"/>
  <c r="J15" i="40"/>
  <c r="W15" i="40" s="1"/>
  <c r="J11" i="40"/>
  <c r="W11" i="40" s="1"/>
  <c r="AB8" i="39"/>
  <c r="AB12" i="36"/>
  <c r="W32" i="40"/>
  <c r="J34" i="36"/>
  <c r="W34" i="36" s="1"/>
  <c r="U30" i="36"/>
  <c r="J30" i="35"/>
  <c r="W30" i="35" s="1"/>
  <c r="H30" i="35"/>
  <c r="AB30" i="35" s="1"/>
  <c r="F22" i="35"/>
  <c r="AA22" i="35" s="1"/>
  <c r="H10" i="35"/>
  <c r="U10" i="35" s="1"/>
  <c r="AA33" i="36"/>
  <c r="H16" i="36"/>
  <c r="J29" i="36"/>
  <c r="AC29" i="36" s="1"/>
  <c r="F12" i="36"/>
  <c r="S12" i="36" s="1"/>
  <c r="F24" i="36"/>
  <c r="AA24" i="36" s="1"/>
  <c r="F34" i="36"/>
  <c r="F14" i="35"/>
  <c r="AA14" i="35" s="1"/>
  <c r="F23" i="35"/>
  <c r="AA23" i="35" s="1"/>
  <c r="J32" i="35"/>
  <c r="AC32" i="35" s="1"/>
  <c r="J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F41" i="33"/>
  <c r="S38" i="33"/>
  <c r="F32" i="33"/>
  <c r="AA32" i="33" s="1"/>
  <c r="J19" i="33"/>
  <c r="J15" i="33"/>
  <c r="AC15" i="33" s="1"/>
  <c r="F11" i="33"/>
  <c r="AA11" i="33" s="1"/>
  <c r="W40" i="33"/>
  <c r="F37" i="40"/>
  <c r="F36" i="40"/>
  <c r="AA36" i="40" s="1"/>
  <c r="H28" i="40"/>
  <c r="U28" i="40" s="1"/>
  <c r="F23" i="40"/>
  <c r="AA23" i="40" s="1"/>
  <c r="F17" i="40"/>
  <c r="J17" i="40"/>
  <c r="W17" i="40" s="1"/>
  <c r="F15" i="40"/>
  <c r="S15" i="40" s="1"/>
  <c r="H15" i="40"/>
  <c r="AB15" i="40" s="1"/>
  <c r="AC11" i="40"/>
  <c r="AA12" i="36"/>
  <c r="AB30" i="36"/>
  <c r="F29" i="35"/>
  <c r="H29" i="35"/>
  <c r="AB29" i="35" s="1"/>
  <c r="H33" i="37"/>
  <c r="F33" i="37"/>
  <c r="AA33" i="37" s="1"/>
  <c r="J43" i="34"/>
  <c r="AB42" i="34"/>
  <c r="J40" i="34"/>
  <c r="H38" i="34"/>
  <c r="AB38" i="34" s="1"/>
  <c r="J36" i="34"/>
  <c r="H37" i="34"/>
  <c r="U37" i="34" s="1"/>
  <c r="H25" i="34"/>
  <c r="AB25" i="34" s="1"/>
  <c r="J25" i="34"/>
  <c r="AC25" i="34" s="1"/>
  <c r="F23" i="34"/>
  <c r="J19" i="34"/>
  <c r="AC19" i="34" s="1"/>
  <c r="F17" i="34"/>
  <c r="AA17" i="34" s="1"/>
  <c r="J17" i="34"/>
  <c r="W17" i="34" s="1"/>
  <c r="G113" i="33"/>
  <c r="H113" i="33" s="1"/>
  <c r="I113" i="33" s="1"/>
  <c r="J113" i="33" s="1"/>
  <c r="K113" i="33" s="1"/>
  <c r="L113" i="33" s="1"/>
  <c r="M113" i="33" s="1"/>
  <c r="H37" i="33"/>
  <c r="AB37" i="33"/>
  <c r="H15" i="33"/>
  <c r="AB15" i="33" s="1"/>
  <c r="H11" i="33"/>
  <c r="F28" i="40"/>
  <c r="AA28" i="40"/>
  <c r="AC38" i="34"/>
  <c r="AA38" i="34"/>
  <c r="J37" i="34"/>
  <c r="AC37" i="34" s="1"/>
  <c r="J11" i="33"/>
  <c r="W11" i="33" s="1"/>
  <c r="I123" i="21"/>
  <c r="J123" i="21" s="1"/>
  <c r="K123" i="21" s="1"/>
  <c r="L123" i="21" s="1"/>
  <c r="M123" i="21" s="1"/>
  <c r="J42" i="21"/>
  <c r="AC42" i="21"/>
  <c r="H42" i="21"/>
  <c r="U42" i="21" s="1"/>
  <c r="J44" i="34"/>
  <c r="AC44" i="34" s="1"/>
  <c r="F44" i="34"/>
  <c r="AA44" i="34" s="1"/>
  <c r="J10" i="35"/>
  <c r="AC10" i="35" s="1"/>
  <c r="J14" i="21"/>
  <c r="W14" i="21" s="1"/>
  <c r="F14" i="21"/>
  <c r="H14" i="21"/>
  <c r="U14" i="21" s="1"/>
  <c r="J28" i="21"/>
  <c r="W28" i="21" s="1"/>
  <c r="H30" i="21"/>
  <c r="U30" i="21" s="1"/>
  <c r="F30" i="21"/>
  <c r="S30" i="21" s="1"/>
  <c r="J30" i="21"/>
  <c r="AC30" i="21" s="1"/>
  <c r="J44" i="21"/>
  <c r="AC44" i="21" s="1"/>
  <c r="H46" i="21"/>
  <c r="U46" i="21" s="1"/>
  <c r="F46" i="21"/>
  <c r="H26" i="33"/>
  <c r="U26" i="33" s="1"/>
  <c r="F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H27" i="21"/>
  <c r="AB27" i="21" s="1"/>
  <c r="F27" i="21"/>
  <c r="J31" i="21"/>
  <c r="AC31" i="21" s="1"/>
  <c r="F31" i="21"/>
  <c r="S31" i="21" s="1"/>
  <c r="F45" i="21"/>
  <c r="F27" i="33"/>
  <c r="AA27" i="33" s="1"/>
  <c r="J13" i="33"/>
  <c r="H13" i="33"/>
  <c r="U13" i="33" s="1"/>
  <c r="F13" i="33"/>
  <c r="S13" i="33" s="1"/>
  <c r="J29" i="33"/>
  <c r="H29" i="33"/>
  <c r="U29" i="33" s="1"/>
  <c r="J31" i="33"/>
  <c r="H31" i="33"/>
  <c r="F31" i="33"/>
  <c r="H45" i="33"/>
  <c r="J45" i="33"/>
  <c r="W45" i="33" s="1"/>
  <c r="AA45" i="33"/>
  <c r="J14" i="34"/>
  <c r="W14" i="34" s="1"/>
  <c r="F14" i="34"/>
  <c r="S14" i="34" s="1"/>
  <c r="H14" i="34"/>
  <c r="H30" i="34"/>
  <c r="U30" i="34" s="1"/>
  <c r="F30" i="34"/>
  <c r="S30" i="34" s="1"/>
  <c r="J30" i="34"/>
  <c r="H32" i="34"/>
  <c r="F32" i="34"/>
  <c r="H46" i="34"/>
  <c r="F46" i="34"/>
  <c r="J46" i="34"/>
  <c r="H11" i="35"/>
  <c r="AB11" i="35" s="1"/>
  <c r="J11" i="35"/>
  <c r="W11" i="35" s="1"/>
  <c r="F11" i="35"/>
  <c r="S11" i="35" s="1"/>
  <c r="J26" i="36"/>
  <c r="H28" i="36"/>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J40" i="37"/>
  <c r="AC40" i="37"/>
  <c r="F40" i="37"/>
  <c r="AC12" i="40"/>
  <c r="H14" i="33"/>
  <c r="U14" i="33" s="1"/>
  <c r="F14" i="33"/>
  <c r="S14" i="33" s="1"/>
  <c r="J14" i="33"/>
  <c r="AC14" i="33" s="1"/>
  <c r="H30" i="33"/>
  <c r="AB30" i="33" s="1"/>
  <c r="F30" i="33"/>
  <c r="J30" i="33"/>
  <c r="AC30" i="33" s="1"/>
  <c r="H44" i="33"/>
  <c r="U44" i="33" s="1"/>
  <c r="J44" i="33"/>
  <c r="AC44" i="33" s="1"/>
  <c r="F44" i="33"/>
  <c r="S44" i="33" s="1"/>
  <c r="J46" i="33"/>
  <c r="AC46" i="33" s="1"/>
  <c r="F46" i="33"/>
  <c r="AA46" i="33" s="1"/>
  <c r="H46" i="33"/>
  <c r="H13" i="34"/>
  <c r="U13" i="34" s="1"/>
  <c r="J13" i="34"/>
  <c r="W13" i="34" s="1"/>
  <c r="F13" i="34"/>
  <c r="J29" i="34"/>
  <c r="F29" i="34"/>
  <c r="S29" i="34" s="1"/>
  <c r="H29" i="34"/>
  <c r="AB29" i="34" s="1"/>
  <c r="J31" i="34"/>
  <c r="W31" i="34" s="1"/>
  <c r="H31" i="34"/>
  <c r="F31" i="34"/>
  <c r="S31" i="34"/>
  <c r="H45" i="34"/>
  <c r="J45" i="34"/>
  <c r="W45" i="34" s="1"/>
  <c r="F45" i="34"/>
  <c r="S45" i="34" s="1"/>
  <c r="H47" i="34"/>
  <c r="U47" i="34"/>
  <c r="F47" i="34"/>
  <c r="S47" i="34" s="1"/>
  <c r="J47" i="34"/>
  <c r="AC47" i="34" s="1"/>
  <c r="F13" i="35"/>
  <c r="J13" i="35"/>
  <c r="H13" i="35"/>
  <c r="U13" i="35" s="1"/>
  <c r="J25" i="35"/>
  <c r="F25" i="35"/>
  <c r="S25" i="35" s="1"/>
  <c r="H25" i="35"/>
  <c r="J35" i="35"/>
  <c r="AC35" i="35" s="1"/>
  <c r="F35" i="35"/>
  <c r="AA35" i="35" s="1"/>
  <c r="H35" i="35"/>
  <c r="J25" i="36"/>
  <c r="F25" i="36"/>
  <c r="S25" i="36" s="1"/>
  <c r="H25" i="36"/>
  <c r="AB25" i="36" s="1"/>
  <c r="H13" i="37"/>
  <c r="AB13" i="37" s="1"/>
  <c r="F13" i="37"/>
  <c r="J13" i="37"/>
  <c r="W13" i="37" s="1"/>
  <c r="F28" i="37"/>
  <c r="AA28" i="37" s="1"/>
  <c r="J28" i="37"/>
  <c r="AC28" i="37" s="1"/>
  <c r="H28" i="37"/>
  <c r="H38" i="37"/>
  <c r="AB38" i="37" s="1"/>
  <c r="J38" i="37"/>
  <c r="AC38" i="37" s="1"/>
  <c r="F38" i="37"/>
  <c r="S38" i="37" s="1"/>
  <c r="F43" i="39"/>
  <c r="H43" i="39"/>
  <c r="U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F14" i="37"/>
  <c r="AA14" i="37" s="1"/>
  <c r="F27" i="37"/>
  <c r="AA27" i="37" s="1"/>
  <c r="F13" i="39"/>
  <c r="J13" i="39"/>
  <c r="H13" i="39"/>
  <c r="H14" i="40"/>
  <c r="AB14" i="40" s="1"/>
  <c r="J14" i="40"/>
  <c r="W14" i="40" s="1"/>
  <c r="F14" i="40"/>
  <c r="J14" i="37"/>
  <c r="J27" i="37"/>
  <c r="AC27" i="37" s="1"/>
  <c r="J36" i="37"/>
  <c r="AC36" i="37" s="1"/>
  <c r="J10" i="36"/>
  <c r="AC10" i="36" s="1"/>
  <c r="AB30" i="21"/>
  <c r="S11" i="36"/>
  <c r="S45" i="33"/>
  <c r="F17" i="21"/>
  <c r="AA17" i="21" s="1"/>
  <c r="H17" i="21"/>
  <c r="F15" i="21"/>
  <c r="S15" i="21" s="1"/>
  <c r="J41" i="39"/>
  <c r="W41" i="39" s="1"/>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78" i="3"/>
  <c r="BL574" i="3"/>
  <c r="BL570" i="3"/>
  <c r="BL566" i="3"/>
  <c r="BL562" i="3"/>
  <c r="BL556" i="3"/>
  <c r="AZ556" i="3" s="1"/>
  <c r="BL552" i="3"/>
  <c r="BL544" i="3"/>
  <c r="BL540" i="3"/>
  <c r="BL536" i="3"/>
  <c r="G533" i="3"/>
  <c r="BL532" i="3"/>
  <c r="G529" i="3"/>
  <c r="BL528" i="3"/>
  <c r="G525" i="3"/>
  <c r="BL524" i="3"/>
  <c r="BL518" i="3"/>
  <c r="BL514" i="3"/>
  <c r="BL510" i="3"/>
  <c r="BL504" i="3"/>
  <c r="BL500" i="3"/>
  <c r="AZ500" i="3" s="1"/>
  <c r="BL496" i="3"/>
  <c r="G493" i="3"/>
  <c r="BA580" i="3"/>
  <c r="BA578" i="3"/>
  <c r="BA576" i="3"/>
  <c r="AZ576" i="3" s="1"/>
  <c r="BA574" i="3"/>
  <c r="BA572" i="3"/>
  <c r="BA570" i="3"/>
  <c r="AZ570" i="3" s="1"/>
  <c r="BA568" i="3"/>
  <c r="BA566" i="3"/>
  <c r="BA564" i="3"/>
  <c r="BA562" i="3"/>
  <c r="BA560" i="3"/>
  <c r="AZ560" i="3" s="1"/>
  <c r="BA558" i="3"/>
  <c r="BA556" i="3"/>
  <c r="BA554" i="3"/>
  <c r="AZ554" i="3" s="1"/>
  <c r="BA552" i="3"/>
  <c r="AZ552" i="3" s="1"/>
  <c r="BA548" i="3"/>
  <c r="BA546" i="3"/>
  <c r="BA544" i="3"/>
  <c r="AZ544" i="3" s="1"/>
  <c r="BA542" i="3"/>
  <c r="BA540" i="3"/>
  <c r="BA538" i="3"/>
  <c r="BA536" i="3"/>
  <c r="BA534" i="3"/>
  <c r="AZ534" i="3" s="1"/>
  <c r="BA532" i="3"/>
  <c r="BA530" i="3"/>
  <c r="AZ530" i="3" s="1"/>
  <c r="BA528" i="3"/>
  <c r="BA526" i="3"/>
  <c r="BA524" i="3"/>
  <c r="BA522" i="3"/>
  <c r="BA520" i="3"/>
  <c r="BA518" i="3"/>
  <c r="BA516" i="3"/>
  <c r="BA514" i="3"/>
  <c r="BA512" i="3"/>
  <c r="AZ512" i="3" s="1"/>
  <c r="BA510" i="3"/>
  <c r="AZ510" i="3" s="1"/>
  <c r="BA508" i="3"/>
  <c r="BA506" i="3"/>
  <c r="BA504" i="3"/>
  <c r="BA502" i="3"/>
  <c r="BA500" i="3"/>
  <c r="BA498" i="3"/>
  <c r="AZ498" i="3" s="1"/>
  <c r="BA496" i="3"/>
  <c r="BA494"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F22" i="36"/>
  <c r="S22" i="36" s="1"/>
  <c r="F26" i="36"/>
  <c r="S26" i="36" s="1"/>
  <c r="H27" i="34"/>
  <c r="H35" i="34"/>
  <c r="F41" i="34"/>
  <c r="H41" i="34"/>
  <c r="U41" i="34" s="1"/>
  <c r="J41" i="34"/>
  <c r="F10" i="35"/>
  <c r="S10" i="35" s="1"/>
  <c r="F24" i="35"/>
  <c r="AA24" i="35" s="1"/>
  <c r="H24" i="35"/>
  <c r="AB24" i="35" s="1"/>
  <c r="H23" i="37"/>
  <c r="AB23" i="37" s="1"/>
  <c r="J32" i="37"/>
  <c r="AC32" i="37" s="1"/>
  <c r="F36" i="37"/>
  <c r="AA36" i="37" s="1"/>
  <c r="F37" i="37"/>
  <c r="AA37" i="37" s="1"/>
  <c r="F31" i="40"/>
  <c r="H31" i="40"/>
  <c r="AB31" i="40" s="1"/>
  <c r="F32" i="40"/>
  <c r="S32" i="40" s="1"/>
  <c r="H32" i="40"/>
  <c r="AB32" i="40" s="1"/>
  <c r="J36" i="40"/>
  <c r="F123" i="33"/>
  <c r="G123" i="33" s="1"/>
  <c r="H123" i="33" s="1"/>
  <c r="I123" i="33" s="1"/>
  <c r="J123" i="33" s="1"/>
  <c r="K123" i="33" s="1"/>
  <c r="L123" i="33" s="1"/>
  <c r="M123" i="33" s="1"/>
  <c r="H42" i="33"/>
  <c r="AB42" i="33" s="1"/>
  <c r="J43" i="33"/>
  <c r="AC43" i="33" s="1"/>
  <c r="U14" i="40"/>
  <c r="U39" i="37"/>
  <c r="W47" i="34"/>
  <c r="AC45" i="33"/>
  <c r="W44" i="33"/>
  <c r="U19" i="21"/>
  <c r="AB38" i="21"/>
  <c r="F43" i="33"/>
  <c r="AA43" i="33" s="1"/>
  <c r="W15" i="34"/>
  <c r="AC15" i="34"/>
  <c r="W40" i="37"/>
  <c r="H37" i="21"/>
  <c r="U37" i="21" s="1"/>
  <c r="S42" i="21"/>
  <c r="H19" i="34"/>
  <c r="F36" i="35"/>
  <c r="S36" i="35" s="1"/>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J42" i="39"/>
  <c r="AC42" i="39" s="1"/>
  <c r="H21" i="40"/>
  <c r="AB21" i="40" s="1"/>
  <c r="H31" i="37"/>
  <c r="U31" i="37" s="1"/>
  <c r="J15" i="37"/>
  <c r="AT6" i="3"/>
  <c r="AA25" i="21"/>
  <c r="H19" i="40"/>
  <c r="U19" i="40" s="1"/>
  <c r="F88" i="40"/>
  <c r="G88" i="40" s="1"/>
  <c r="F19" i="40"/>
  <c r="S19" i="40" s="1"/>
  <c r="AC13" i="40"/>
  <c r="AB33" i="40"/>
  <c r="W23" i="39"/>
  <c r="AC43" i="39"/>
  <c r="W43" i="39"/>
  <c r="U45" i="39"/>
  <c r="AB45" i="39"/>
  <c r="AB44" i="39"/>
  <c r="U44" i="39"/>
  <c r="H37" i="39"/>
  <c r="U37" i="39" s="1"/>
  <c r="H25" i="39"/>
  <c r="AB25" i="39" s="1"/>
  <c r="J25" i="39"/>
  <c r="AC25" i="39" s="1"/>
  <c r="F25" i="39"/>
  <c r="AA25" i="39" s="1"/>
  <c r="F15" i="39"/>
  <c r="H15" i="39"/>
  <c r="U15" i="39" s="1"/>
  <c r="J15" i="39"/>
  <c r="W15" i="39" s="1"/>
  <c r="H41" i="39"/>
  <c r="AB41" i="39" s="1"/>
  <c r="AB34" i="39"/>
  <c r="U40" i="39"/>
  <c r="S42" i="39"/>
  <c r="W9" i="39"/>
  <c r="W8" i="39"/>
  <c r="J19" i="40"/>
  <c r="AC19" i="40" s="1"/>
  <c r="J50" i="40"/>
  <c r="H103" i="9"/>
  <c r="D8" i="53" s="1"/>
  <c r="B16" i="53"/>
  <c r="B33" i="72" s="1"/>
  <c r="C7" i="37"/>
  <c r="C7" i="34"/>
  <c r="C7" i="36"/>
  <c r="C46" i="36" s="1"/>
  <c r="D46" i="36" s="1"/>
  <c r="E46" i="36" s="1"/>
  <c r="F46" i="36" s="1"/>
  <c r="G46" i="36" s="1"/>
  <c r="H46" i="36" s="1"/>
  <c r="I46" i="36" s="1"/>
  <c r="W35" i="40"/>
  <c r="J11" i="39"/>
  <c r="F11" i="39"/>
  <c r="S11" i="39" s="1"/>
  <c r="G4" i="4"/>
  <c r="I4" i="4"/>
  <c r="F61" i="43"/>
  <c r="H64" i="43" s="1"/>
  <c r="BL549" i="3"/>
  <c r="AZ549" i="3" s="1"/>
  <c r="AZ49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O5" i="3"/>
  <c r="BH5" i="3"/>
  <c r="BF5" i="3"/>
  <c r="BD5" i="3"/>
  <c r="AC5" i="3"/>
  <c r="G548" i="3"/>
  <c r="G538" i="3"/>
  <c r="G520" i="3"/>
  <c r="G502" i="3"/>
  <c r="BE5" i="3"/>
  <c r="G17" i="3"/>
  <c r="BA17" i="3"/>
  <c r="BA15" i="3"/>
  <c r="BB5" i="3"/>
  <c r="G509" i="3"/>
  <c r="BL493" i="3"/>
  <c r="U36" i="40"/>
  <c r="F83" i="43"/>
  <c r="H85" i="43" s="1"/>
  <c r="G85" i="43" s="1"/>
  <c r="F50" i="43"/>
  <c r="H54" i="43" s="1"/>
  <c r="F72" i="43"/>
  <c r="H75" i="43" s="1"/>
  <c r="U17" i="39"/>
  <c r="S14" i="35"/>
  <c r="U43" i="21"/>
  <c r="U35" i="21"/>
  <c r="AC35" i="21"/>
  <c r="W37" i="37"/>
  <c r="W44" i="34"/>
  <c r="U12" i="40"/>
  <c r="AA12" i="40"/>
  <c r="J37" i="33"/>
  <c r="AC37" i="33" s="1"/>
  <c r="F106" i="33"/>
  <c r="G106" i="33" s="1"/>
  <c r="H106" i="33" s="1"/>
  <c r="I106" i="33" s="1"/>
  <c r="J106" i="33" s="1"/>
  <c r="K106" i="33" s="1"/>
  <c r="L106" i="33" s="1"/>
  <c r="M106"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H35" i="37"/>
  <c r="U35" i="37" s="1"/>
  <c r="AC14" i="35"/>
  <c r="H20" i="35"/>
  <c r="F20" i="35"/>
  <c r="AA20" i="35" s="1"/>
  <c r="AB29" i="36"/>
  <c r="U29" i="36"/>
  <c r="H32" i="37"/>
  <c r="AB32" i="37" s="1"/>
  <c r="F96" i="37"/>
  <c r="G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F23" i="39"/>
  <c r="AA23" i="39" s="1"/>
  <c r="H27" i="36"/>
  <c r="U27" i="36" s="1"/>
  <c r="F27" i="36"/>
  <c r="AA27" i="36" s="1"/>
  <c r="H33" i="34"/>
  <c r="U33" i="34" s="1"/>
  <c r="F32" i="37"/>
  <c r="AA32" i="37" s="1"/>
  <c r="H96" i="37"/>
  <c r="I96" i="37" s="1"/>
  <c r="J96" i="37" s="1"/>
  <c r="K96" i="37" s="1"/>
  <c r="L96" i="37" s="1"/>
  <c r="M96" i="37" s="1"/>
  <c r="F20" i="36"/>
  <c r="J33" i="34"/>
  <c r="AC33" i="34" s="1"/>
  <c r="H23" i="39"/>
  <c r="U23" i="39" s="1"/>
  <c r="D48" i="9"/>
  <c r="M52" i="9" s="1"/>
  <c r="K9" i="1"/>
  <c r="M9" i="1" s="1"/>
  <c r="D93" i="9"/>
  <c r="AC26" i="33"/>
  <c r="W26" i="33"/>
  <c r="W27" i="34"/>
  <c r="AC27" i="34"/>
  <c r="AB34" i="36"/>
  <c r="U34" i="36"/>
  <c r="AC12" i="39"/>
  <c r="W12" i="39"/>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B37" i="40"/>
  <c r="W38" i="40"/>
  <c r="AA32" i="40"/>
  <c r="S23" i="40"/>
  <c r="AC17" i="40"/>
  <c r="AC15" i="40"/>
  <c r="AA19" i="40"/>
  <c r="S28" i="40"/>
  <c r="U21" i="40"/>
  <c r="F32" i="39"/>
  <c r="S32" i="39" s="1"/>
  <c r="F106" i="39"/>
  <c r="G106" i="39" s="1"/>
  <c r="H106" i="39" s="1"/>
  <c r="I106" i="39" s="1"/>
  <c r="J106" i="39" s="1"/>
  <c r="K106" i="39" s="1"/>
  <c r="L106" i="39" s="1"/>
  <c r="M106" i="39" s="1"/>
  <c r="AB27" i="39"/>
  <c r="J21" i="39"/>
  <c r="W21" i="39" s="1"/>
  <c r="F21" i="39"/>
  <c r="S21" i="39" s="1"/>
  <c r="G94" i="39"/>
  <c r="H21" i="39"/>
  <c r="W19" i="39"/>
  <c r="U19" i="39"/>
  <c r="S17" i="39"/>
  <c r="S9" i="39"/>
  <c r="U14" i="39"/>
  <c r="U13" i="36"/>
  <c r="U26" i="36"/>
  <c r="S33" i="36"/>
  <c r="AA22" i="36"/>
  <c r="W14" i="36"/>
  <c r="U22" i="36"/>
  <c r="S16" i="36"/>
  <c r="AA25" i="36"/>
  <c r="S2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W27" i="37"/>
  <c r="S37" i="37"/>
  <c r="J17" i="37"/>
  <c r="W17" i="37" s="1"/>
  <c r="F17" i="37"/>
  <c r="AA17" i="37" s="1"/>
  <c r="F75" i="37"/>
  <c r="G75" i="37" s="1"/>
  <c r="F79" i="37"/>
  <c r="G79" i="37" s="1"/>
  <c r="F23" i="37"/>
  <c r="S23" i="37" s="1"/>
  <c r="AC13" i="37"/>
  <c r="H10" i="37"/>
  <c r="AB10" i="37" s="1"/>
  <c r="F63" i="37"/>
  <c r="G63" i="37" s="1"/>
  <c r="H63" i="37" s="1"/>
  <c r="I63" i="37" s="1"/>
  <c r="J63" i="37" s="1"/>
  <c r="K63" i="37" s="1"/>
  <c r="L63" i="37" s="1"/>
  <c r="M63" i="37" s="1"/>
  <c r="F11" i="37"/>
  <c r="S11" i="37" s="1"/>
  <c r="W25" i="34"/>
  <c r="AB8" i="34"/>
  <c r="AA33" i="34"/>
  <c r="U43" i="34"/>
  <c r="AC42" i="34"/>
  <c r="U39" i="34"/>
  <c r="AA45" i="34"/>
  <c r="AA25" i="34"/>
  <c r="S17" i="34"/>
  <c r="AA29" i="34"/>
  <c r="U15" i="34"/>
  <c r="H10" i="34"/>
  <c r="AB10" i="34" s="1"/>
  <c r="F11" i="34"/>
  <c r="S11" i="34" s="1"/>
  <c r="F70" i="34"/>
  <c r="G70" i="34" s="1"/>
  <c r="H70" i="34" s="1"/>
  <c r="I70" i="34" s="1"/>
  <c r="J70" i="34" s="1"/>
  <c r="K70" i="34" s="1"/>
  <c r="L70" i="34" s="1"/>
  <c r="M70" i="34" s="1"/>
  <c r="AA35" i="33"/>
  <c r="S27" i="33"/>
  <c r="S32" i="33"/>
  <c r="AA29" i="33"/>
  <c r="AB29" i="33"/>
  <c r="H41" i="33"/>
  <c r="U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J23" i="33"/>
  <c r="AC23" i="33" s="1"/>
  <c r="F85" i="33"/>
  <c r="G85" i="33" s="1"/>
  <c r="H23" i="33"/>
  <c r="AB23" i="33" s="1"/>
  <c r="F19" i="33"/>
  <c r="J17" i="33"/>
  <c r="AC17" i="33" s="1"/>
  <c r="S15" i="33"/>
  <c r="W15" i="33"/>
  <c r="J10" i="33"/>
  <c r="W10" i="33" s="1"/>
  <c r="H10" i="33"/>
  <c r="U10" i="33" s="1"/>
  <c r="AC11" i="33"/>
  <c r="AB14" i="33"/>
  <c r="W36" i="21"/>
  <c r="W41" i="21"/>
  <c r="AB39" i="21"/>
  <c r="AA43" i="21"/>
  <c r="S39" i="21"/>
  <c r="AA38" i="21"/>
  <c r="AA36" i="21"/>
  <c r="AC40" i="21"/>
  <c r="J15" i="21"/>
  <c r="AC15" i="21" s="1"/>
  <c r="F77" i="21"/>
  <c r="G77" i="21" s="1"/>
  <c r="F23" i="21"/>
  <c r="AA23" i="21" s="1"/>
  <c r="E85" i="21"/>
  <c r="F85" i="21" s="1"/>
  <c r="G85" i="21" s="1"/>
  <c r="C18" i="9"/>
  <c r="D18" i="9" s="1"/>
  <c r="F34" i="67"/>
  <c r="F62" i="67" s="1"/>
  <c r="M20" i="67"/>
  <c r="F34" i="15"/>
  <c r="F62" i="15" s="1"/>
  <c r="G13" i="3"/>
  <c r="BL17" i="3"/>
  <c r="AZ17" i="3" s="1"/>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33" i="40"/>
  <c r="AA15" i="40"/>
  <c r="U11" i="40"/>
  <c r="AB13" i="40"/>
  <c r="U15" i="40"/>
  <c r="AB17" i="40"/>
  <c r="U8" i="40"/>
  <c r="S8" i="40"/>
  <c r="AC41" i="39"/>
  <c r="U42" i="39"/>
  <c r="U41" i="39"/>
  <c r="W25" i="39"/>
  <c r="U13" i="39"/>
  <c r="AB13" i="39"/>
  <c r="AA13" i="39"/>
  <c r="S13" i="39"/>
  <c r="S14" i="39"/>
  <c r="AA14" i="39"/>
  <c r="AB43" i="39"/>
  <c r="AB11" i="39"/>
  <c r="U11" i="39"/>
  <c r="AA27" i="39"/>
  <c r="S27" i="39"/>
  <c r="W17" i="39"/>
  <c r="AC17" i="39"/>
  <c r="AA45" i="39"/>
  <c r="AB39" i="39"/>
  <c r="W34" i="39"/>
  <c r="U38" i="39"/>
  <c r="S8" i="39"/>
  <c r="U32" i="36"/>
  <c r="W29" i="36"/>
  <c r="U25" i="36"/>
  <c r="AA13" i="36"/>
  <c r="W22" i="36"/>
  <c r="S24" i="35"/>
  <c r="U24" i="35"/>
  <c r="S35" i="35"/>
  <c r="W35" i="35"/>
  <c r="AA16" i="35"/>
  <c r="S27" i="37"/>
  <c r="S28" i="37"/>
  <c r="AB40" i="34"/>
  <c r="W19" i="34"/>
  <c r="AB33" i="34"/>
  <c r="AC45" i="34"/>
  <c r="AA31" i="34"/>
  <c r="AA30" i="34"/>
  <c r="AB47" i="34"/>
  <c r="U25" i="34"/>
  <c r="AB36" i="34"/>
  <c r="W33" i="34"/>
  <c r="AC14" i="34"/>
  <c r="AC32" i="34"/>
  <c r="AC29" i="34"/>
  <c r="W29" i="34"/>
  <c r="W46" i="34"/>
  <c r="AC46" i="34"/>
  <c r="AB30" i="34"/>
  <c r="S37" i="34"/>
  <c r="U38" i="34"/>
  <c r="AC40" i="34"/>
  <c r="W40" i="34"/>
  <c r="AA36" i="34"/>
  <c r="S36" i="34"/>
  <c r="S46" i="34"/>
  <c r="AA46" i="34"/>
  <c r="U32" i="34"/>
  <c r="AB32" i="34"/>
  <c r="U14" i="34"/>
  <c r="AB14" i="34"/>
  <c r="W23" i="34"/>
  <c r="AC23" i="34"/>
  <c r="AC35" i="34"/>
  <c r="W35" i="34"/>
  <c r="U12" i="34"/>
  <c r="AB12" i="34"/>
  <c r="W46" i="33"/>
  <c r="U38" i="33"/>
  <c r="AB44" i="33"/>
  <c r="S30" i="33"/>
  <c r="AA30" i="33"/>
  <c r="W14" i="33"/>
  <c r="W30" i="33"/>
  <c r="S31" i="33"/>
  <c r="AA31" i="33"/>
  <c r="W13" i="33"/>
  <c r="AC13" i="33"/>
  <c r="U15" i="33"/>
  <c r="S11" i="33"/>
  <c r="U37" i="33"/>
  <c r="W9" i="33"/>
  <c r="W8" i="33"/>
  <c r="AB42"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W39" i="21"/>
  <c r="AC14" i="21"/>
  <c r="W30" i="21"/>
  <c r="H45" i="21"/>
  <c r="F29" i="21"/>
  <c r="AA29" i="21" s="1"/>
  <c r="F13" i="21"/>
  <c r="AA13" i="21" s="1"/>
  <c r="AC38" i="21"/>
  <c r="H32" i="21"/>
  <c r="U32" i="21" s="1"/>
  <c r="H9" i="21"/>
  <c r="U9" i="21" s="1"/>
  <c r="J9" i="21"/>
  <c r="J32" i="21"/>
  <c r="W32" i="21" s="1"/>
  <c r="F32" i="21"/>
  <c r="S32" i="21" s="1"/>
  <c r="AA31" i="21"/>
  <c r="W29" i="21"/>
  <c r="S19" i="21"/>
  <c r="S9" i="21"/>
  <c r="AA9" i="21"/>
  <c r="K141" i="21"/>
  <c r="K144" i="21"/>
  <c r="K143" i="21"/>
  <c r="U27" i="21"/>
  <c r="AB25" i="21"/>
  <c r="AA30" i="21"/>
  <c r="W42" i="21"/>
  <c r="AC45" i="21"/>
  <c r="F10" i="21"/>
  <c r="AA10" i="21" s="1"/>
  <c r="K145" i="21"/>
  <c r="W25" i="21"/>
  <c r="W31" i="21"/>
  <c r="S17" i="21"/>
  <c r="AA15" i="21"/>
  <c r="AC27" i="21"/>
  <c r="AC26" i="21"/>
  <c r="AC34" i="21"/>
  <c r="AB36" i="21"/>
  <c r="C19" i="39"/>
  <c r="C17" i="40"/>
  <c r="C23" i="40"/>
  <c r="U30" i="40"/>
  <c r="B56" i="43"/>
  <c r="B67" i="43"/>
  <c r="B54" i="43"/>
  <c r="B58" i="43"/>
  <c r="B65" i="43"/>
  <c r="B69" i="43"/>
  <c r="D23" i="15"/>
  <c r="D22" i="15"/>
  <c r="E4" i="4"/>
  <c r="B5" i="62" s="1"/>
  <c r="B73" i="72" s="1"/>
  <c r="C4" i="4"/>
  <c r="AA39" i="40"/>
  <c r="S12" i="33"/>
  <c r="AA12" i="33"/>
  <c r="J32" i="39"/>
  <c r="W32" i="39" s="1"/>
  <c r="H32" i="39"/>
  <c r="AB32" i="39" s="1"/>
  <c r="AB21" i="39"/>
  <c r="U21" i="39"/>
  <c r="J19" i="37"/>
  <c r="W19" i="37" s="1"/>
  <c r="J23" i="37"/>
  <c r="W23" i="37" s="1"/>
  <c r="J10" i="37"/>
  <c r="W10" i="37" s="1"/>
  <c r="H11" i="37"/>
  <c r="AB11" i="37" s="1"/>
  <c r="H11" i="34"/>
  <c r="U11" i="34" s="1"/>
  <c r="J10" i="34"/>
  <c r="AC10" i="34" s="1"/>
  <c r="AC35" i="33"/>
  <c r="J36" i="33"/>
  <c r="W36" i="33" s="1"/>
  <c r="H36" i="33"/>
  <c r="S36" i="33"/>
  <c r="AB27" i="33"/>
  <c r="J27" i="33"/>
  <c r="AC27" i="33" s="1"/>
  <c r="S25" i="33"/>
  <c r="AA25" i="33"/>
  <c r="J25" i="33"/>
  <c r="AC25" i="33" s="1"/>
  <c r="F23" i="33"/>
  <c r="H19" i="33"/>
  <c r="AB19" i="33" s="1"/>
  <c r="G81" i="33"/>
  <c r="H17" i="33"/>
  <c r="U17" i="33" s="1"/>
  <c r="F17" i="33"/>
  <c r="S17" i="33" s="1"/>
  <c r="W17" i="33"/>
  <c r="J23" i="21"/>
  <c r="AC23" i="21" s="1"/>
  <c r="H23" i="21"/>
  <c r="AB23" i="21" s="1"/>
  <c r="S13" i="21"/>
  <c r="AP7" i="1"/>
  <c r="J11" i="37"/>
  <c r="AC11" i="37" s="1"/>
  <c r="J11" i="34"/>
  <c r="W11" i="34" s="1"/>
  <c r="H109" i="9"/>
  <c r="H112" i="9"/>
  <c r="D21" i="53" s="1"/>
  <c r="B39" i="72" s="1"/>
  <c r="H111" i="9"/>
  <c r="D126" i="9" s="1"/>
  <c r="AD3" i="71"/>
  <c r="J1" i="73"/>
  <c r="S24" i="71"/>
  <c r="T24" i="71"/>
  <c r="AB22" i="71"/>
  <c r="X20" i="71"/>
  <c r="X19" i="71"/>
  <c r="AA20" i="71"/>
  <c r="AA19" i="71"/>
  <c r="X23" i="71"/>
  <c r="Y19" i="71"/>
  <c r="Z19" i="71" s="1"/>
  <c r="AB20" i="71"/>
  <c r="AB19" i="71"/>
  <c r="F21" i="71"/>
  <c r="F20" i="71" s="1"/>
  <c r="F19" i="71" s="1"/>
  <c r="F18" i="71" s="1"/>
  <c r="F17" i="71" s="1"/>
  <c r="Y20" i="71"/>
  <c r="Z20" i="71" s="1"/>
  <c r="X3" i="71"/>
  <c r="AO13" i="1"/>
  <c r="F9" i="67"/>
  <c r="F26" i="67"/>
  <c r="F6" i="15"/>
  <c r="B9" i="76"/>
  <c r="E13" i="76"/>
  <c r="M6" i="67"/>
  <c r="E9" i="76"/>
  <c r="E2" i="68"/>
  <c r="B8" i="76"/>
  <c r="E12" i="76"/>
  <c r="E8" i="76"/>
  <c r="E7" i="76"/>
  <c r="M24" i="67"/>
  <c r="B13" i="76"/>
  <c r="E2" i="69"/>
  <c r="F20" i="31"/>
  <c r="E11" i="76"/>
  <c r="F43" i="67"/>
  <c r="E10" i="76"/>
  <c r="J15" i="15"/>
  <c r="F38" i="67"/>
  <c r="F7" i="73"/>
  <c r="L48" i="15"/>
  <c r="M8" i="15"/>
  <c r="B7" i="76"/>
  <c r="B10" i="76"/>
  <c r="F42" i="15"/>
  <c r="F8" i="67"/>
  <c r="F36" i="67"/>
  <c r="B12" i="76"/>
  <c r="F5" i="73"/>
  <c r="D6" i="73"/>
  <c r="F3" i="73"/>
  <c r="F6" i="73"/>
  <c r="M9" i="67"/>
  <c r="F4" i="73"/>
  <c r="B11" i="76"/>
  <c r="F37" i="67"/>
  <c r="M29" i="67"/>
  <c r="F42" i="67"/>
  <c r="U34" i="33" l="1"/>
  <c r="AB34" i="33"/>
  <c r="U20" i="35"/>
  <c r="AB20" i="35"/>
  <c r="S12" i="39"/>
  <c r="AA12" i="39"/>
  <c r="AA35" i="40"/>
  <c r="S35" i="40"/>
  <c r="W19" i="21"/>
  <c r="AC19" i="21"/>
  <c r="AA35" i="21"/>
  <c r="S35" i="21"/>
  <c r="BA587" i="3"/>
  <c r="BK5" i="3"/>
  <c r="BG5" i="3"/>
  <c r="BA585" i="3"/>
  <c r="BC5" i="3"/>
  <c r="B94" i="43"/>
  <c r="B51" i="43"/>
  <c r="B62" i="43"/>
  <c r="B83" i="43"/>
  <c r="C15" i="40"/>
  <c r="U41" i="33"/>
  <c r="AB41" i="33"/>
  <c r="AA31" i="40"/>
  <c r="S31" i="40"/>
  <c r="AB27" i="34"/>
  <c r="U27" i="34"/>
  <c r="AZ493" i="3"/>
  <c r="AA28" i="33"/>
  <c r="S28" i="33"/>
  <c r="AA17" i="40"/>
  <c r="S17" i="40"/>
  <c r="AA37" i="40"/>
  <c r="S37" i="40"/>
  <c r="AC19" i="33"/>
  <c r="W19" i="33"/>
  <c r="S19" i="34"/>
  <c r="AA19" i="34"/>
  <c r="AC16" i="35"/>
  <c r="W16" i="35"/>
  <c r="S34" i="36"/>
  <c r="AA34" i="36"/>
  <c r="AB16" i="36"/>
  <c r="U16" i="36"/>
  <c r="AB39" i="33"/>
  <c r="U39" i="33"/>
  <c r="BA586" i="3"/>
  <c r="AB35" i="39"/>
  <c r="U35" i="39"/>
  <c r="W36" i="40"/>
  <c r="AC36" i="40"/>
  <c r="AC41" i="34"/>
  <c r="W41" i="34"/>
  <c r="S37" i="21"/>
  <c r="AC9" i="21"/>
  <c r="W9" i="21"/>
  <c r="AA27" i="21"/>
  <c r="S27" i="21"/>
  <c r="U14" i="36"/>
  <c r="AB14" i="36"/>
  <c r="AB11" i="33"/>
  <c r="U11" i="33"/>
  <c r="AA23" i="34"/>
  <c r="S23" i="34"/>
  <c r="W36" i="34"/>
  <c r="AC36" i="34"/>
  <c r="W43" i="34"/>
  <c r="AC43" i="34"/>
  <c r="S29" i="35"/>
  <c r="AA29" i="35"/>
  <c r="S41" i="39"/>
  <c r="AA41" i="39"/>
  <c r="AA35" i="39"/>
  <c r="S35" i="39"/>
  <c r="H28" i="21"/>
  <c r="F28" i="21"/>
  <c r="F44" i="21"/>
  <c r="H44" i="21"/>
  <c r="AC38" i="33"/>
  <c r="W38" i="33"/>
  <c r="AC42" i="33"/>
  <c r="W42" i="33"/>
  <c r="H28" i="33"/>
  <c r="J28" i="33"/>
  <c r="S8" i="34"/>
  <c r="AA8" i="34"/>
  <c r="AB19" i="40"/>
  <c r="W44" i="21"/>
  <c r="AC28" i="21"/>
  <c r="AA14" i="40"/>
  <c r="S14" i="40"/>
  <c r="W13" i="39"/>
  <c r="AC13" i="39"/>
  <c r="AA13" i="40"/>
  <c r="S13" i="40"/>
  <c r="AA43" i="39"/>
  <c r="S43" i="39"/>
  <c r="S13" i="37"/>
  <c r="AA13" i="37"/>
  <c r="W25" i="36"/>
  <c r="AC25" i="36"/>
  <c r="AB25" i="35"/>
  <c r="U25" i="35"/>
  <c r="AC13" i="35"/>
  <c r="W13" i="35"/>
  <c r="U45" i="34"/>
  <c r="AB45" i="34"/>
  <c r="AA13" i="34"/>
  <c r="S13" i="34"/>
  <c r="AA40" i="37"/>
  <c r="S40" i="37"/>
  <c r="U28" i="36"/>
  <c r="AB28" i="36"/>
  <c r="AA32" i="34"/>
  <c r="S32" i="34"/>
  <c r="AA46" i="21"/>
  <c r="S46" i="21"/>
  <c r="S14" i="21"/>
  <c r="AA14" i="21"/>
  <c r="AC27" i="39"/>
  <c r="W27" i="39"/>
  <c r="AA21" i="40"/>
  <c r="S21" i="40"/>
  <c r="C21" i="40"/>
  <c r="B90" i="43"/>
  <c r="AA33" i="33"/>
  <c r="S33" i="33"/>
  <c r="AB9" i="21"/>
  <c r="AC32" i="33"/>
  <c r="AA32" i="39"/>
  <c r="W43" i="33"/>
  <c r="AB41" i="34"/>
  <c r="AA26" i="36"/>
  <c r="U25" i="39"/>
  <c r="H29" i="21"/>
  <c r="BA452" i="3"/>
  <c r="G425" i="3"/>
  <c r="G384" i="3"/>
  <c r="G387" i="3"/>
  <c r="G213" i="3"/>
  <c r="G217" i="3"/>
  <c r="G221" i="3"/>
  <c r="G225" i="3"/>
  <c r="G229" i="3"/>
  <c r="BL252" i="3"/>
  <c r="G253" i="3"/>
  <c r="G273" i="3"/>
  <c r="G277" i="3"/>
  <c r="G184" i="3"/>
  <c r="BL186" i="3"/>
  <c r="G34" i="3"/>
  <c r="W18" i="36"/>
  <c r="AZ356" i="3"/>
  <c r="AZ506" i="3"/>
  <c r="G190" i="3"/>
  <c r="G195" i="3"/>
  <c r="G198" i="3"/>
  <c r="G56" i="3"/>
  <c r="BA65" i="3"/>
  <c r="G68" i="3"/>
  <c r="G84" i="3"/>
  <c r="G92" i="3"/>
  <c r="AC21" i="33"/>
  <c r="B23" i="71"/>
  <c r="D120" i="9"/>
  <c r="D121" i="9" s="1"/>
  <c r="D7" i="52" s="1"/>
  <c r="S42" i="33"/>
  <c r="AC17" i="34"/>
  <c r="U13" i="37"/>
  <c r="AZ355" i="3"/>
  <c r="AZ501" i="3"/>
  <c r="AZ509" i="3"/>
  <c r="U34" i="40"/>
  <c r="AC27" i="35"/>
  <c r="W28" i="36"/>
  <c r="U9" i="39"/>
  <c r="H36" i="39"/>
  <c r="G586" i="3"/>
  <c r="G570" i="3"/>
  <c r="G452" i="3"/>
  <c r="G215" i="3"/>
  <c r="G223" i="3"/>
  <c r="G231" i="3"/>
  <c r="G271" i="3"/>
  <c r="G276" i="3"/>
  <c r="G111" i="3"/>
  <c r="D68" i="71"/>
  <c r="C51" i="71"/>
  <c r="C52" i="71" s="1"/>
  <c r="T52" i="71" s="1"/>
  <c r="D50" i="71"/>
  <c r="G14" i="3"/>
  <c r="G432" i="3"/>
  <c r="BA462" i="3"/>
  <c r="BA235" i="3"/>
  <c r="G238" i="3"/>
  <c r="G250" i="3"/>
  <c r="BL254" i="3"/>
  <c r="BA260" i="3"/>
  <c r="BL262" i="3"/>
  <c r="BL267" i="3"/>
  <c r="BA269" i="3"/>
  <c r="AZ269" i="3" s="1"/>
  <c r="BA270" i="3"/>
  <c r="BL270" i="3"/>
  <c r="G280" i="3"/>
  <c r="G292" i="3"/>
  <c r="G127" i="3"/>
  <c r="BL127" i="3"/>
  <c r="G130" i="3"/>
  <c r="G138" i="3"/>
  <c r="BL163" i="3"/>
  <c r="G166" i="3"/>
  <c r="G21" i="3"/>
  <c r="G29" i="3"/>
  <c r="G41" i="3"/>
  <c r="G53" i="3"/>
  <c r="BA70" i="3"/>
  <c r="G73" i="3"/>
  <c r="Q68" i="71"/>
  <c r="T68" i="71"/>
  <c r="B40" i="71"/>
  <c r="S40" i="71" s="1"/>
  <c r="S68" i="71"/>
  <c r="V68" i="71"/>
  <c r="AZ127" i="3"/>
  <c r="BL443" i="3"/>
  <c r="BL447" i="3"/>
  <c r="BA448" i="3"/>
  <c r="AA27" i="40"/>
  <c r="AZ371" i="3"/>
  <c r="AZ351" i="3"/>
  <c r="AZ163" i="3"/>
  <c r="AA13" i="33"/>
  <c r="AZ523" i="3"/>
  <c r="AZ539" i="3"/>
  <c r="AZ547" i="3"/>
  <c r="AZ563" i="3"/>
  <c r="AZ496" i="3"/>
  <c r="AZ536" i="3"/>
  <c r="AZ572" i="3"/>
  <c r="G421" i="3"/>
  <c r="G426" i="3"/>
  <c r="G434" i="3"/>
  <c r="G459" i="3"/>
  <c r="G463" i="3"/>
  <c r="G471" i="3"/>
  <c r="G479" i="3"/>
  <c r="G249" i="3"/>
  <c r="BA250" i="3"/>
  <c r="G268" i="3"/>
  <c r="G279" i="3"/>
  <c r="G286" i="3"/>
  <c r="G287" i="3"/>
  <c r="BL287" i="3"/>
  <c r="G290" i="3"/>
  <c r="G294" i="3"/>
  <c r="G116" i="3"/>
  <c r="G128" i="3"/>
  <c r="G136" i="3"/>
  <c r="G140" i="3"/>
  <c r="G152" i="3"/>
  <c r="G156" i="3"/>
  <c r="G160" i="3"/>
  <c r="G206" i="3"/>
  <c r="BL34" i="3"/>
  <c r="G39" i="3"/>
  <c r="BA41" i="3"/>
  <c r="G44" i="3"/>
  <c r="G79" i="3"/>
  <c r="G80" i="3"/>
  <c r="D6" i="52"/>
  <c r="U23" i="33"/>
  <c r="AA40" i="34"/>
  <c r="AZ379" i="3"/>
  <c r="AZ390" i="3"/>
  <c r="AZ503" i="3"/>
  <c r="AZ541" i="3"/>
  <c r="S14" i="37"/>
  <c r="B75" i="43"/>
  <c r="H38" i="40"/>
  <c r="AA38" i="40"/>
  <c r="BL383" i="3"/>
  <c r="AZ383" i="3" s="1"/>
  <c r="BA233" i="3"/>
  <c r="BL175" i="3"/>
  <c r="AZ175" i="3" s="1"/>
  <c r="BA176" i="3"/>
  <c r="AZ176" i="3" s="1"/>
  <c r="G179" i="3"/>
  <c r="BA184" i="3"/>
  <c r="AZ184" i="3" s="1"/>
  <c r="BL187" i="3"/>
  <c r="AZ187" i="3" s="1"/>
  <c r="G196" i="3"/>
  <c r="G66" i="3"/>
  <c r="BL82" i="3"/>
  <c r="BL93" i="3"/>
  <c r="G103" i="3"/>
  <c r="BL103" i="3"/>
  <c r="G107" i="3"/>
  <c r="W21" i="21"/>
  <c r="AB21" i="33"/>
  <c r="C75" i="71"/>
  <c r="D75" i="71" s="1"/>
  <c r="X34" i="71"/>
  <c r="AB34" i="71"/>
  <c r="AZ542" i="3"/>
  <c r="U23" i="21"/>
  <c r="U32" i="39"/>
  <c r="AZ377" i="3"/>
  <c r="AZ361" i="3"/>
  <c r="AZ338" i="3"/>
  <c r="AZ327" i="3"/>
  <c r="AZ378" i="3"/>
  <c r="AZ360" i="3"/>
  <c r="AZ527" i="3"/>
  <c r="W25" i="33"/>
  <c r="W17" i="21"/>
  <c r="AZ14" i="3"/>
  <c r="AZ320" i="3"/>
  <c r="AZ499" i="3"/>
  <c r="AZ519" i="3"/>
  <c r="AZ521" i="3"/>
  <c r="AZ543" i="3"/>
  <c r="AZ508" i="3"/>
  <c r="AA14" i="33"/>
  <c r="AB34" i="35"/>
  <c r="U34" i="35"/>
  <c r="AZ553" i="3"/>
  <c r="AZ573" i="3"/>
  <c r="AZ497" i="3"/>
  <c r="AZ532" i="3"/>
  <c r="AZ546" i="3"/>
  <c r="AZ568" i="3"/>
  <c r="AC11" i="35"/>
  <c r="W33" i="33"/>
  <c r="F39" i="37"/>
  <c r="S39" i="37" s="1"/>
  <c r="H9" i="33"/>
  <c r="J36" i="35"/>
  <c r="AC36" i="35" s="1"/>
  <c r="H24" i="36"/>
  <c r="F25" i="37"/>
  <c r="G552" i="3"/>
  <c r="BA231" i="3"/>
  <c r="BA254" i="3"/>
  <c r="AZ254" i="3" s="1"/>
  <c r="BL278" i="3"/>
  <c r="BA145" i="3"/>
  <c r="BL195" i="3"/>
  <c r="AZ195" i="3" s="1"/>
  <c r="BL197" i="3"/>
  <c r="BL205" i="3"/>
  <c r="BL24" i="3"/>
  <c r="BA31" i="3"/>
  <c r="BA47" i="3"/>
  <c r="BA50" i="3"/>
  <c r="BL52" i="3"/>
  <c r="BA67" i="3"/>
  <c r="BA72" i="3"/>
  <c r="BA80" i="3"/>
  <c r="BL84" i="3"/>
  <c r="AA3" i="71"/>
  <c r="BL402" i="3"/>
  <c r="BL406" i="3"/>
  <c r="G407" i="3"/>
  <c r="G408" i="3"/>
  <c r="G411" i="3"/>
  <c r="G415" i="3"/>
  <c r="G424" i="3"/>
  <c r="BL440" i="3"/>
  <c r="G441" i="3"/>
  <c r="G446" i="3"/>
  <c r="G447" i="3"/>
  <c r="G450" i="3"/>
  <c r="BA458" i="3"/>
  <c r="BL458" i="3"/>
  <c r="BL459" i="3"/>
  <c r="G461" i="3"/>
  <c r="G462" i="3"/>
  <c r="BL465" i="3"/>
  <c r="G466" i="3"/>
  <c r="BA473" i="3"/>
  <c r="G474" i="3"/>
  <c r="G482" i="3"/>
  <c r="BL308" i="3"/>
  <c r="AZ308" i="3" s="1"/>
  <c r="BL324" i="3"/>
  <c r="AZ324" i="3" s="1"/>
  <c r="BL328" i="3"/>
  <c r="AZ328" i="3" s="1"/>
  <c r="G329" i="3"/>
  <c r="G349" i="3"/>
  <c r="BA385" i="3"/>
  <c r="BL385" i="3"/>
  <c r="G212" i="3"/>
  <c r="G216" i="3"/>
  <c r="G228" i="3"/>
  <c r="G232" i="3"/>
  <c r="G246" i="3"/>
  <c r="BA252" i="3"/>
  <c r="AZ252" i="3" s="1"/>
  <c r="G255" i="3"/>
  <c r="G256" i="3"/>
  <c r="G259" i="3"/>
  <c r="G260" i="3"/>
  <c r="BL272" i="3"/>
  <c r="G274" i="3"/>
  <c r="BA120" i="3"/>
  <c r="AZ120" i="3" s="1"/>
  <c r="BA132" i="3"/>
  <c r="AZ132" i="3" s="1"/>
  <c r="G135" i="3"/>
  <c r="G147" i="3"/>
  <c r="BL166" i="3"/>
  <c r="G32" i="3"/>
  <c r="BL44" i="3"/>
  <c r="G48" i="3"/>
  <c r="G57" i="3"/>
  <c r="G61" i="3"/>
  <c r="BL69" i="3"/>
  <c r="G87" i="3"/>
  <c r="G95" i="3"/>
  <c r="G109" i="3"/>
  <c r="BA109" i="3"/>
  <c r="B88" i="43"/>
  <c r="AA21" i="34"/>
  <c r="E67" i="71"/>
  <c r="F38" i="71"/>
  <c r="F39" i="71" s="1"/>
  <c r="AB35" i="71"/>
  <c r="B59" i="71"/>
  <c r="B60" i="71" s="1"/>
  <c r="S60" i="71" s="1"/>
  <c r="C63" i="71"/>
  <c r="U35" i="33"/>
  <c r="U34" i="34"/>
  <c r="W41" i="33"/>
  <c r="AB31" i="35"/>
  <c r="A24" i="51"/>
  <c r="B18" i="72" s="1"/>
  <c r="BL409" i="3"/>
  <c r="BA431" i="3"/>
  <c r="BL432" i="3"/>
  <c r="BA456" i="3"/>
  <c r="BA470" i="3"/>
  <c r="BL484" i="3"/>
  <c r="BL490" i="3"/>
  <c r="BL367" i="3"/>
  <c r="BL375" i="3"/>
  <c r="AZ375" i="3" s="1"/>
  <c r="U68" i="71"/>
  <c r="X31" i="71"/>
  <c r="AA35" i="71"/>
  <c r="B63" i="71"/>
  <c r="B64" i="71" s="1"/>
  <c r="S64" i="71" s="1"/>
  <c r="F26" i="33"/>
  <c r="AA26" i="33" s="1"/>
  <c r="G587" i="3"/>
  <c r="G401" i="3"/>
  <c r="BA402" i="3"/>
  <c r="BA410" i="3"/>
  <c r="G417" i="3"/>
  <c r="BL417" i="3"/>
  <c r="BL420" i="3"/>
  <c r="G422" i="3"/>
  <c r="G423" i="3"/>
  <c r="BL427" i="3"/>
  <c r="BL430" i="3"/>
  <c r="G435" i="3"/>
  <c r="G439" i="3"/>
  <c r="G444" i="3"/>
  <c r="G448" i="3"/>
  <c r="G449" i="3"/>
  <c r="G457" i="3"/>
  <c r="G464" i="3"/>
  <c r="G468" i="3"/>
  <c r="G480" i="3"/>
  <c r="BL488" i="3"/>
  <c r="G489" i="3"/>
  <c r="G307" i="3"/>
  <c r="G323" i="3"/>
  <c r="G343" i="3"/>
  <c r="G347" i="3"/>
  <c r="BL350" i="3"/>
  <c r="G351" i="3"/>
  <c r="BA366" i="3"/>
  <c r="AZ366" i="3" s="1"/>
  <c r="G392" i="3"/>
  <c r="G396" i="3"/>
  <c r="G218" i="3"/>
  <c r="BA220" i="3"/>
  <c r="G226" i="3"/>
  <c r="G234" i="3"/>
  <c r="BA240" i="3"/>
  <c r="G243" i="3"/>
  <c r="BA244" i="3"/>
  <c r="BL244" i="3"/>
  <c r="G247" i="3"/>
  <c r="G251" i="3"/>
  <c r="G257" i="3"/>
  <c r="G258" i="3"/>
  <c r="BA258" i="3"/>
  <c r="G297" i="3"/>
  <c r="G123" i="3"/>
  <c r="BL154" i="3"/>
  <c r="G158" i="3"/>
  <c r="BA160" i="3"/>
  <c r="AZ160" i="3" s="1"/>
  <c r="G170" i="3"/>
  <c r="G186" i="3"/>
  <c r="G187" i="3"/>
  <c r="G191" i="3"/>
  <c r="G18" i="3"/>
  <c r="G23" i="3"/>
  <c r="G42" i="3"/>
  <c r="G46" i="3"/>
  <c r="BA62" i="3"/>
  <c r="G63" i="3"/>
  <c r="G64" i="3"/>
  <c r="BA64" i="3"/>
  <c r="G93" i="3"/>
  <c r="BA98" i="3"/>
  <c r="U25" i="40"/>
  <c r="B51" i="71"/>
  <c r="B52" i="71" s="1"/>
  <c r="S52" i="71" s="1"/>
  <c r="Y27" i="71"/>
  <c r="Z27" i="71" s="1"/>
  <c r="H15" i="37"/>
  <c r="K85" i="43"/>
  <c r="D85" i="43" s="1"/>
  <c r="M85" i="43"/>
  <c r="N85" i="43" s="1"/>
  <c r="AZ341" i="3"/>
  <c r="AB37" i="39"/>
  <c r="H19" i="37"/>
  <c r="AB19" i="37" s="1"/>
  <c r="AZ518" i="3"/>
  <c r="C52" i="37"/>
  <c r="D52" i="37" s="1"/>
  <c r="I7" i="37"/>
  <c r="G7" i="37"/>
  <c r="E7" i="37"/>
  <c r="U19" i="33"/>
  <c r="S23" i="39"/>
  <c r="W15" i="21"/>
  <c r="S30" i="40"/>
  <c r="U35" i="40"/>
  <c r="AZ334" i="3"/>
  <c r="AZ380" i="3"/>
  <c r="AZ325" i="3"/>
  <c r="AZ514" i="3"/>
  <c r="AZ538" i="3"/>
  <c r="AZ504" i="3"/>
  <c r="AA14" i="34"/>
  <c r="AB26" i="33"/>
  <c r="AA17" i="33"/>
  <c r="W27" i="33"/>
  <c r="S23" i="21"/>
  <c r="S43" i="34"/>
  <c r="F19" i="37"/>
  <c r="S19" i="37" s="1"/>
  <c r="U12" i="39"/>
  <c r="W37" i="33"/>
  <c r="AZ387" i="3"/>
  <c r="AZ373" i="3"/>
  <c r="AZ362" i="3"/>
  <c r="AZ389" i="3"/>
  <c r="AZ336" i="3"/>
  <c r="AA11" i="39"/>
  <c r="AZ531" i="3"/>
  <c r="AZ559" i="3"/>
  <c r="AZ565" i="3"/>
  <c r="H33" i="36"/>
  <c r="G582" i="3"/>
  <c r="G574" i="3"/>
  <c r="G566" i="3"/>
  <c r="AZ402" i="3"/>
  <c r="BL408" i="3"/>
  <c r="BL418" i="3"/>
  <c r="BA437" i="3"/>
  <c r="BA449" i="3"/>
  <c r="G453" i="3"/>
  <c r="BL453" i="3"/>
  <c r="BL454" i="3"/>
  <c r="G467" i="3"/>
  <c r="BA467" i="3"/>
  <c r="BA468" i="3"/>
  <c r="BL471" i="3"/>
  <c r="G477" i="3"/>
  <c r="BA477" i="3"/>
  <c r="G481" i="3"/>
  <c r="BA489" i="3"/>
  <c r="BL316" i="3"/>
  <c r="BL399" i="3"/>
  <c r="BA400" i="3"/>
  <c r="BA406" i="3"/>
  <c r="AZ406" i="3" s="1"/>
  <c r="BA407" i="3"/>
  <c r="BL411" i="3"/>
  <c r="BL416" i="3"/>
  <c r="BL424" i="3"/>
  <c r="G427" i="3"/>
  <c r="G431" i="3"/>
  <c r="BL435" i="3"/>
  <c r="BL436" i="3"/>
  <c r="G440" i="3"/>
  <c r="G458" i="3"/>
  <c r="BA466" i="3"/>
  <c r="G470" i="3"/>
  <c r="BA480" i="3"/>
  <c r="BA487" i="3"/>
  <c r="AZ487" i="3" s="1"/>
  <c r="BA488" i="3"/>
  <c r="AZ488" i="3" s="1"/>
  <c r="G492" i="3"/>
  <c r="BL340" i="3"/>
  <c r="AZ340" i="3" s="1"/>
  <c r="BA348" i="3"/>
  <c r="BA350" i="3"/>
  <c r="AZ350" i="3" s="1"/>
  <c r="BA354" i="3"/>
  <c r="BA358" i="3"/>
  <c r="AZ358" i="3" s="1"/>
  <c r="BL381" i="3"/>
  <c r="AZ381" i="3" s="1"/>
  <c r="BA392" i="3"/>
  <c r="AZ392" i="3" s="1"/>
  <c r="BL211" i="3"/>
  <c r="BL216" i="3"/>
  <c r="BA239" i="3"/>
  <c r="BL239" i="3"/>
  <c r="BL242" i="3"/>
  <c r="BA248" i="3"/>
  <c r="G252" i="3"/>
  <c r="G254" i="3"/>
  <c r="BA257" i="3"/>
  <c r="G261" i="3"/>
  <c r="G265" i="3"/>
  <c r="G266" i="3"/>
  <c r="BL266" i="3"/>
  <c r="G270" i="3"/>
  <c r="BA288" i="3"/>
  <c r="G295" i="3"/>
  <c r="G163" i="3"/>
  <c r="G172" i="3"/>
  <c r="BL23" i="3"/>
  <c r="BL35" i="3"/>
  <c r="C64" i="71"/>
  <c r="D63" i="71"/>
  <c r="W28" i="35"/>
  <c r="BA584" i="3"/>
  <c r="BS5" i="3"/>
  <c r="BL582" i="3"/>
  <c r="A15" i="62"/>
  <c r="B61" i="72" s="1"/>
  <c r="G398" i="3"/>
  <c r="G399" i="3"/>
  <c r="G410" i="3"/>
  <c r="BL413" i="3"/>
  <c r="AZ413" i="3" s="1"/>
  <c r="G416" i="3"/>
  <c r="BL419" i="3"/>
  <c r="BA420" i="3"/>
  <c r="BA442" i="3"/>
  <c r="G445" i="3"/>
  <c r="BA445" i="3"/>
  <c r="BA447" i="3"/>
  <c r="AZ447" i="3" s="1"/>
  <c r="BL451" i="3"/>
  <c r="G456" i="3"/>
  <c r="BA463" i="3"/>
  <c r="BA465" i="3"/>
  <c r="BL469" i="3"/>
  <c r="BL475" i="3"/>
  <c r="BL479" i="3"/>
  <c r="BA485" i="3"/>
  <c r="G488" i="3"/>
  <c r="BA491" i="3"/>
  <c r="BA331" i="3"/>
  <c r="AZ331" i="3" s="1"/>
  <c r="BA335" i="3"/>
  <c r="AZ335" i="3" s="1"/>
  <c r="BA339" i="3"/>
  <c r="AZ339" i="3" s="1"/>
  <c r="BL386" i="3"/>
  <c r="BL395" i="3"/>
  <c r="BA397" i="3"/>
  <c r="BL397" i="3"/>
  <c r="BA214" i="3"/>
  <c r="BL214" i="3"/>
  <c r="BL219" i="3"/>
  <c r="BL222" i="3"/>
  <c r="BL227" i="3"/>
  <c r="BL237" i="3"/>
  <c r="BA246" i="3"/>
  <c r="BA256" i="3"/>
  <c r="BL256" i="3"/>
  <c r="BA265" i="3"/>
  <c r="BA275" i="3"/>
  <c r="BL275" i="3"/>
  <c r="BA283" i="3"/>
  <c r="G150" i="3"/>
  <c r="F44" i="39"/>
  <c r="AA34" i="40"/>
  <c r="BI5" i="3"/>
  <c r="BA13" i="3"/>
  <c r="BM5" i="3"/>
  <c r="BL400" i="3"/>
  <c r="G403" i="3"/>
  <c r="G413" i="3"/>
  <c r="BA419" i="3"/>
  <c r="BL423" i="3"/>
  <c r="BA424" i="3"/>
  <c r="G428" i="3"/>
  <c r="BL428" i="3"/>
  <c r="BL429" i="3"/>
  <c r="BL433" i="3"/>
  <c r="G438" i="3"/>
  <c r="BA439" i="3"/>
  <c r="BA440" i="3"/>
  <c r="AZ440" i="3" s="1"/>
  <c r="BA443" i="3"/>
  <c r="AZ443" i="3" s="1"/>
  <c r="BA444" i="3"/>
  <c r="BA451" i="3"/>
  <c r="AZ451" i="3" s="1"/>
  <c r="BL455" i="3"/>
  <c r="BL462" i="3"/>
  <c r="G465" i="3"/>
  <c r="BA469" i="3"/>
  <c r="BL472" i="3"/>
  <c r="G478" i="3"/>
  <c r="BA478" i="3"/>
  <c r="G490" i="3"/>
  <c r="BA319" i="3"/>
  <c r="AZ319" i="3" s="1"/>
  <c r="BL359" i="3"/>
  <c r="AZ359" i="3" s="1"/>
  <c r="BL208" i="3"/>
  <c r="G209" i="3"/>
  <c r="BA210" i="3"/>
  <c r="BL210" i="3"/>
  <c r="BA212" i="3"/>
  <c r="BL212" i="3"/>
  <c r="G214" i="3"/>
  <c r="BA225" i="3"/>
  <c r="BL225" i="3"/>
  <c r="BL226" i="3"/>
  <c r="G227" i="3"/>
  <c r="BL230" i="3"/>
  <c r="G236" i="3"/>
  <c r="G241" i="3"/>
  <c r="BA241" i="3"/>
  <c r="BL241" i="3"/>
  <c r="BA245" i="3"/>
  <c r="BA255" i="3"/>
  <c r="BL259" i="3"/>
  <c r="G263" i="3"/>
  <c r="BL264" i="3"/>
  <c r="BA272" i="3"/>
  <c r="AZ272" i="3" s="1"/>
  <c r="G281" i="3"/>
  <c r="BA282" i="3"/>
  <c r="BL282" i="3"/>
  <c r="BL122" i="3"/>
  <c r="BL169" i="3"/>
  <c r="G26" i="3"/>
  <c r="BL96" i="3"/>
  <c r="BA293" i="3"/>
  <c r="BA116" i="3"/>
  <c r="AZ116" i="3" s="1"/>
  <c r="BA121" i="3"/>
  <c r="BA125" i="3"/>
  <c r="BL125" i="3"/>
  <c r="BL126" i="3"/>
  <c r="G144" i="3"/>
  <c r="BA149" i="3"/>
  <c r="BA153" i="3"/>
  <c r="BA157" i="3"/>
  <c r="BA162" i="3"/>
  <c r="BA194" i="3"/>
  <c r="G202" i="3"/>
  <c r="BA202" i="3"/>
  <c r="BA207" i="3"/>
  <c r="BA30" i="3"/>
  <c r="G33" i="3"/>
  <c r="BA40" i="3"/>
  <c r="G43" i="3"/>
  <c r="BL48" i="3"/>
  <c r="BL55" i="3"/>
  <c r="G58" i="3"/>
  <c r="BA59" i="3"/>
  <c r="BL61" i="3"/>
  <c r="BL68" i="3"/>
  <c r="BA69" i="3"/>
  <c r="AZ69" i="3" s="1"/>
  <c r="BL74" i="3"/>
  <c r="BA75" i="3"/>
  <c r="BL86" i="3"/>
  <c r="G88" i="3"/>
  <c r="BA89" i="3"/>
  <c r="BA97" i="3"/>
  <c r="BL99" i="3"/>
  <c r="G101" i="3"/>
  <c r="BA101" i="3"/>
  <c r="BA102" i="3"/>
  <c r="BL110" i="3"/>
  <c r="BL111" i="3"/>
  <c r="C29" i="39"/>
  <c r="X26" i="71"/>
  <c r="Y29" i="71"/>
  <c r="Z29" i="71" s="1"/>
  <c r="X25" i="71"/>
  <c r="C59" i="71"/>
  <c r="B79" i="71"/>
  <c r="B78" i="71" s="1"/>
  <c r="C23" i="71"/>
  <c r="B22" i="71"/>
  <c r="B21" i="71" s="1"/>
  <c r="B20" i="71" s="1"/>
  <c r="BA286" i="3"/>
  <c r="G289" i="3"/>
  <c r="BA291" i="3"/>
  <c r="BA301" i="3"/>
  <c r="BA122" i="3"/>
  <c r="G134" i="3"/>
  <c r="BA134" i="3"/>
  <c r="G146" i="3"/>
  <c r="BA148" i="3"/>
  <c r="AZ148" i="3" s="1"/>
  <c r="G151" i="3"/>
  <c r="BA156" i="3"/>
  <c r="AZ156" i="3" s="1"/>
  <c r="BA168" i="3"/>
  <c r="AZ168" i="3" s="1"/>
  <c r="BA169" i="3"/>
  <c r="AZ169" i="3" s="1"/>
  <c r="BL171" i="3"/>
  <c r="AZ171" i="3" s="1"/>
  <c r="BA174" i="3"/>
  <c r="G178" i="3"/>
  <c r="BA178" i="3"/>
  <c r="BA182" i="3"/>
  <c r="BA189" i="3"/>
  <c r="BL189" i="3"/>
  <c r="BL190" i="3"/>
  <c r="BA192" i="3"/>
  <c r="AZ192" i="3" s="1"/>
  <c r="BA201" i="3"/>
  <c r="BA22" i="3"/>
  <c r="BL25" i="3"/>
  <c r="BL27" i="3"/>
  <c r="BA28" i="3"/>
  <c r="G31" i="3"/>
  <c r="BA33" i="3"/>
  <c r="G38" i="3"/>
  <c r="BA38" i="3"/>
  <c r="BA43" i="3"/>
  <c r="G47" i="3"/>
  <c r="BL54" i="3"/>
  <c r="G67" i="3"/>
  <c r="BL73" i="3"/>
  <c r="BA74" i="3"/>
  <c r="AZ74" i="3" s="1"/>
  <c r="G78" i="3"/>
  <c r="BA78" i="3"/>
  <c r="G86" i="3"/>
  <c r="BA88" i="3"/>
  <c r="BA92" i="3"/>
  <c r="BA95" i="3"/>
  <c r="C40" i="69"/>
  <c r="W18" i="35"/>
  <c r="B68" i="43"/>
  <c r="C74" i="71"/>
  <c r="D74" i="71" s="1"/>
  <c r="AB36" i="71"/>
  <c r="AA37" i="71"/>
  <c r="Y38" i="71"/>
  <c r="Z38" i="71" s="1"/>
  <c r="G284" i="3"/>
  <c r="BL289" i="3"/>
  <c r="BA290" i="3"/>
  <c r="G299" i="3"/>
  <c r="BL300" i="3"/>
  <c r="BA133" i="3"/>
  <c r="BL135" i="3"/>
  <c r="AZ135" i="3" s="1"/>
  <c r="BL146" i="3"/>
  <c r="G154" i="3"/>
  <c r="G155" i="3"/>
  <c r="BL161" i="3"/>
  <c r="G162" i="3"/>
  <c r="G164" i="3"/>
  <c r="BA164" i="3"/>
  <c r="AZ164" i="3" s="1"/>
  <c r="BA166" i="3"/>
  <c r="AZ166" i="3" s="1"/>
  <c r="G171" i="3"/>
  <c r="BA177" i="3"/>
  <c r="G180" i="3"/>
  <c r="BA188" i="3"/>
  <c r="AZ188" i="3" s="1"/>
  <c r="G194" i="3"/>
  <c r="BL198" i="3"/>
  <c r="BL199" i="3"/>
  <c r="AZ199" i="3" s="1"/>
  <c r="BA200" i="3"/>
  <c r="AZ200" i="3" s="1"/>
  <c r="BL207" i="3"/>
  <c r="BL18" i="3"/>
  <c r="G19" i="3"/>
  <c r="BL19" i="3"/>
  <c r="BA20" i="3"/>
  <c r="BA32" i="3"/>
  <c r="BA42" i="3"/>
  <c r="G51" i="3"/>
  <c r="G60" i="3"/>
  <c r="BL64" i="3"/>
  <c r="AZ64" i="3" s="1"/>
  <c r="G71" i="3"/>
  <c r="G72" i="3"/>
  <c r="G76" i="3"/>
  <c r="BA77" i="3"/>
  <c r="G89" i="3"/>
  <c r="BL92" i="3"/>
  <c r="BL94" i="3"/>
  <c r="G102" i="3"/>
  <c r="G108" i="3"/>
  <c r="K13" i="1"/>
  <c r="M13" i="1" s="1"/>
  <c r="O13" i="1" s="1"/>
  <c r="P13" i="1" s="1"/>
  <c r="B57" i="43"/>
  <c r="E71" i="71"/>
  <c r="E70" i="71" s="1"/>
  <c r="D54" i="71"/>
  <c r="C30" i="71"/>
  <c r="D30" i="71" s="1"/>
  <c r="E51" i="71"/>
  <c r="E52" i="71" s="1"/>
  <c r="U52" i="71" s="1"/>
  <c r="B71" i="71"/>
  <c r="B70" i="71" s="1"/>
  <c r="S76" i="71"/>
  <c r="W30" i="37"/>
  <c r="W39" i="37"/>
  <c r="A118" i="9"/>
  <c r="AA23" i="37"/>
  <c r="U21" i="37"/>
  <c r="S15" i="37"/>
  <c r="W38" i="37"/>
  <c r="U23" i="37"/>
  <c r="U19" i="37"/>
  <c r="S17" i="37"/>
  <c r="AB17" i="37"/>
  <c r="AC17" i="37"/>
  <c r="S34" i="37"/>
  <c r="AB31" i="37"/>
  <c r="AA31" i="37"/>
  <c r="AB37" i="37"/>
  <c r="AC29" i="37"/>
  <c r="W36" i="37"/>
  <c r="S30" i="37"/>
  <c r="U38" i="37"/>
  <c r="AA38" i="37"/>
  <c r="U8" i="37"/>
  <c r="AA29" i="37"/>
  <c r="U29" i="37"/>
  <c r="AC35" i="37"/>
  <c r="AA35" i="37"/>
  <c r="AB35" i="37"/>
  <c r="AC34" i="37"/>
  <c r="U34" i="37"/>
  <c r="U36" i="37"/>
  <c r="S36" i="37"/>
  <c r="U32" i="37"/>
  <c r="W32" i="37"/>
  <c r="S32" i="37"/>
  <c r="A2" i="9"/>
  <c r="A4" i="52"/>
  <c r="B41" i="72" s="1"/>
  <c r="B41" i="1"/>
  <c r="F30" i="68" s="1"/>
  <c r="C40" i="11"/>
  <c r="E19" i="68"/>
  <c r="BJ5" i="3"/>
  <c r="W20" i="36"/>
  <c r="AC20" i="36"/>
  <c r="W25" i="35"/>
  <c r="AC25" i="35"/>
  <c r="AB46" i="33"/>
  <c r="U46" i="33"/>
  <c r="U45" i="33"/>
  <c r="AB45" i="33"/>
  <c r="AC30" i="36"/>
  <c r="W30" i="36"/>
  <c r="BL584" i="3"/>
  <c r="BT5" i="3"/>
  <c r="G28" i="6" s="1"/>
  <c r="BA583" i="3"/>
  <c r="AZ583" i="3" s="1"/>
  <c r="BA582" i="3"/>
  <c r="AZ582" i="3" s="1"/>
  <c r="U45" i="21"/>
  <c r="AB45" i="21"/>
  <c r="W34" i="33"/>
  <c r="AC34" i="33"/>
  <c r="BP5" i="3"/>
  <c r="G29" i="6" s="1"/>
  <c r="AZ322" i="3"/>
  <c r="AZ342" i="3"/>
  <c r="AZ337" i="3"/>
  <c r="U46" i="34"/>
  <c r="AB46" i="34"/>
  <c r="AA41" i="33"/>
  <c r="S41" i="33"/>
  <c r="AC43" i="21"/>
  <c r="W43" i="21"/>
  <c r="AC23" i="37"/>
  <c r="AA32" i="21"/>
  <c r="W23" i="21"/>
  <c r="AB32" i="21"/>
  <c r="AB15" i="21"/>
  <c r="AB25" i="33"/>
  <c r="AA19" i="37"/>
  <c r="AA21" i="39"/>
  <c r="U28" i="34"/>
  <c r="AC39" i="34"/>
  <c r="AB20" i="36"/>
  <c r="AZ311" i="3"/>
  <c r="AZ372" i="3"/>
  <c r="AZ347" i="3"/>
  <c r="AZ305" i="3"/>
  <c r="AZ309" i="3"/>
  <c r="W11" i="39"/>
  <c r="AC11" i="39"/>
  <c r="AB19" i="34"/>
  <c r="U19" i="34"/>
  <c r="AZ533" i="3"/>
  <c r="AZ561" i="3"/>
  <c r="AB17" i="21"/>
  <c r="U17" i="21"/>
  <c r="S44" i="34"/>
  <c r="AA44" i="33"/>
  <c r="U40" i="37"/>
  <c r="AB40" i="37"/>
  <c r="W26" i="36"/>
  <c r="AC26" i="36"/>
  <c r="AA45" i="21"/>
  <c r="S45" i="21"/>
  <c r="AC13" i="21"/>
  <c r="W13" i="21"/>
  <c r="AB17" i="34"/>
  <c r="AC25" i="37"/>
  <c r="W25" i="37"/>
  <c r="AB26" i="37"/>
  <c r="U26" i="37"/>
  <c r="U36" i="33"/>
  <c r="AB36" i="33"/>
  <c r="AC32" i="39"/>
  <c r="W30" i="40"/>
  <c r="S19" i="33"/>
  <c r="AA19" i="33"/>
  <c r="AB27" i="40"/>
  <c r="AA34" i="33"/>
  <c r="AA20" i="36"/>
  <c r="S20" i="36"/>
  <c r="S39" i="39"/>
  <c r="AA39" i="39"/>
  <c r="AA15" i="39"/>
  <c r="S15" i="39"/>
  <c r="W15" i="37"/>
  <c r="AC15" i="37"/>
  <c r="AC12" i="37"/>
  <c r="U31" i="40"/>
  <c r="U35" i="34"/>
  <c r="AB35" i="34"/>
  <c r="AA14" i="36"/>
  <c r="S14" i="36"/>
  <c r="W31" i="33"/>
  <c r="AC31" i="33"/>
  <c r="AB40" i="33"/>
  <c r="U40" i="33"/>
  <c r="F28" i="34"/>
  <c r="J28" i="34"/>
  <c r="AC31" i="35"/>
  <c r="AZ515" i="3"/>
  <c r="AZ569" i="3"/>
  <c r="AZ571" i="3"/>
  <c r="AZ579" i="3"/>
  <c r="AZ516" i="3"/>
  <c r="AZ524" i="3"/>
  <c r="AC31" i="34"/>
  <c r="F12" i="35"/>
  <c r="H12" i="35"/>
  <c r="AB30" i="37"/>
  <c r="U30" i="37"/>
  <c r="AC31" i="37"/>
  <c r="W31" i="37"/>
  <c r="AC31" i="40"/>
  <c r="W31" i="40"/>
  <c r="AA42" i="34"/>
  <c r="S42" i="34"/>
  <c r="AZ505" i="3"/>
  <c r="AZ525" i="3"/>
  <c r="AZ529" i="3"/>
  <c r="AZ537" i="3"/>
  <c r="AZ526" i="3"/>
  <c r="AZ564" i="3"/>
  <c r="AZ580" i="3"/>
  <c r="B101" i="43"/>
  <c r="B79" i="43"/>
  <c r="C25" i="39"/>
  <c r="H23" i="36"/>
  <c r="J23" i="36"/>
  <c r="F23" i="36"/>
  <c r="F29" i="6"/>
  <c r="AZ391" i="3"/>
  <c r="AZ318" i="3"/>
  <c r="AZ364" i="3"/>
  <c r="AZ329" i="3"/>
  <c r="AZ304" i="3"/>
  <c r="AZ306" i="3"/>
  <c r="AZ535" i="3"/>
  <c r="AZ577" i="3"/>
  <c r="AZ557" i="3"/>
  <c r="AZ513" i="3"/>
  <c r="AZ575" i="3"/>
  <c r="AZ528" i="3"/>
  <c r="AZ566" i="3"/>
  <c r="AZ574" i="3"/>
  <c r="AZ540" i="3"/>
  <c r="AZ502" i="3"/>
  <c r="U23" i="34"/>
  <c r="AB23" i="34"/>
  <c r="AC8" i="34"/>
  <c r="W8" i="34"/>
  <c r="AA40" i="39"/>
  <c r="S40" i="39"/>
  <c r="H31" i="39"/>
  <c r="J31" i="39"/>
  <c r="F31" i="39"/>
  <c r="AZ469" i="3"/>
  <c r="BL585" i="3"/>
  <c r="AZ585" i="3" s="1"/>
  <c r="F9" i="33"/>
  <c r="AA9" i="33" s="1"/>
  <c r="AB33" i="33"/>
  <c r="U33" i="33"/>
  <c r="AC40" i="39"/>
  <c r="W40" i="39"/>
  <c r="AC8" i="40"/>
  <c r="W8" i="40"/>
  <c r="G558" i="3"/>
  <c r="J12" i="34"/>
  <c r="F12" i="34"/>
  <c r="S12" i="34" s="1"/>
  <c r="J9" i="36"/>
  <c r="J39" i="40"/>
  <c r="H39" i="40"/>
  <c r="BL587" i="3"/>
  <c r="AZ587" i="3" s="1"/>
  <c r="BL586" i="3"/>
  <c r="AZ586" i="3" s="1"/>
  <c r="F9" i="34"/>
  <c r="AA9" i="34" s="1"/>
  <c r="H9" i="34"/>
  <c r="J23" i="35"/>
  <c r="H23" i="35"/>
  <c r="J37" i="39"/>
  <c r="F37" i="39"/>
  <c r="G556" i="3"/>
  <c r="BA551" i="3"/>
  <c r="AZ551" i="3" s="1"/>
  <c r="BA550" i="3"/>
  <c r="BL548" i="3"/>
  <c r="AZ548" i="3" s="1"/>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BL460" i="3"/>
  <c r="BL461" i="3"/>
  <c r="BL463" i="3"/>
  <c r="BA471" i="3"/>
  <c r="AZ471" i="3" s="1"/>
  <c r="BL476" i="3"/>
  <c r="BA349" i="3"/>
  <c r="AZ349" i="3" s="1"/>
  <c r="BA353" i="3"/>
  <c r="BL353" i="3"/>
  <c r="AA18" i="36"/>
  <c r="S18" i="36"/>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G451" i="3"/>
  <c r="BA454" i="3"/>
  <c r="AZ454" i="3" s="1"/>
  <c r="BA457" i="3"/>
  <c r="BA459" i="3"/>
  <c r="AZ459" i="3" s="1"/>
  <c r="BA460" i="3"/>
  <c r="BA461" i="3"/>
  <c r="BL464" i="3"/>
  <c r="BL466" i="3"/>
  <c r="AZ466" i="3" s="1"/>
  <c r="G469" i="3"/>
  <c r="BL317" i="3"/>
  <c r="BA217"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BL445" i="3"/>
  <c r="BL446" i="3"/>
  <c r="BL449" i="3"/>
  <c r="AZ449" i="3" s="1"/>
  <c r="BL450" i="3"/>
  <c r="BL452" i="3"/>
  <c r="G454" i="3"/>
  <c r="G455" i="3"/>
  <c r="BL456" i="3"/>
  <c r="BA464" i="3"/>
  <c r="BL467" i="3"/>
  <c r="BL468" i="3"/>
  <c r="AZ468" i="3" s="1"/>
  <c r="BL470" i="3"/>
  <c r="G472" i="3"/>
  <c r="G473" i="3"/>
  <c r="BL473" i="3"/>
  <c r="AZ473" i="3" s="1"/>
  <c r="BL474" i="3"/>
  <c r="G475" i="3"/>
  <c r="BA476" i="3"/>
  <c r="BA481" i="3"/>
  <c r="G484" i="3"/>
  <c r="G358" i="3"/>
  <c r="G220" i="3"/>
  <c r="BL224" i="3"/>
  <c r="BA228" i="3"/>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A243" i="3"/>
  <c r="BL248" i="3"/>
  <c r="AZ248" i="3" s="1"/>
  <c r="BL250" i="3"/>
  <c r="AZ250" i="3" s="1"/>
  <c r="BA259" i="3"/>
  <c r="AZ259" i="3" s="1"/>
  <c r="BL261" i="3"/>
  <c r="BA263" i="3"/>
  <c r="BA267" i="3"/>
  <c r="AZ267" i="3" s="1"/>
  <c r="BA281" i="3"/>
  <c r="BL290" i="3"/>
  <c r="BL291" i="3"/>
  <c r="AZ291" i="3" s="1"/>
  <c r="BL293" i="3"/>
  <c r="BL294" i="3"/>
  <c r="BA297" i="3"/>
  <c r="BL297" i="3"/>
  <c r="BL138" i="3"/>
  <c r="BA140" i="3"/>
  <c r="AZ140" i="3" s="1"/>
  <c r="BA142" i="3"/>
  <c r="BL149" i="3"/>
  <c r="AZ149" i="3" s="1"/>
  <c r="BL150" i="3"/>
  <c r="BA152" i="3"/>
  <c r="AZ152" i="3" s="1"/>
  <c r="BA154" i="3"/>
  <c r="AZ154" i="3" s="1"/>
  <c r="BL170" i="3"/>
  <c r="BA173" i="3"/>
  <c r="BL179" i="3"/>
  <c r="AZ179" i="3" s="1"/>
  <c r="BA181" i="3"/>
  <c r="T72" i="71"/>
  <c r="C71" i="71"/>
  <c r="D72" i="71"/>
  <c r="U76" i="71"/>
  <c r="E75" i="71"/>
  <c r="E74" i="71" s="1"/>
  <c r="BL477" i="3"/>
  <c r="BL478" i="3"/>
  <c r="BL480" i="3"/>
  <c r="AZ480" i="3" s="1"/>
  <c r="BA483" i="3"/>
  <c r="BL483" i="3"/>
  <c r="BA486" i="3"/>
  <c r="BL489" i="3"/>
  <c r="BL491" i="3"/>
  <c r="AZ491" i="3" s="1"/>
  <c r="BL492" i="3"/>
  <c r="BA315" i="3"/>
  <c r="AZ315" i="3" s="1"/>
  <c r="BA333" i="3"/>
  <c r="BL346" i="3"/>
  <c r="AZ346" i="3" s="1"/>
  <c r="BA384" i="3"/>
  <c r="AZ384" i="3" s="1"/>
  <c r="BA395" i="3"/>
  <c r="BA208" i="3"/>
  <c r="AZ208" i="3" s="1"/>
  <c r="BA211" i="3"/>
  <c r="AZ211" i="3" s="1"/>
  <c r="BL213" i="3"/>
  <c r="BL215" i="3"/>
  <c r="BA222" i="3"/>
  <c r="AZ222" i="3" s="1"/>
  <c r="BA224" i="3"/>
  <c r="BA226" i="3"/>
  <c r="BA237" i="3"/>
  <c r="BL240" i="3"/>
  <c r="AZ240" i="3" s="1"/>
  <c r="BA242" i="3"/>
  <c r="AZ242" i="3" s="1"/>
  <c r="BL245" i="3"/>
  <c r="AZ245" i="3" s="1"/>
  <c r="BL255" i="3"/>
  <c r="BL257" i="3"/>
  <c r="AZ257" i="3" s="1"/>
  <c r="BL258" i="3"/>
  <c r="AZ258" i="3" s="1"/>
  <c r="BA262" i="3"/>
  <c r="AZ262" i="3" s="1"/>
  <c r="BL265" i="3"/>
  <c r="BL273" i="3"/>
  <c r="BA277" i="3"/>
  <c r="BL277" i="3"/>
  <c r="BA279" i="3"/>
  <c r="BL285" i="3"/>
  <c r="G291" i="3"/>
  <c r="BA296" i="3"/>
  <c r="G302" i="3"/>
  <c r="BL113" i="3"/>
  <c r="BL115" i="3"/>
  <c r="AZ115" i="3" s="1"/>
  <c r="BA118" i="3"/>
  <c r="BL118" i="3"/>
  <c r="BA137" i="3"/>
  <c r="BL165" i="3"/>
  <c r="BL76" i="3"/>
  <c r="F34" i="71"/>
  <c r="F35" i="71" s="1"/>
  <c r="F36" i="71" s="1"/>
  <c r="V36" i="71" s="1"/>
  <c r="AB33" i="71"/>
  <c r="AB28"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A268" i="3"/>
  <c r="BA271" i="3"/>
  <c r="BL271" i="3"/>
  <c r="BA274" i="3"/>
  <c r="BL274" i="3"/>
  <c r="BA276" i="3"/>
  <c r="BL280" i="3"/>
  <c r="G282" i="3"/>
  <c r="BA284" i="3"/>
  <c r="BL286" i="3"/>
  <c r="AZ286" i="3" s="1"/>
  <c r="BL298" i="3"/>
  <c r="BL299" i="3"/>
  <c r="G300" i="3"/>
  <c r="BA302" i="3"/>
  <c r="G115" i="3"/>
  <c r="BA117" i="3"/>
  <c r="BA130" i="3"/>
  <c r="BL130" i="3"/>
  <c r="BA144" i="3"/>
  <c r="AZ144" i="3" s="1"/>
  <c r="BL155" i="3"/>
  <c r="AZ155" i="3" s="1"/>
  <c r="BL158" i="3"/>
  <c r="BL162" i="3"/>
  <c r="AZ162" i="3" s="1"/>
  <c r="BL173" i="3"/>
  <c r="G174" i="3"/>
  <c r="BL181" i="3"/>
  <c r="G182" i="3"/>
  <c r="BL185" i="3"/>
  <c r="BL193" i="3"/>
  <c r="BA55" i="3"/>
  <c r="AZ55" i="3" s="1"/>
  <c r="BL79" i="3"/>
  <c r="G267" i="3"/>
  <c r="G269" i="3"/>
  <c r="BA273" i="3"/>
  <c r="BA278" i="3"/>
  <c r="AZ278" i="3" s="1"/>
  <c r="BA280" i="3"/>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BL107" i="3"/>
  <c r="AA21" i="33"/>
  <c r="S21" i="33"/>
  <c r="P27" i="6"/>
  <c r="AB32" i="71"/>
  <c r="AA34" i="71"/>
  <c r="AA30" i="71"/>
  <c r="D56" i="71"/>
  <c r="T56" i="71"/>
  <c r="C60" i="71"/>
  <c r="D59" i="71"/>
  <c r="N67" i="71"/>
  <c r="B66" i="71"/>
  <c r="F66" i="71"/>
  <c r="Q67" i="71"/>
  <c r="T80" i="71"/>
  <c r="C79" i="71"/>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AZ41" i="3" s="1"/>
  <c r="G45" i="3"/>
  <c r="BL45" i="3"/>
  <c r="BA48" i="3"/>
  <c r="BA49" i="3"/>
  <c r="BA51" i="3"/>
  <c r="G54" i="3"/>
  <c r="G55" i="3"/>
  <c r="BL56" i="3"/>
  <c r="BA58" i="3"/>
  <c r="BL59" i="3"/>
  <c r="AZ59" i="3" s="1"/>
  <c r="BL60" i="3"/>
  <c r="BA61" i="3"/>
  <c r="AZ61" i="3" s="1"/>
  <c r="BA68" i="3"/>
  <c r="AZ68" i="3" s="1"/>
  <c r="BA73" i="3"/>
  <c r="BA79" i="3"/>
  <c r="G82" i="3"/>
  <c r="G83" i="3"/>
  <c r="BA84" i="3"/>
  <c r="AZ84" i="3" s="1"/>
  <c r="BL88" i="3"/>
  <c r="G90" i="3"/>
  <c r="BL90" i="3"/>
  <c r="G98" i="3"/>
  <c r="G99" i="3"/>
  <c r="BA105" i="3"/>
  <c r="BA106" i="3"/>
  <c r="BL108" i="3"/>
  <c r="G110" i="3"/>
  <c r="BL112" i="3"/>
  <c r="F40" i="68"/>
  <c r="C21" i="68"/>
  <c r="AC29" i="39"/>
  <c r="W29" i="39"/>
  <c r="D52" i="71"/>
  <c r="D51" i="71"/>
  <c r="E28" i="71"/>
  <c r="AA27" i="71"/>
  <c r="AA28" i="71"/>
  <c r="D38" i="71"/>
  <c r="C39" i="71"/>
  <c r="C31" i="71"/>
  <c r="Y30" i="71"/>
  <c r="Z30" i="71" s="1"/>
  <c r="AA38" i="71"/>
  <c r="AA39" i="71"/>
  <c r="D84" i="71"/>
  <c r="C83" i="71"/>
  <c r="F27" i="71"/>
  <c r="F26" i="71" s="1"/>
  <c r="AB27" i="71"/>
  <c r="AB26"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L50" i="3"/>
  <c r="AZ50" i="3" s="1"/>
  <c r="BL51" i="3"/>
  <c r="BL53" i="3"/>
  <c r="BA56" i="3"/>
  <c r="BA57" i="3"/>
  <c r="AZ57" i="3" s="1"/>
  <c r="BL58" i="3"/>
  <c r="BA60" i="3"/>
  <c r="AZ60" i="3" s="1"/>
  <c r="BA63" i="3"/>
  <c r="AZ63" i="3" s="1"/>
  <c r="BA66" i="3"/>
  <c r="BA71" i="3"/>
  <c r="BL77" i="3"/>
  <c r="AZ77" i="3" s="1"/>
  <c r="BL81" i="3"/>
  <c r="BA82" i="3"/>
  <c r="AZ82" i="3" s="1"/>
  <c r="BL83" i="3"/>
  <c r="BA90" i="3"/>
  <c r="AZ90" i="3" s="1"/>
  <c r="BA94" i="3"/>
  <c r="AZ94" i="3" s="1"/>
  <c r="BA100" i="3"/>
  <c r="BA103" i="3"/>
  <c r="AZ103" i="3" s="1"/>
  <c r="BA104" i="3"/>
  <c r="BA111" i="3"/>
  <c r="AZ111" i="3" s="1"/>
  <c r="C40" i="68"/>
  <c r="Y26" i="71"/>
  <c r="Z26" i="71" s="1"/>
  <c r="C28" i="71"/>
  <c r="Y28" i="71"/>
  <c r="Z28" i="71" s="1"/>
  <c r="Y25" i="71"/>
  <c r="Z25" i="71" s="1"/>
  <c r="Y35" i="71"/>
  <c r="Z35" i="71" s="1"/>
  <c r="Y37" i="71"/>
  <c r="Z37" i="71" s="1"/>
  <c r="X36" i="71"/>
  <c r="X35" i="71"/>
  <c r="X38" i="71"/>
  <c r="C47" i="71"/>
  <c r="D47" i="71" s="1"/>
  <c r="D46" i="71"/>
  <c r="V24" i="71"/>
  <c r="E23" i="71"/>
  <c r="E22" i="71" s="1"/>
  <c r="E21" i="71" s="1"/>
  <c r="E20" i="71" s="1"/>
  <c r="V20" i="71" s="1"/>
  <c r="G81" i="3"/>
  <c r="G85" i="3"/>
  <c r="BL85" i="3"/>
  <c r="BA86" i="3"/>
  <c r="AZ86" i="3" s="1"/>
  <c r="BA87" i="3"/>
  <c r="BA91" i="3"/>
  <c r="AZ91" i="3" s="1"/>
  <c r="G96" i="3"/>
  <c r="BL97" i="3"/>
  <c r="AZ97" i="3" s="1"/>
  <c r="BL101" i="3"/>
  <c r="AZ101" i="3" s="1"/>
  <c r="BL102" i="3"/>
  <c r="AZ102" i="3" s="1"/>
  <c r="G104" i="3"/>
  <c r="G105" i="3"/>
  <c r="BL106" i="3"/>
  <c r="BA108" i="3"/>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AZ174" i="3" s="1"/>
  <c r="AZ185" i="3"/>
  <c r="AZ193" i="3"/>
  <c r="BL202" i="3"/>
  <c r="AZ202" i="3" s="1"/>
  <c r="BL36" i="3"/>
  <c r="AZ40" i="3"/>
  <c r="AZ48" i="3"/>
  <c r="AZ73" i="3"/>
  <c r="G200" i="3"/>
  <c r="G207" i="3"/>
  <c r="BA23" i="3"/>
  <c r="AZ23" i="3" s="1"/>
  <c r="BA24" i="3"/>
  <c r="AZ24" i="3" s="1"/>
  <c r="BL26" i="3"/>
  <c r="BL32" i="3"/>
  <c r="AZ32" i="3" s="1"/>
  <c r="BA34" i="3"/>
  <c r="AZ34" i="3" s="1"/>
  <c r="BA35" i="3"/>
  <c r="AZ35" i="3" s="1"/>
  <c r="BL37" i="3"/>
  <c r="AZ37" i="3" s="1"/>
  <c r="BL42" i="3"/>
  <c r="AZ42" i="3" s="1"/>
  <c r="BA44" i="3"/>
  <c r="AZ44" i="3" s="1"/>
  <c r="AZ56" i="3"/>
  <c r="BA206" i="3"/>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F51" i="67"/>
  <c r="F65" i="67"/>
  <c r="F66" i="67"/>
  <c r="C27" i="67"/>
  <c r="F71" i="67"/>
  <c r="B13" i="70"/>
  <c r="F64" i="67"/>
  <c r="C36" i="68"/>
  <c r="D9" i="69"/>
  <c r="C36" i="69"/>
  <c r="D9" i="68"/>
  <c r="F40" i="15"/>
  <c r="F40" i="67"/>
  <c r="M23" i="15"/>
  <c r="F37" i="15"/>
  <c r="F9" i="15"/>
  <c r="C76" i="67"/>
  <c r="M9" i="15"/>
  <c r="M26" i="15"/>
  <c r="M26" i="67"/>
  <c r="F16" i="67"/>
  <c r="F7" i="67"/>
  <c r="F36" i="15"/>
  <c r="F16" i="15"/>
  <c r="J15" i="67"/>
  <c r="F6" i="67"/>
  <c r="L47" i="15"/>
  <c r="F13" i="15"/>
  <c r="D7" i="73"/>
  <c r="F38" i="15"/>
  <c r="D4" i="73"/>
  <c r="M6" i="15"/>
  <c r="D3" i="73"/>
  <c r="M28" i="15"/>
  <c r="M22" i="67"/>
  <c r="L47" i="67"/>
  <c r="M28" i="67"/>
  <c r="L48" i="67"/>
  <c r="M23" i="67"/>
  <c r="F8" i="15"/>
  <c r="F13" i="67"/>
  <c r="M8" i="67"/>
  <c r="F43" i="15"/>
  <c r="M29" i="15"/>
  <c r="M22" i="15"/>
  <c r="M24" i="15"/>
  <c r="D5" i="73"/>
  <c r="F26" i="15"/>
  <c r="F7" i="15"/>
  <c r="C76" i="15"/>
  <c r="L59" i="67" l="1"/>
  <c r="M59" i="67"/>
  <c r="N59" i="67"/>
  <c r="AB36" i="39"/>
  <c r="U36" i="39"/>
  <c r="U28" i="33"/>
  <c r="AB28" i="33"/>
  <c r="AB28" i="21"/>
  <c r="U28" i="21"/>
  <c r="AZ275" i="3"/>
  <c r="AZ397" i="3"/>
  <c r="U29" i="21"/>
  <c r="AB29" i="21"/>
  <c r="U44" i="21"/>
  <c r="AB44" i="21"/>
  <c r="AZ125" i="3"/>
  <c r="AA44" i="21"/>
  <c r="S44" i="21"/>
  <c r="W28" i="33"/>
  <c r="AC28" i="33"/>
  <c r="AA28" i="21"/>
  <c r="S28" i="21"/>
  <c r="AZ46" i="3"/>
  <c r="AZ106" i="3"/>
  <c r="AZ150" i="3"/>
  <c r="AZ425" i="3"/>
  <c r="AB38" i="40"/>
  <c r="U38" i="40"/>
  <c r="AZ71" i="3"/>
  <c r="AZ221" i="3"/>
  <c r="AZ476" i="3"/>
  <c r="AZ438" i="3"/>
  <c r="AZ403" i="3"/>
  <c r="AZ461" i="3"/>
  <c r="AZ415" i="3"/>
  <c r="AZ122" i="3"/>
  <c r="AZ244" i="3"/>
  <c r="AZ270" i="3"/>
  <c r="Q71" i="67"/>
  <c r="J53" i="67"/>
  <c r="Q52" i="67" s="1"/>
  <c r="J57" i="67"/>
  <c r="J55" i="67" s="1"/>
  <c r="J58" i="67" s="1"/>
  <c r="Q50" i="67" s="1"/>
  <c r="L56" i="67"/>
  <c r="L58" i="67"/>
  <c r="Q73" i="67" s="1"/>
  <c r="I54" i="67"/>
  <c r="AA25" i="37"/>
  <c r="S25" i="37"/>
  <c r="AZ26" i="3"/>
  <c r="AZ165" i="3"/>
  <c r="AZ276" i="3"/>
  <c r="AZ181" i="3"/>
  <c r="AZ422" i="3"/>
  <c r="AZ398" i="3"/>
  <c r="AZ353" i="3"/>
  <c r="S26" i="33"/>
  <c r="AZ400" i="3"/>
  <c r="AB24" i="36"/>
  <c r="U24" i="36"/>
  <c r="AZ36" i="3"/>
  <c r="AZ88" i="3"/>
  <c r="AZ274" i="3"/>
  <c r="AZ249" i="3"/>
  <c r="AZ265" i="3"/>
  <c r="AZ237" i="3"/>
  <c r="AZ395" i="3"/>
  <c r="AZ478" i="3"/>
  <c r="AZ401" i="3"/>
  <c r="AZ460" i="3"/>
  <c r="AZ170" i="3"/>
  <c r="AZ465" i="3"/>
  <c r="E66" i="71"/>
  <c r="P67" i="71"/>
  <c r="AB9" i="33"/>
  <c r="U9" i="33"/>
  <c r="AB15" i="37"/>
  <c r="U15" i="37"/>
  <c r="M90" i="43"/>
  <c r="N90" i="43" s="1"/>
  <c r="K90" i="43"/>
  <c r="M84" i="43"/>
  <c r="N84" i="43" s="1"/>
  <c r="K84" i="43"/>
  <c r="K87" i="43"/>
  <c r="M87" i="43"/>
  <c r="N87" i="43" s="1"/>
  <c r="K89" i="43"/>
  <c r="M89" i="43"/>
  <c r="N89" i="43" s="1"/>
  <c r="AZ104" i="3"/>
  <c r="AZ85" i="3"/>
  <c r="AZ299" i="3"/>
  <c r="AZ117" i="3"/>
  <c r="AZ209" i="3"/>
  <c r="AZ234" i="3"/>
  <c r="AZ277" i="3"/>
  <c r="AZ224" i="3"/>
  <c r="AZ228" i="3"/>
  <c r="AZ441" i="3"/>
  <c r="AZ405" i="3"/>
  <c r="F48" i="9"/>
  <c r="O52" i="9" s="1"/>
  <c r="AZ419" i="3"/>
  <c r="AA44" i="39"/>
  <c r="S44" i="39"/>
  <c r="AZ550" i="3"/>
  <c r="U33" i="36"/>
  <c r="AB33" i="36"/>
  <c r="K83" i="43"/>
  <c r="M83" i="43"/>
  <c r="N83" i="43" s="1"/>
  <c r="F54" i="9"/>
  <c r="B19" i="71"/>
  <c r="B18" i="71" s="1"/>
  <c r="B17" i="71" s="1"/>
  <c r="B16" i="71" s="1"/>
  <c r="S20" i="71"/>
  <c r="AZ282" i="3"/>
  <c r="AZ214" i="3"/>
  <c r="F15" i="71"/>
  <c r="F14" i="71" s="1"/>
  <c r="F13" i="71" s="1"/>
  <c r="F12" i="71" s="1"/>
  <c r="F11" i="71" s="1"/>
  <c r="F10" i="71" s="1"/>
  <c r="F9" i="71" s="1"/>
  <c r="F8" i="71" s="1"/>
  <c r="F7" i="71" s="1"/>
  <c r="F6" i="71" s="1"/>
  <c r="F5" i="71" s="1"/>
  <c r="M23" i="43"/>
  <c r="M88" i="43"/>
  <c r="N88" i="43" s="1"/>
  <c r="K88" i="43"/>
  <c r="M86" i="43"/>
  <c r="N86" i="43" s="1"/>
  <c r="K86" i="43"/>
  <c r="AZ206" i="3"/>
  <c r="AZ108" i="3"/>
  <c r="AZ45" i="3"/>
  <c r="AZ105" i="3"/>
  <c r="AZ49" i="3"/>
  <c r="AZ273" i="3"/>
  <c r="AZ302" i="3"/>
  <c r="AZ271" i="3"/>
  <c r="AZ251" i="3"/>
  <c r="AZ247" i="3"/>
  <c r="AZ464" i="3"/>
  <c r="AZ421" i="3"/>
  <c r="AZ414" i="3"/>
  <c r="F32" i="15"/>
  <c r="F60" i="15" s="1"/>
  <c r="AZ584" i="3"/>
  <c r="AZ189" i="3"/>
  <c r="C22" i="71"/>
  <c r="D23" i="71"/>
  <c r="AZ241" i="3"/>
  <c r="AZ210" i="3"/>
  <c r="AZ256" i="3"/>
  <c r="AZ239" i="3"/>
  <c r="N370" i="46"/>
  <c r="H26" i="43"/>
  <c r="E26" i="43"/>
  <c r="G26" i="43"/>
  <c r="F48" i="68"/>
  <c r="C30" i="68"/>
  <c r="C48" i="68"/>
  <c r="F52" i="9"/>
  <c r="F30" i="11"/>
  <c r="F32" i="67"/>
  <c r="F60" i="67" s="1"/>
  <c r="F28" i="67"/>
  <c r="C28" i="67" s="1"/>
  <c r="F30" i="69"/>
  <c r="M18" i="67"/>
  <c r="F31" i="12"/>
  <c r="C31" i="12" s="1"/>
  <c r="M18" i="15"/>
  <c r="F28" i="15"/>
  <c r="C28" i="15" s="1"/>
  <c r="D68" i="9"/>
  <c r="G30" i="6"/>
  <c r="G31" i="6" s="1"/>
  <c r="E28" i="6"/>
  <c r="K14" i="1" s="1"/>
  <c r="K16" i="1" s="1"/>
  <c r="P6" i="1"/>
  <c r="C13" i="12" s="1"/>
  <c r="J7" i="36"/>
  <c r="W7" i="36" s="1"/>
  <c r="F65" i="15"/>
  <c r="F71" i="15"/>
  <c r="N59" i="15"/>
  <c r="M59" i="15"/>
  <c r="L59" i="15"/>
  <c r="Q61" i="15" s="1"/>
  <c r="L58" i="15"/>
  <c r="Q73" i="15" s="1"/>
  <c r="C27" i="15"/>
  <c r="F64" i="15"/>
  <c r="Q71" i="15"/>
  <c r="F51" i="15"/>
  <c r="C6" i="15"/>
  <c r="C32" i="15" s="1"/>
  <c r="C6" i="67"/>
  <c r="C32" i="67" s="1"/>
  <c r="M7" i="67"/>
  <c r="J6" i="67" s="1"/>
  <c r="F31" i="67"/>
  <c r="F50" i="67"/>
  <c r="C49" i="67" s="1"/>
  <c r="F31" i="15"/>
  <c r="F50" i="15"/>
  <c r="M7" i="15"/>
  <c r="J6" i="15" s="1"/>
  <c r="J18" i="15" s="1"/>
  <c r="F68" i="67"/>
  <c r="F68" i="15"/>
  <c r="F66" i="15"/>
  <c r="G5" i="3"/>
  <c r="B3" i="3" s="1"/>
  <c r="E510" i="3" s="1"/>
  <c r="AZ280" i="3"/>
  <c r="AZ238" i="3"/>
  <c r="AZ217" i="3"/>
  <c r="AZ457" i="3"/>
  <c r="AC23" i="35"/>
  <c r="W23" i="35"/>
  <c r="AB39" i="40"/>
  <c r="U39" i="40"/>
  <c r="W12" i="34"/>
  <c r="AC12" i="34"/>
  <c r="AA31" i="39"/>
  <c r="S31" i="39"/>
  <c r="AA23" i="36"/>
  <c r="S23" i="36"/>
  <c r="W28" i="34"/>
  <c r="AC28" i="34"/>
  <c r="G16" i="1"/>
  <c r="F10" i="39" s="1"/>
  <c r="S10" i="39" s="1"/>
  <c r="C82" i="71"/>
  <c r="D82" i="71" s="1"/>
  <c r="D83" i="71"/>
  <c r="AZ58" i="3"/>
  <c r="AZ51" i="3"/>
  <c r="AZ53" i="3"/>
  <c r="AZ137" i="3"/>
  <c r="AZ173" i="3"/>
  <c r="AA37" i="39"/>
  <c r="S37" i="39"/>
  <c r="U9" i="34"/>
  <c r="AB9" i="34"/>
  <c r="AC39" i="40"/>
  <c r="W39" i="40"/>
  <c r="W31" i="39"/>
  <c r="AC31" i="39"/>
  <c r="AC23" i="36"/>
  <c r="W23" i="36"/>
  <c r="AA28" i="34"/>
  <c r="S28" i="34"/>
  <c r="O65" i="71"/>
  <c r="D66" i="71"/>
  <c r="O66" i="71"/>
  <c r="C36" i="71"/>
  <c r="D35" i="71"/>
  <c r="C86" i="71"/>
  <c r="D86" i="71" s="1"/>
  <c r="D87" i="71"/>
  <c r="D31" i="71"/>
  <c r="C32" i="71"/>
  <c r="D60" i="71"/>
  <c r="T60" i="71"/>
  <c r="AZ29" i="3"/>
  <c r="AZ263" i="3"/>
  <c r="AZ223" i="3"/>
  <c r="AC37" i="39"/>
  <c r="W37" i="39"/>
  <c r="AC9" i="36"/>
  <c r="W9" i="36"/>
  <c r="AB31" i="39"/>
  <c r="U31" i="39"/>
  <c r="U23" i="36"/>
  <c r="AB23" i="36"/>
  <c r="U12" i="35"/>
  <c r="AB12" i="35"/>
  <c r="C44" i="71"/>
  <c r="D43" i="71"/>
  <c r="T28" i="71"/>
  <c r="D28" i="71"/>
  <c r="U28" i="71" s="1"/>
  <c r="C27" i="71"/>
  <c r="AZ100" i="3"/>
  <c r="AZ66" i="3"/>
  <c r="C40" i="71"/>
  <c r="D39" i="71"/>
  <c r="AZ79" i="3"/>
  <c r="C78" i="71"/>
  <c r="D78" i="71" s="1"/>
  <c r="D79" i="71"/>
  <c r="N65" i="71"/>
  <c r="N66" i="71"/>
  <c r="AZ39" i="3"/>
  <c r="AZ21" i="3"/>
  <c r="AZ298" i="3"/>
  <c r="AZ130" i="3"/>
  <c r="AZ284" i="3"/>
  <c r="AZ229" i="3"/>
  <c r="AZ218" i="3"/>
  <c r="AZ118" i="3"/>
  <c r="AZ483" i="3"/>
  <c r="C70" i="71"/>
  <c r="D70" i="71" s="1"/>
  <c r="D71" i="71"/>
  <c r="AZ297" i="3"/>
  <c r="AZ243" i="3"/>
  <c r="AZ368" i="3"/>
  <c r="AZ404" i="3"/>
  <c r="U23" i="35"/>
  <c r="AB23" i="35"/>
  <c r="J7" i="37"/>
  <c r="AC7" i="37" s="1"/>
  <c r="K1" i="73"/>
  <c r="E449" i="3"/>
  <c r="E241" i="3"/>
  <c r="E267" i="3"/>
  <c r="E22" i="3"/>
  <c r="E405" i="3"/>
  <c r="E115" i="3"/>
  <c r="E158" i="3"/>
  <c r="E393" i="3"/>
  <c r="E422" i="3"/>
  <c r="E463" i="3"/>
  <c r="E276" i="3"/>
  <c r="E346" i="3"/>
  <c r="E234" i="3"/>
  <c r="E299" i="3"/>
  <c r="E123" i="3"/>
  <c r="E176" i="3"/>
  <c r="E524" i="3"/>
  <c r="E165" i="3"/>
  <c r="E460" i="3"/>
  <c r="E58" i="3"/>
  <c r="E521" i="3"/>
  <c r="E222" i="3"/>
  <c r="E416" i="3"/>
  <c r="E500" i="3"/>
  <c r="E138" i="3"/>
  <c r="E284" i="3"/>
  <c r="E323" i="3"/>
  <c r="E297" i="3"/>
  <c r="E266" i="3"/>
  <c r="E584" i="3"/>
  <c r="E374" i="3"/>
  <c r="E462" i="3"/>
  <c r="E163" i="3"/>
  <c r="AD6" i="3"/>
  <c r="E195" i="3"/>
  <c r="E87" i="3"/>
  <c r="E187" i="3"/>
  <c r="E307" i="3"/>
  <c r="E127" i="3"/>
  <c r="E461" i="3"/>
  <c r="E136" i="3"/>
  <c r="E157" i="3"/>
  <c r="E224" i="3"/>
  <c r="E529" i="3"/>
  <c r="E474" i="3"/>
  <c r="W6" i="3"/>
  <c r="E537" i="3"/>
  <c r="E54" i="3"/>
  <c r="E168" i="3"/>
  <c r="E357" i="3"/>
  <c r="E14" i="3"/>
  <c r="E196" i="3"/>
  <c r="E207" i="3"/>
  <c r="U6" i="3"/>
  <c r="E411" i="3"/>
  <c r="E367" i="3"/>
  <c r="E547" i="3"/>
  <c r="E71" i="3"/>
  <c r="E92" i="3"/>
  <c r="E291" i="3"/>
  <c r="E317" i="3"/>
  <c r="E29" i="3"/>
  <c r="E53" i="3"/>
  <c r="E319" i="3"/>
  <c r="E153" i="3"/>
  <c r="E426" i="3"/>
  <c r="E328"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H7" i="33"/>
  <c r="J7" i="33"/>
  <c r="D65" i="40"/>
  <c r="E63" i="40"/>
  <c r="F48" i="35"/>
  <c r="AA7" i="36"/>
  <c r="R36" i="36" s="1"/>
  <c r="AB7" i="36"/>
  <c r="T36" i="36" s="1"/>
  <c r="G36" i="36" s="1"/>
  <c r="F7" i="33"/>
  <c r="E58" i="21"/>
  <c r="AC7" i="36"/>
  <c r="V36" i="36" s="1"/>
  <c r="I36" i="36" s="1"/>
  <c r="F7" i="37"/>
  <c r="M17" i="67"/>
  <c r="P28" i="43"/>
  <c r="B66" i="40" s="1"/>
  <c r="P25" i="43"/>
  <c r="P29" i="43"/>
  <c r="P27" i="43"/>
  <c r="B70" i="39" s="1"/>
  <c r="Q60" i="67"/>
  <c r="M11" i="67"/>
  <c r="J10" i="67" s="1"/>
  <c r="F11" i="15"/>
  <c r="M11" i="15"/>
  <c r="J10" i="15" s="1"/>
  <c r="F11" i="67"/>
  <c r="F1" i="15"/>
  <c r="Q52" i="15"/>
  <c r="Q61" i="67"/>
  <c r="Q74" i="67"/>
  <c r="AE11" i="1"/>
  <c r="AE9" i="1"/>
  <c r="F27" i="68"/>
  <c r="AE7" i="1"/>
  <c r="AE8" i="1"/>
  <c r="AE12" i="1"/>
  <c r="AE10" i="1"/>
  <c r="C16" i="15"/>
  <c r="G1" i="73"/>
  <c r="C16" i="67"/>
  <c r="F1" i="67" l="1"/>
  <c r="D26" i="43"/>
  <c r="C25" i="43" s="1"/>
  <c r="T42" i="37"/>
  <c r="G42" i="37" s="1"/>
  <c r="Q74" i="15"/>
  <c r="E413" i="3"/>
  <c r="E179" i="3"/>
  <c r="E542" i="3"/>
  <c r="E436" i="3"/>
  <c r="E446" i="3"/>
  <c r="E250" i="3"/>
  <c r="E566" i="3"/>
  <c r="E62" i="3"/>
  <c r="E15" i="3"/>
  <c r="E440" i="3"/>
  <c r="E220" i="3"/>
  <c r="E34" i="3"/>
  <c r="AZ5" i="3"/>
  <c r="AY6" i="3" s="1"/>
  <c r="P65" i="71"/>
  <c r="P66" i="71"/>
  <c r="E112" i="3"/>
  <c r="E473" i="3"/>
  <c r="E401" i="3"/>
  <c r="E105" i="3"/>
  <c r="E497" i="3"/>
  <c r="E18" i="3"/>
  <c r="D22" i="71"/>
  <c r="C21" i="71"/>
  <c r="D84" i="43"/>
  <c r="J84" i="43"/>
  <c r="D86" i="43"/>
  <c r="J86" i="43"/>
  <c r="J83" i="43"/>
  <c r="D83" i="43"/>
  <c r="D89" i="43"/>
  <c r="J89" i="43"/>
  <c r="D90" i="43"/>
  <c r="J90" i="43"/>
  <c r="E63" i="3"/>
  <c r="D88" i="43"/>
  <c r="J88" i="43"/>
  <c r="D87" i="43"/>
  <c r="J87" i="43"/>
  <c r="W7" i="37"/>
  <c r="Q60" i="15"/>
  <c r="F48" i="69"/>
  <c r="C48" i="69"/>
  <c r="C30" i="69"/>
  <c r="J18" i="67"/>
  <c r="C48" i="11"/>
  <c r="C30" i="11"/>
  <c r="J5" i="67"/>
  <c r="J24" i="67" s="1"/>
  <c r="J10" i="40"/>
  <c r="AC10" i="40" s="1"/>
  <c r="E506" i="3"/>
  <c r="E97" i="3"/>
  <c r="O6" i="3"/>
  <c r="E501" i="3"/>
  <c r="AM6" i="3"/>
  <c r="E126" i="3"/>
  <c r="E403" i="3"/>
  <c r="E548" i="3"/>
  <c r="E145" i="3"/>
  <c r="E93" i="3"/>
  <c r="E208" i="3"/>
  <c r="E471" i="3"/>
  <c r="E438" i="3"/>
  <c r="E313" i="3"/>
  <c r="E352" i="3"/>
  <c r="E82" i="3"/>
  <c r="E504" i="3"/>
  <c r="E154" i="3"/>
  <c r="E459" i="3"/>
  <c r="E66" i="3"/>
  <c r="E39" i="3"/>
  <c r="E341" i="3"/>
  <c r="E375" i="3"/>
  <c r="E149" i="3"/>
  <c r="E354" i="3"/>
  <c r="E520" i="3"/>
  <c r="E244" i="3"/>
  <c r="E386" i="3"/>
  <c r="E90" i="3"/>
  <c r="E141" i="3"/>
  <c r="E265" i="3"/>
  <c r="E340" i="3"/>
  <c r="E392" i="3"/>
  <c r="E38" i="3"/>
  <c r="L6" i="3"/>
  <c r="E108" i="3"/>
  <c r="AH6" i="3"/>
  <c r="E543" i="3"/>
  <c r="E16" i="3"/>
  <c r="E49" i="3"/>
  <c r="E428" i="3"/>
  <c r="E420" i="3"/>
  <c r="E408" i="3"/>
  <c r="E173" i="3"/>
  <c r="E102" i="3"/>
  <c r="E235" i="3"/>
  <c r="E198" i="3"/>
  <c r="E67" i="3"/>
  <c r="E409" i="3"/>
  <c r="E417" i="3"/>
  <c r="E575" i="3"/>
  <c r="E326" i="3"/>
  <c r="E324" i="3"/>
  <c r="E225" i="3"/>
  <c r="E13" i="3"/>
  <c r="E456" i="3"/>
  <c r="E205" i="3"/>
  <c r="E206" i="3"/>
  <c r="E96" i="3"/>
  <c r="E81" i="3"/>
  <c r="E249" i="3"/>
  <c r="E292" i="3"/>
  <c r="E255" i="3"/>
  <c r="E272" i="3"/>
  <c r="E546" i="3"/>
  <c r="E432" i="3"/>
  <c r="E379" i="3"/>
  <c r="E397" i="3"/>
  <c r="E257" i="3"/>
  <c r="E475" i="3"/>
  <c r="E288" i="3"/>
  <c r="E532" i="3"/>
  <c r="E306" i="3"/>
  <c r="E122" i="3"/>
  <c r="E98" i="3"/>
  <c r="E167" i="3"/>
  <c r="E488" i="3"/>
  <c r="Y6" i="3"/>
  <c r="E259" i="3"/>
  <c r="E373" i="3"/>
  <c r="E47" i="3"/>
  <c r="E464" i="3"/>
  <c r="E48" i="3"/>
  <c r="E110" i="3"/>
  <c r="E312" i="3"/>
  <c r="E24" i="3"/>
  <c r="E348" i="3"/>
  <c r="E552" i="3"/>
  <c r="E365" i="3"/>
  <c r="E364" i="3"/>
  <c r="AQ6" i="3"/>
  <c r="E170" i="3"/>
  <c r="E60" i="3"/>
  <c r="E178" i="3"/>
  <c r="J6" i="3"/>
  <c r="E427" i="3"/>
  <c r="E188" i="3"/>
  <c r="E232" i="3"/>
  <c r="E412" i="3"/>
  <c r="E26" i="3"/>
  <c r="E451" i="3"/>
  <c r="E525" i="3"/>
  <c r="E113" i="3"/>
  <c r="E383" i="3"/>
  <c r="E281" i="3"/>
  <c r="E33" i="3"/>
  <c r="E484" i="3"/>
  <c r="E479" i="3"/>
  <c r="E499"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AL6" i="3"/>
  <c r="E309" i="3"/>
  <c r="E233" i="3"/>
  <c r="E310" i="3"/>
  <c r="E64" i="3"/>
  <c r="E389" i="3"/>
  <c r="E95" i="3"/>
  <c r="E554" i="3"/>
  <c r="E442" i="3"/>
  <c r="E536"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2" i="3"/>
  <c r="E513" i="3"/>
  <c r="E355" i="3"/>
  <c r="E492" i="3"/>
  <c r="E46" i="3"/>
  <c r="E544" i="3"/>
  <c r="E152" i="3"/>
  <c r="E517" i="3"/>
  <c r="E466" i="3"/>
  <c r="E212" i="3"/>
  <c r="H10" i="40"/>
  <c r="AB10" i="40" s="1"/>
  <c r="C49" i="15"/>
  <c r="J5" i="15"/>
  <c r="J24" i="15" s="1"/>
  <c r="F59" i="67"/>
  <c r="J10" i="39"/>
  <c r="W10" i="39" s="1"/>
  <c r="AA10" i="39"/>
  <c r="F67" i="39"/>
  <c r="G67" i="39" s="1"/>
  <c r="F10" i="40"/>
  <c r="S10" i="40" s="1"/>
  <c r="F59" i="15"/>
  <c r="H10" i="39"/>
  <c r="U10" i="39" s="1"/>
  <c r="M17" i="15"/>
  <c r="C26" i="71"/>
  <c r="D26" i="71" s="1"/>
  <c r="D27" i="71"/>
  <c r="D44" i="71"/>
  <c r="T44" i="71"/>
  <c r="T32" i="71"/>
  <c r="D32" i="71"/>
  <c r="T40" i="71"/>
  <c r="D40" i="71"/>
  <c r="T36" i="71"/>
  <c r="D36" i="71"/>
  <c r="E3" i="6"/>
  <c r="E482" i="3"/>
  <c r="E391" i="3"/>
  <c r="E494" i="3"/>
  <c r="E283" i="3"/>
  <c r="E68" i="3"/>
  <c r="E184" i="3"/>
  <c r="E84" i="3"/>
  <c r="E371" i="3"/>
  <c r="E160" i="3"/>
  <c r="E467"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6" i="1"/>
  <c r="F41" i="15"/>
  <c r="F41" i="67"/>
  <c r="M27" i="15"/>
  <c r="M27" i="67"/>
  <c r="F69" i="67" l="1"/>
  <c r="D21" i="71"/>
  <c r="C20" i="71"/>
  <c r="E83" i="43"/>
  <c r="B81" i="43" s="1"/>
  <c r="C28" i="43" s="1"/>
  <c r="AB10" i="39"/>
  <c r="AC10" i="39"/>
  <c r="F25" i="12"/>
  <c r="C26" i="12" s="1"/>
  <c r="D25" i="12" s="1"/>
  <c r="C48" i="15"/>
  <c r="C66" i="15" s="1"/>
  <c r="AC6" i="3"/>
  <c r="H6" i="3"/>
  <c r="D116" i="43"/>
  <c r="AA10" i="40"/>
  <c r="I53" i="34"/>
  <c r="J53" i="34" s="1"/>
  <c r="I46" i="37"/>
  <c r="J46" i="37" s="1"/>
  <c r="F69" i="39"/>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E6" i="3" l="1"/>
  <c r="T13" i="43"/>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C6" i="69" s="1"/>
  <c r="C7" i="69" s="1"/>
  <c r="T15" i="43"/>
  <c r="V15" i="43" s="1"/>
  <c r="T7" i="43"/>
  <c r="V7" i="43" s="1"/>
  <c r="T10" i="43"/>
  <c r="V10" i="43" s="1"/>
  <c r="T2" i="43"/>
  <c r="V2" i="43" s="1"/>
  <c r="C40" i="43"/>
  <c r="C42" i="43"/>
  <c r="C19" i="71"/>
  <c r="T20" i="71"/>
  <c r="D20" i="71"/>
  <c r="U20" i="71" s="1"/>
  <c r="C60" i="15"/>
  <c r="C26" i="11"/>
  <c r="D22" i="11" s="1"/>
  <c r="C44" i="11"/>
  <c r="D41" i="11" s="1"/>
  <c r="C26" i="68"/>
  <c r="D22" i="68" s="1"/>
  <c r="F41" i="68"/>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U19" i="1" s="1"/>
  <c r="U20" i="1" s="1"/>
  <c r="C42" i="37"/>
  <c r="I48" i="35"/>
  <c r="C48" i="33"/>
  <c r="C49" i="33"/>
  <c r="H58" i="21"/>
  <c r="E47" i="37"/>
  <c r="F47" i="37" s="1"/>
  <c r="E46" i="37"/>
  <c r="F46" i="37" s="1"/>
  <c r="I47" i="37"/>
  <c r="J47" i="37" s="1"/>
  <c r="E53" i="33"/>
  <c r="F53" i="33" s="1"/>
  <c r="E52" i="33"/>
  <c r="F52" i="33" s="1"/>
  <c r="C33" i="15"/>
  <c r="C33" i="67"/>
  <c r="J19" i="67"/>
  <c r="C34" i="68"/>
  <c r="C14" i="15"/>
  <c r="E2" i="70" l="1"/>
  <c r="C18" i="71"/>
  <c r="D19" i="71"/>
  <c r="E33" i="43"/>
  <c r="C34" i="43"/>
  <c r="E34" i="43" s="1"/>
  <c r="G41" i="43"/>
  <c r="I41" i="43" s="1"/>
  <c r="E41" i="43"/>
  <c r="G39" i="43"/>
  <c r="I39" i="43" s="1"/>
  <c r="E39" i="43"/>
  <c r="E42" i="43"/>
  <c r="G42" i="43"/>
  <c r="I42" i="43" s="1"/>
  <c r="E38" i="43"/>
  <c r="G38" i="43"/>
  <c r="I38" i="43" s="1"/>
  <c r="G40" i="43"/>
  <c r="I40" i="43" s="1"/>
  <c r="E40" i="43"/>
  <c r="G37" i="43"/>
  <c r="I37" i="43" s="1"/>
  <c r="E37" i="43"/>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17" i="71"/>
  <c r="D18" i="71"/>
  <c r="C31" i="43"/>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D17" i="71"/>
  <c r="C16" i="71"/>
  <c r="B2" i="43"/>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B6" i="76"/>
  <c r="B2" i="76" l="1"/>
  <c r="B3" i="76" s="1"/>
  <c r="C15" i="71"/>
  <c r="T16" i="71"/>
  <c r="D16" i="71"/>
  <c r="U16" i="71" s="1"/>
  <c r="B3" i="43"/>
  <c r="C25" i="68"/>
  <c r="C22" i="68" s="1"/>
  <c r="C31" i="68" s="1"/>
  <c r="C30" i="12"/>
  <c r="C28" i="12" s="1"/>
  <c r="C32" i="12" s="1"/>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2" i="68"/>
  <c r="B2" i="68" s="1"/>
  <c r="B3"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C13" i="71"/>
  <c r="D14"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4"/>
  <c r="D2" i="35"/>
  <c r="D2" i="36"/>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0" i="1"/>
  <c r="AO7" i="1"/>
  <c r="AO8" i="1"/>
  <c r="D34" i="9"/>
  <c r="AO11" i="1"/>
  <c r="C19" i="9"/>
  <c r="AO6" i="1"/>
  <c r="AO12" i="1"/>
  <c r="D35" i="9"/>
  <c r="D11" i="71" l="1"/>
  <c r="C10" i="71"/>
  <c r="C102" i="9"/>
  <c r="C21" i="9"/>
  <c r="G19" i="9"/>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R24" i="31"/>
  <c r="R26" i="31" s="1"/>
  <c r="S26" i="31" s="1"/>
  <c r="E14" i="74"/>
  <c r="D9" i="71"/>
  <c r="C8" i="71"/>
  <c r="C32" i="9"/>
  <c r="C35" i="9" s="1"/>
  <c r="C34" i="9" s="1"/>
  <c r="C42" i="40"/>
  <c r="C43" i="40"/>
  <c r="E47" i="40"/>
  <c r="F47" i="40" s="1"/>
  <c r="E46" i="40"/>
  <c r="F46" i="40" s="1"/>
  <c r="I47" i="40"/>
  <c r="J47" i="40" s="1"/>
  <c r="S24" i="31" l="1"/>
  <c r="R25" i="31"/>
  <c r="S25" i="31" s="1"/>
  <c r="R27" i="31"/>
  <c r="S27" i="31" s="1"/>
  <c r="F15" i="74"/>
  <c r="E15" i="74"/>
  <c r="E16"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F16" i="74"/>
  <c r="D7" i="71"/>
  <c r="C6" i="71"/>
  <c r="F14" i="74"/>
  <c r="B5" i="74"/>
  <c r="B20" i="31" l="1"/>
  <c r="B21" i="31" s="1"/>
  <c r="D5" i="74"/>
  <c r="D6" i="71"/>
  <c r="C5" i="71"/>
  <c r="D5" i="71" s="1"/>
  <c r="M24" i="43" s="1"/>
  <c r="B6" i="74"/>
  <c r="D6" i="74" s="1"/>
  <c r="G118" i="9"/>
  <c r="F118" i="9" s="1"/>
  <c r="I118" i="9"/>
  <c r="C105" i="9" s="1"/>
  <c r="I4" i="52" l="1"/>
  <c r="H102" i="9"/>
  <c r="D7" i="53" s="1"/>
  <c r="B21" i="72" s="1"/>
  <c r="F119" i="9"/>
  <c r="F5" i="52" s="1"/>
  <c r="B53" i="72" s="1"/>
  <c r="F4" i="52"/>
  <c r="B51" i="72" s="1"/>
  <c r="E118" i="9"/>
  <c r="G4" i="52"/>
  <c r="B52" i="72" s="1"/>
  <c r="H118" i="9"/>
  <c r="C5" i="74" l="1"/>
  <c r="H4" i="52"/>
  <c r="H101" i="9"/>
  <c r="H119" i="9"/>
  <c r="H5" i="52" s="1"/>
  <c r="C104" i="9"/>
  <c r="D118" i="9"/>
  <c r="E4" i="52"/>
  <c r="B48" i="72" s="1"/>
  <c r="M48" i="9" l="1"/>
  <c r="H107" i="9"/>
  <c r="D5" i="53"/>
  <c r="D45" i="9"/>
  <c r="D119" i="9"/>
  <c r="D5" i="52" s="1"/>
  <c r="B49" i="72" s="1"/>
  <c r="D4" i="52"/>
  <c r="B47" i="72" s="1"/>
  <c r="C64" i="9" l="1"/>
  <c r="C63" i="9" s="1"/>
  <c r="C67" i="9" s="1"/>
  <c r="D52" i="9"/>
  <c r="D53" i="9"/>
  <c r="C72" i="9"/>
  <c r="C93" i="9"/>
  <c r="C86" i="9" s="1"/>
  <c r="D55" i="9"/>
  <c r="M53" i="9" s="1"/>
  <c r="C78" i="9"/>
  <c r="C73" i="9" s="1"/>
  <c r="C85" i="9"/>
  <c r="D6" i="53"/>
  <c r="B22" i="72" s="1"/>
  <c r="B20" i="72"/>
  <c r="M49" i="9"/>
  <c r="D122" i="9"/>
  <c r="H108" i="9"/>
  <c r="D13" i="53"/>
  <c r="C79" i="9" l="1"/>
  <c r="C95" i="9"/>
  <c r="C96" i="9" s="1"/>
  <c r="E96" i="9" s="1"/>
  <c r="E97" i="9" s="1"/>
  <c r="L65" i="9"/>
  <c r="M65" i="9" s="1"/>
  <c r="L63" i="9"/>
  <c r="M63" i="9" s="1"/>
  <c r="L66" i="9"/>
  <c r="M66" i="9" s="1"/>
  <c r="L64" i="9"/>
  <c r="M64" i="9" s="1"/>
  <c r="L67" i="9"/>
  <c r="M67" i="9" s="1"/>
  <c r="L68" i="9"/>
  <c r="M68" i="9" s="1"/>
  <c r="C6" i="74"/>
  <c r="D15" i="53"/>
  <c r="B31" i="72" s="1"/>
  <c r="D8" i="52"/>
  <c r="D123" i="9"/>
  <c r="D9" i="52" s="1"/>
  <c r="C80" i="9"/>
  <c r="E80" i="9" s="1"/>
  <c r="E81" i="9" s="1"/>
  <c r="B30" i="72"/>
  <c r="D14" i="53"/>
  <c r="B32" i="72" s="1"/>
  <c r="D59" i="9"/>
  <c r="M55" i="9" s="1"/>
  <c r="C68" i="9"/>
  <c r="D54" i="9" s="1"/>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<sst xmlns="http://schemas.openxmlformats.org/spreadsheetml/2006/main" count="7971" uniqueCount="3499">
  <si>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</si>
  <si>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</si>
  <si>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</si>
  <si>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</si>
  <si>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</si>
  <si>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</si>
  <si>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</si>
  <si>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</si>
  <si>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</si>
  <si>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</si>
  <si>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</si>
  <si>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</si>
  <si>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</si>
  <si>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</si>
  <si>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</si>
  <si>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</si>
  <si>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</si>
  <si>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</si>
  <si>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</si>
  <si>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</si>
  <si>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</si>
  <si>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</si>
  <si>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</si>
  <si>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</si>
  <si>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</si>
  <si>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</si>
  <si>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</si>
  <si>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</si>
  <si>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</si>
  <si>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</si>
  <si>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</si>
  <si>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</si>
  <si>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</si>
  <si>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</si>
  <si>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</si>
  <si>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</si>
  <si>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</si>
  <si>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</si>
  <si>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</si>
  <si>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</si>
  <si>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</si>
  <si>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</si>
  <si>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</si>
  <si>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</si>
  <si>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</si>
  <si>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</si>
  <si>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</si>
  <si>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</si>
  <si>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</si>
  <si>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</si>
  <si>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</si>
  <si>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</si>
  <si>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</si>
  <si>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</si>
  <si>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</si>
  <si>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</si>
  <si>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</si>
  <si>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</si>
  <si>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</si>
  <si>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</si>
  <si>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</si>
  <si>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</si>
  <si>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</si>
  <si>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</si>
  <si>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</si>
  <si>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</si>
  <si>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</si>
  <si>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</si>
  <si>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</si>
  <si>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</si>
  <si>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</si>
  <si>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</si>
  <si>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</si>
  <si>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</si>
  <si>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</si>
  <si>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</si>
  <si>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</si>
  <si>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</si>
  <si>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</si>
  <si>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</si>
  <si>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</si>
  <si>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</si>
  <si>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</si>
  <si>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</si>
  <si>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</si>
  <si>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</si>
  <si>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</si>
  <si>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</si>
  <si>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</si>
  <si>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</si>
  <si>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</si>
  <si>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</si>
  <si>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</si>
  <si>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</si>
  <si>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</si>
  <si>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</si>
  <si>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</si>
  <si>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</si>
  <si>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</si>
  <si>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</si>
  <si>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</si>
  <si>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</si>
  <si>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</si>
  <si>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</si>
  <si>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</si>
  <si>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</si>
  <si>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</si>
  <si>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</si>
  <si>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</si>
  <si>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</si>
  <si>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</si>
  <si>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</si>
  <si>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</si>
  <si>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</si>
  <si>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</si>
  <si>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</si>
  <si>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</si>
  <si>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</si>
  <si>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</si>
  <si>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</si>
  <si>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</si>
  <si>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</si>
  <si>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</si>
  <si>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</si>
  <si>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</si>
  <si>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</si>
  <si>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</si>
  <si>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</si>
  <si>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</si>
  <si>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</si>
  <si>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</si>
  <si>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</si>
  <si>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</si>
  <si>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</si>
  <si>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</si>
  <si>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</si>
  <si>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</si>
  <si>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</si>
  <si>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</si>
  <si>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</si>
  <si>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</si>
  <si>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</si>
  <si>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</si>
  <si>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</si>
  <si>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</si>
  <si>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</si>
  <si>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</si>
  <si>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</si>
  <si>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</si>
  <si>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</si>
  <si>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</si>
  <si>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</si>
  <si>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</si>
  <si>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</si>
  <si>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</si>
  <si>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</si>
  <si>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</si>
  <si>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</si>
  <si>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</si>
  <si>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</si>
  <si>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</si>
  <si>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</si>
  <si>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</si>
  <si>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</si>
  <si>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</si>
  <si>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</si>
  <si>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</si>
  <si>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</si>
  <si>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</si>
  <si>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</si>
  <si>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</si>
  <si>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</si>
  <si>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</si>
  <si>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</si>
  <si>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</si>
  <si>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</si>
  <si>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</si>
  <si>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</si>
  <si>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</si>
  <si>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</si>
  <si>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</si>
  <si>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</si>
  <si>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</si>
  <si>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</si>
  <si>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</si>
  <si>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</si>
  <si>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</si>
  <si>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</si>
  <si>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</si>
  <si>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</si>
  <si>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</si>
  <si>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</si>
  <si>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</si>
  <si>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</si>
  <si>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</si>
  <si>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</si>
  <si>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</si>
  <si>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</si>
  <si>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</si>
  <si>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</si>
  <si>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</si>
  <si>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</si>
  <si>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</si>
  <si>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</si>
  <si>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</si>
  <si>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</si>
  <si>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</si>
  <si>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</si>
  <si>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</si>
  <si>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</si>
  <si>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</si>
  <si>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</si>
  <si>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</si>
  <si>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</si>
  <si>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</si>
  <si>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</si>
  <si>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</si>
  <si>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</si>
  <si>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</si>
  <si>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</si>
  <si>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</si>
  <si>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</si>
  <si>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</si>
  <si>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</si>
  <si>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</si>
  <si>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</si>
  <si>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</si>
  <si>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</si>
  <si>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</si>
  <si>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</si>
  <si>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</si>
  <si>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</si>
  <si>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</si>
  <si>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</si>
  <si>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</si>
  <si>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</si>
  <si>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</si>
  <si>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</si>
  <si>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</si>
  <si>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</si>
  <si>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</si>
  <si>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</si>
  <si>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</si>
  <si>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</si>
  <si>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</si>
  <si>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</si>
  <si>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</si>
  <si>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</si>
  <si>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</si>
  <si>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</si>
  <si>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</si>
  <si>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</si>
  <si>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</si>
  <si>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</si>
  <si>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</si>
  <si>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</si>
  <si>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</si>
  <si>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</si>
  <si>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</si>
  <si>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</si>
  <si>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</si>
  <si>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</si>
  <si>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</si>
  <si>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</si>
  <si>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</si>
  <si>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</si>
  <si>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</si>
  <si>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</si>
  <si>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</si>
  <si>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</si>
  <si>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</si>
  <si>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</si>
  <si>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</si>
  <si>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</si>
  <si>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</si>
  <si>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</si>
  <si>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</si>
  <si>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</si>
  <si>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</si>
  <si>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</si>
  <si>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</si>
  <si>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</si>
  <si>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</si>
  <si>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</si>
  <si>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</si>
  <si>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</si>
  <si>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</si>
  <si>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</si>
  <si>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</si>
  <si>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</si>
  <si>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</si>
  <si>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</si>
  <si>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</si>
  <si>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</si>
  <si>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</si>
  <si>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</si>
  <si>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</si>
  <si>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</si>
  <si>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</si>
  <si>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</si>
  <si>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</si>
  <si>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</si>
  <si>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</si>
  <si>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</si>
  <si>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</si>
  <si>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</si>
  <si>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</si>
  <si>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</si>
  <si>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</si>
  <si>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</si>
  <si>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</si>
  <si>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</si>
  <si>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</si>
  <si>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</si>
  <si>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</si>
  <si>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</si>
  <si>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</si>
  <si>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</si>
  <si>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</si>
  <si>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</si>
  <si>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</si>
  <si>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</si>
  <si>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</si>
  <si>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</si>
  <si>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</si>
  <si>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</si>
  <si>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</si>
  <si>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</si>
  <si>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</si>
  <si>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</si>
  <si>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</si>
  <si>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</si>
  <si>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</si>
  <si>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</si>
  <si>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</si>
  <si>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</si>
  <si>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</si>
  <si>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</si>
  <si>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</si>
  <si>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</si>
  <si>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</si>
  <si>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</si>
  <si>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</si>
  <si>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</si>
  <si>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</si>
  <si>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</si>
  <si>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</si>
  <si>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</si>
  <si>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</si>
  <si>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</si>
  <si>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</si>
  <si>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</si>
  <si>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</si>
  <si>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</si>
  <si>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</si>
  <si>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</si>
  <si>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</si>
  <si>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</si>
  <si>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</si>
  <si>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</si>
  <si>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</si>
  <si>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</si>
  <si>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</si>
  <si>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</si>
  <si>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</si>
  <si>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</si>
  <si>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</si>
  <si>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</si>
  <si>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</si>
  <si>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</si>
  <si>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</si>
  <si>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</si>
  <si>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</si>
  <si>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</si>
  <si>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</si>
  <si>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</si>
  <si>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</si>
  <si>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</si>
  <si>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</si>
  <si>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</si>
  <si>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</si>
  <si>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</si>
  <si>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</si>
  <si>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</si>
  <si>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</si>
  <si>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</si>
  <si>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</si>
  <si>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</si>
  <si>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</si>
  <si>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</si>
  <si>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</si>
  <si>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</si>
  <si>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</si>
  <si>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</si>
  <si>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</si>
  <si>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</si>
  <si>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</si>
  <si>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</si>
  <si>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</si>
  <si>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</si>
  <si>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</si>
  <si>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</si>
  <si>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</si>
  <si>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</si>
  <si>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</si>
  <si>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</si>
  <si>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</si>
  <si>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</si>
  <si>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</si>
  <si>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</si>
  <si>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</si>
  <si>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</si>
  <si>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</si>
  <si>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</si>
  <si>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</si>
  <si>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</si>
  <si>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</si>
  <si>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</si>
  <si>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</si>
  <si>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</si>
  <si>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</si>
  <si>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</si>
  <si>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</si>
  <si>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</si>
  <si>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</si>
  <si>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</si>
  <si>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</si>
  <si>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</si>
  <si>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</si>
  <si>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</si>
  <si>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</si>
  <si>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</si>
  <si>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</si>
  <si>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</si>
  <si>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</si>
  <si>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</si>
  <si>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</si>
  <si>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</si>
  <si>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</si>
  <si>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</si>
  <si>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</si>
  <si>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</si>
  <si>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</si>
  <si>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</si>
  <si>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</si>
  <si>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</si>
  <si>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</si>
  <si>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</si>
  <si>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</si>
  <si>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</si>
  <si>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</si>
  <si>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</si>
  <si>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</si>
  <si>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</si>
  <si>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</si>
  <si>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</si>
  <si>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</si>
  <si>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</si>
  <si>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</si>
  <si>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</si>
  <si>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</si>
  <si>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</si>
  <si>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</si>
  <si>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</si>
  <si>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</si>
  <si>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</si>
  <si>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</si>
  <si>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</si>
  <si>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</si>
  <si>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</si>
  <si>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</si>
  <si>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</si>
  <si>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</si>
  <si>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</si>
  <si>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</si>
  <si>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</si>
  <si>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</si>
  <si>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</si>
  <si>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</si>
  <si>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</si>
  <si>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</si>
  <si>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</si>
  <si>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</si>
  <si>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</si>
  <si>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</si>
  <si>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</si>
  <si>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</si>
  <si>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</si>
  <si>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</si>
  <si>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</si>
  <si>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</si>
  <si>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</si>
  <si>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</si>
  <si>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</si>
  <si>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</si>
  <si>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</si>
  <si>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</si>
  <si>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</si>
  <si>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</si>
  <si>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</si>
  <si>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</si>
  <si>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</si>
  <si>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</si>
  <si>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</si>
  <si>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</si>
  <si>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</si>
  <si>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</si>
  <si>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</si>
  <si>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</si>
  <si>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</si>
  <si>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</si>
  <si>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</si>
  <si>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</si>
  <si>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</si>
  <si>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</si>
  <si>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</si>
  <si>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</si>
  <si>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</si>
  <si>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</si>
  <si>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</si>
  <si>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</si>
  <si>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</si>
  <si>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</si>
  <si>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</si>
  <si>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</si>
  <si>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</si>
  <si>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</si>
  <si>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</si>
  <si>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</si>
  <si>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</si>
  <si>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</si>
  <si>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</si>
  <si>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</si>
  <si>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</si>
  <si>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</si>
  <si>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</si>
  <si>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</si>
  <si>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</si>
  <si>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</si>
  <si>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</si>
  <si>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</si>
  <si>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</si>
  <si>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</si>
  <si>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</si>
  <si>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</si>
  <si>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</si>
  <si>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</si>
  <si>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</si>
  <si>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</si>
  <si>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</si>
  <si>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</si>
  <si>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</si>
  <si>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</si>
  <si>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</si>
  <si>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</si>
  <si>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</si>
  <si>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</si>
  <si>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</si>
  <si>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</si>
  <si>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</si>
  <si>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</si>
  <si>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</si>
  <si>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</si>
  <si>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</si>
  <si>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</si>
  <si>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</si>
  <si>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</si>
  <si>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</si>
  <si>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</si>
  <si>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</si>
  <si>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</si>
  <si>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</si>
  <si>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</si>
  <si>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</si>
  <si>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</si>
  <si>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</si>
  <si>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</si>
  <si>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</si>
  <si>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</si>
  <si>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</si>
  <si>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</si>
  <si>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</si>
  <si>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</si>
  <si>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</si>
  <si>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</si>
  <si>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</si>
  <si>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</si>
  <si>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</si>
  <si>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</si>
  <si>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</si>
  <si>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</si>
  <si>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</si>
  <si>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</si>
  <si>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</si>
  <si>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</si>
  <si>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</si>
  <si>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</si>
  <si>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</si>
  <si>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</si>
  <si>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</si>
  <si>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</si>
  <si>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</si>
  <si>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</si>
  <si>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</si>
  <si>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</si>
  <si>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</si>
  <si>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</si>
  <si>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</si>
  <si>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</si>
  <si>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</si>
  <si>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</si>
  <si>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</si>
  <si>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</si>
  <si>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</si>
  <si>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</si>
  <si>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</si>
  <si>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</si>
  <si>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</si>
  <si>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</si>
  <si>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</si>
  <si>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</si>
  <si>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</si>
  <si>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</si>
  <si>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</si>
  <si>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</si>
  <si>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</si>
  <si>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</si>
  <si>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</si>
  <si>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</si>
  <si>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</si>
  <si>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</si>
  <si>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</si>
  <si>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</si>
  <si>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</si>
  <si>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</si>
  <si>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</si>
  <si>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</si>
  <si>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</si>
  <si>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</si>
  <si>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</si>
  <si>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</si>
  <si>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</si>
  <si>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</si>
  <si>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</si>
  <si>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</si>
  <si>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</si>
  <si>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</si>
  <si>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</si>
  <si>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</si>
  <si>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</si>
  <si>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</si>
  <si>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</si>
  <si>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</si>
  <si>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</si>
  <si>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</si>
  <si>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</si>
  <si>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</si>
  <si>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</si>
  <si>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</si>
  <si>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</si>
  <si>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</si>
  <si>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</si>
  <si>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</si>
  <si>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</si>
  <si>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</si>
  <si>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</si>
  <si>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</si>
  <si>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</si>
  <si>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</si>
  <si>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</si>
  <si>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</si>
  <si>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</si>
  <si>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</si>
  <si>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</si>
  <si>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</si>
  <si>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</si>
  <si>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</si>
  <si>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</si>
  <si>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</si>
  <si>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</si>
  <si>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</si>
  <si>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</si>
  <si>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</si>
  <si>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</si>
  <si>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</si>
  <si>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</si>
  <si>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</si>
  <si>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</si>
  <si>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</si>
  <si>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</si>
  <si>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</si>
  <si>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</si>
  <si>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</si>
  <si>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</si>
  <si>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</si>
  <si>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</si>
  <si>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</si>
  <si>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</si>
  <si>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</si>
  <si>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</si>
  <si>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</si>
  <si>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</si>
  <si>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</si>
  <si>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</si>
  <si>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</si>
  <si>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</si>
  <si>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</si>
  <si>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</si>
  <si>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</si>
  <si>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</si>
  <si>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</si>
  <si>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</si>
  <si>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</si>
  <si>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</si>
  <si>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</si>
  <si>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</si>
  <si>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</si>
  <si>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</si>
  <si>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</si>
  <si>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</si>
  <si>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</si>
  <si>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</si>
  <si>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</si>
  <si>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</si>
  <si>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</si>
  <si>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</si>
  <si>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</si>
  <si>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</si>
  <si>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</si>
  <si>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</si>
  <si>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</si>
  <si>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</si>
  <si>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</si>
  <si>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</si>
  <si>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</si>
  <si>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</si>
  <si>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</si>
  <si>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</si>
  <si>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</si>
  <si>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</si>
  <si>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</si>
  <si>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</si>
  <si>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</si>
  <si>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</si>
  <si>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</si>
  <si>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</si>
  <si>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</si>
  <si>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</si>
  <si>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</si>
  <si>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</si>
  <si>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</si>
  <si>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</si>
  <si>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</si>
  <si>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</si>
  <si>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</si>
  <si>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</si>
  <si>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</si>
  <si>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</si>
  <si>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</si>
  <si>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</si>
  <si>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</si>
  <si>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</si>
  <si>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</si>
  <si>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</si>
  <si>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</si>
  <si>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</si>
  <si>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</si>
  <si>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</si>
  <si>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</si>
  <si>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</si>
  <si>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</si>
  <si>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</si>
  <si>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</si>
  <si>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</si>
  <si>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</si>
  <si>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</si>
  <si>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</si>
  <si>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</si>
  <si>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</si>
  <si>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</si>
  <si>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</si>
  <si>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</si>
  <si>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</si>
  <si>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</si>
  <si>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</si>
  <si>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</si>
  <si>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</si>
  <si>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</si>
  <si>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</si>
  <si>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</si>
  <si>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</si>
  <si>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</si>
  <si>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</si>
  <si>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</si>
  <si>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</si>
  <si>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</si>
  <si>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</si>
  <si>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</si>
  <si>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</si>
  <si>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</si>
  <si>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</si>
  <si>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</si>
  <si>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</si>
  <si>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</si>
  <si>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</si>
  <si>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</si>
  <si>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</si>
  <si>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</si>
  <si>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</si>
  <si>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</si>
  <si>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</si>
  <si>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</si>
  <si>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</si>
  <si>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</si>
  <si>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</si>
  <si>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</si>
  <si>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</si>
  <si>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</si>
  <si>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</si>
  <si>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</si>
  <si>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</si>
  <si>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</si>
  <si>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</si>
  <si>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</si>
  <si>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</si>
  <si>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</si>
  <si>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</si>
  <si>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</si>
  <si>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</si>
  <si>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</si>
  <si>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</si>
  <si>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</si>
  <si>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</si>
  <si>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</si>
  <si>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</si>
  <si>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</si>
  <si>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</si>
  <si>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</si>
  <si>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</si>
  <si>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</si>
  <si>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</si>
  <si>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</si>
  <si>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</si>
  <si>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</si>
  <si>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</si>
  <si>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</si>
  <si>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</si>
  <si>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</si>
  <si>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</si>
  <si>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</si>
  <si>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</si>
  <si>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</si>
  <si>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</si>
  <si>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</si>
  <si>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</si>
  <si>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</si>
  <si>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</si>
  <si>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</si>
  <si>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</si>
  <si>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</si>
  <si>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</si>
  <si>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</si>
  <si>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</si>
  <si>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</si>
  <si>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</si>
  <si>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</si>
  <si>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</si>
  <si>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</si>
  <si>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</si>
  <si>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</si>
  <si>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</si>
  <si>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</si>
  <si>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</si>
  <si>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</si>
  <si>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</si>
  <si>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</si>
  <si>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</si>
  <si>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</si>
  <si>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</si>
  <si>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</si>
  <si>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</si>
  <si>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</si>
  <si>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</si>
  <si>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</si>
  <si>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</si>
  <si>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</si>
  <si>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</si>
  <si>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</si>
  <si>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</si>
  <si>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</si>
  <si>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</si>
  <si>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</si>
  <si>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</si>
  <si>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</si>
  <si>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</si>
  <si>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</si>
  <si>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</si>
  <si>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</si>
  <si>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</si>
  <si>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</si>
  <si>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</si>
  <si>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</si>
  <si>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</si>
  <si>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</si>
  <si>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</si>
  <si>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</si>
  <si>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</si>
  <si>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</si>
  <si>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</si>
  <si>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</si>
  <si>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</si>
  <si>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</si>
  <si>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</si>
  <si>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</si>
  <si>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</si>
  <si>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</si>
  <si>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</si>
  <si>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</si>
  <si>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</si>
  <si>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</si>
  <si>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</si>
  <si>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</si>
  <si>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</si>
  <si>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</si>
  <si>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</si>
  <si>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</si>
  <si>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</si>
  <si>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</si>
  <si>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</si>
  <si>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</si>
  <si>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</si>
  <si>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</si>
  <si>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</si>
  <si>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</si>
  <si>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</si>
  <si>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</si>
  <si>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</si>
  <si>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</si>
  <si>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</si>
  <si>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</si>
  <si>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</si>
  <si>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</si>
  <si>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</si>
  <si>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</si>
  <si>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</si>
  <si>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</si>
  <si>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</si>
  <si>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</si>
  <si>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</si>
  <si>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</si>
  <si>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</si>
  <si>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</si>
  <si>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</si>
  <si>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</si>
  <si>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</si>
  <si>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</si>
  <si>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</si>
  <si>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</si>
  <si>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</si>
  <si>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</si>
  <si>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</si>
  <si>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</si>
  <si>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</si>
  <si>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</si>
  <si>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</si>
  <si>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</si>
  <si>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</si>
  <si>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</si>
  <si>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</si>
  <si>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</si>
  <si>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</si>
  <si>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</si>
  <si>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</si>
  <si>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</si>
  <si>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</si>
  <si>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</si>
  <si>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</si>
  <si>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</si>
  <si>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</si>
  <si>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</si>
  <si>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</si>
  <si>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</si>
  <si>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</si>
  <si>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</si>
  <si>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</si>
  <si>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</si>
  <si>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</si>
  <si>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</si>
  <si>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</si>
  <si>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</si>
  <si>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</si>
  <si>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</si>
  <si>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</si>
  <si>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</si>
  <si>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</si>
  <si>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</si>
  <si>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</si>
  <si>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</si>
  <si>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</si>
  <si>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</si>
  <si>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</si>
  <si>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</si>
  <si>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</si>
  <si>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</si>
  <si>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</si>
  <si>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</si>
  <si>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</si>
  <si>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</si>
  <si>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</si>
  <si>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</si>
  <si>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</si>
  <si>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</si>
  <si>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</si>
  <si>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</si>
  <si>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</si>
  <si>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</si>
  <si>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</si>
  <si>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</si>
  <si>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</si>
  <si>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</si>
  <si>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</si>
  <si>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</si>
  <si>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</si>
  <si>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</si>
  <si>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</si>
  <si>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</si>
  <si>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</si>
  <si>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</si>
  <si>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</si>
  <si>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</si>
  <si>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</si>
  <si>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</si>
  <si>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</si>
  <si>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</si>
  <si>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</si>
  <si>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</si>
  <si>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</si>
  <si>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</si>
  <si>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</si>
  <si>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</si>
  <si>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</si>
  <si>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</si>
  <si>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</si>
  <si>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</si>
  <si>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</si>
  <si>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</si>
  <si>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</si>
  <si>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</si>
  <si>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</si>
  <si>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</si>
  <si>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</si>
  <si>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</si>
  <si>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</si>
  <si>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</si>
  <si>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</si>
  <si>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</si>
  <si>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</si>
  <si>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</si>
  <si>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</si>
  <si>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</si>
  <si>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</si>
  <si>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</si>
  <si>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</si>
  <si>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</si>
  <si>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</si>
  <si>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</si>
  <si>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</si>
  <si>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</si>
  <si>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</si>
  <si>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</si>
  <si>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</si>
  <si>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</si>
  <si>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</si>
  <si>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</si>
  <si>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</si>
  <si>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</si>
  <si>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</si>
  <si>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</si>
  <si>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</si>
  <si>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</si>
  <si>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</si>
  <si>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</si>
  <si>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</si>
  <si>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</si>
  <si>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</si>
  <si>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</si>
  <si>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</si>
  <si>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</si>
  <si>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</si>
  <si>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</si>
  <si>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</si>
  <si>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</si>
  <si>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</si>
  <si>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</si>
  <si>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</si>
  <si>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</si>
  <si>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</si>
  <si>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</si>
  <si>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</si>
  <si>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</si>
  <si>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</si>
  <si>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</si>
  <si>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</si>
  <si>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</si>
  <si>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</si>
  <si>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</si>
  <si>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</si>
  <si>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</si>
  <si>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</si>
  <si>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</si>
  <si>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</si>
  <si>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</si>
  <si>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</si>
  <si>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</si>
  <si>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</si>
  <si>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</si>
  <si>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</si>
  <si>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</si>
  <si>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</si>
  <si>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</si>
  <si>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</si>
  <si>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</si>
  <si>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</si>
  <si>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</si>
  <si>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</si>
  <si>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</si>
  <si>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</si>
  <si>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</si>
  <si>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</si>
  <si>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</si>
  <si>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</si>
  <si>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</si>
  <si>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</si>
  <si>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</si>
  <si>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</si>
  <si>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</si>
  <si>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</si>
  <si>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</si>
  <si>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</si>
  <si>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</si>
  <si>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</si>
  <si>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</si>
  <si>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</si>
  <si>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</si>
  <si>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</si>
  <si>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</si>
  <si>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</si>
  <si>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</si>
  <si>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</si>
  <si>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</si>
  <si>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</si>
  <si>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</si>
  <si>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</si>
  <si>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</si>
  <si>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</si>
  <si>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</si>
  <si>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</si>
  <si>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</si>
  <si>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</si>
  <si>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</si>
  <si>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</si>
  <si>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</si>
  <si>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</si>
  <si>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</si>
  <si>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</si>
  <si>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</si>
  <si>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</si>
  <si>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</si>
  <si>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</si>
  <si>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</si>
  <si>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</si>
  <si>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</si>
  <si>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</si>
  <si>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</si>
  <si>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</si>
  <si>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</si>
  <si>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</si>
  <si>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</si>
  <si>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</si>
  <si>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</si>
  <si>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</si>
  <si>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</si>
  <si>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</si>
  <si>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</si>
  <si>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</si>
  <si>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</si>
  <si>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</si>
  <si>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</si>
  <si>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</si>
  <si>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</si>
  <si>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</si>
  <si>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</si>
  <si>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</si>
  <si>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</si>
  <si>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</si>
  <si>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</si>
  <si>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</si>
  <si>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</si>
  <si>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</si>
  <si>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</si>
  <si>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</si>
  <si>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</si>
  <si>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</si>
  <si>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</si>
  <si>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</si>
  <si>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</si>
  <si>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</si>
  <si>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</si>
  <si>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</si>
  <si>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</si>
  <si>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</si>
  <si>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</si>
  <si>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</si>
  <si>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</si>
  <si>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</si>
  <si>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</si>
  <si>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</si>
  <si>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</si>
  <si>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</si>
  <si>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</si>
  <si>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</si>
  <si>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</si>
  <si>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</si>
  <si>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</si>
  <si>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</si>
  <si>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</si>
  <si>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</si>
  <si>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</si>
  <si>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</si>
  <si>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</si>
  <si>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</si>
  <si>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</si>
  <si>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</si>
  <si>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</si>
  <si>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</si>
  <si>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</si>
  <si>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</si>
  <si>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</si>
  <si>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</si>
  <si>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</si>
  <si>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</si>
  <si>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</si>
  <si>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</si>
  <si>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</si>
  <si>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</si>
  <si>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</si>
  <si>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</si>
  <si>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</si>
  <si>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</si>
  <si>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</si>
  <si>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</si>
  <si>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</si>
  <si>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</si>
  <si>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</si>
  <si>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</si>
  <si>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</si>
  <si>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</si>
  <si>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</si>
  <si>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</si>
  <si>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</si>
  <si>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</si>
  <si>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</si>
  <si>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</si>
  <si>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</si>
  <si>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</si>
  <si>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</si>
  <si>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</si>
  <si>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</si>
  <si>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</si>
  <si>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</si>
  <si>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</si>
  <si>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</si>
  <si>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</si>
  <si>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</si>
  <si>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</si>
  <si>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</si>
  <si>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</si>
  <si>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</si>
  <si>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</si>
  <si>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</si>
  <si>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</si>
  <si>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</si>
  <si>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</si>
  <si>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</si>
  <si>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</si>
  <si>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</si>
  <si>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</si>
  <si>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</si>
  <si>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</si>
  <si>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</si>
  <si>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</si>
  <si>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</si>
  <si>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</si>
  <si>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</si>
  <si>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</si>
  <si>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</si>
  <si>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</si>
  <si>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</si>
  <si>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</si>
  <si>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</si>
  <si>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</si>
  <si>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</si>
  <si>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</si>
  <si>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</si>
  <si>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</si>
  <si>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</si>
  <si>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</si>
  <si>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</si>
  <si>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</si>
  <si>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</si>
  <si>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</si>
  <si>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</si>
  <si>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</si>
  <si>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</si>
  <si>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</si>
  <si>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</si>
  <si>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</si>
  <si>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</si>
  <si>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</si>
  <si>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</si>
  <si>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</si>
  <si>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</si>
  <si>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</si>
  <si>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</si>
  <si>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</si>
  <si>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</si>
  <si>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</si>
  <si>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</si>
  <si>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</si>
  <si>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</si>
  <si>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</si>
  <si>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</si>
  <si>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</si>
  <si>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</si>
  <si>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</si>
  <si>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</si>
  <si>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</si>
  <si>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</si>
  <si>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</si>
  <si>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</si>
  <si>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</si>
  <si>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</si>
  <si>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</si>
  <si>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</si>
  <si>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</si>
  <si>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</si>
  <si>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</si>
  <si>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</si>
  <si>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</si>
  <si>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</si>
  <si>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</si>
  <si>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</si>
  <si>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</si>
  <si>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</si>
  <si>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</si>
  <si>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</si>
  <si>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</si>
  <si>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</si>
  <si>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</si>
  <si>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</si>
  <si>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</si>
  <si>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</si>
  <si>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</si>
  <si>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</si>
  <si>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</si>
  <si>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</si>
  <si>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</si>
  <si>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</si>
  <si>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</si>
  <si>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</si>
  <si>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</si>
  <si>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</si>
  <si>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</si>
  <si>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</si>
  <si>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</si>
  <si>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</si>
  <si>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</si>
  <si>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</si>
  <si>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</si>
  <si>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</si>
  <si>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</si>
  <si>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</si>
  <si>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</si>
  <si>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</si>
  <si>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</si>
  <si>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</si>
  <si>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</si>
  <si>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</si>
  <si>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</si>
  <si>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</si>
  <si>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</si>
  <si>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</si>
  <si>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</si>
  <si>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</si>
  <si>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</si>
  <si>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</si>
  <si>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</si>
  <si>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</si>
  <si>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</si>
  <si>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</si>
  <si>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</si>
  <si>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</si>
  <si>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</si>
  <si>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</si>
  <si>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</si>
  <si>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</si>
  <si>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</si>
  <si>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</si>
  <si>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</si>
  <si>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</si>
  <si>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</si>
  <si>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</si>
  <si>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</si>
  <si>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</si>
  <si>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</si>
  <si>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</si>
  <si>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</si>
  <si>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</si>
  <si>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</si>
  <si>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</si>
  <si>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</si>
  <si>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</si>
  <si>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</si>
  <si>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</si>
  <si>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</si>
  <si>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</si>
  <si>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</si>
  <si>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</si>
  <si>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</si>
  <si>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</si>
  <si>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</si>
  <si>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</si>
  <si>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</si>
  <si>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</si>
  <si>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</si>
  <si>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</si>
  <si>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</si>
  <si>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</si>
  <si>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</si>
  <si>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</si>
  <si>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</si>
  <si>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</si>
  <si>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</si>
  <si>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</si>
  <si>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</si>
  <si>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</si>
  <si>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</si>
  <si>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</si>
  <si>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</si>
  <si>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</si>
  <si>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</si>
  <si>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</si>
  <si>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</si>
  <si>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</si>
  <si>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</si>
  <si>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</si>
  <si>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</si>
  <si>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</si>
  <si>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</si>
  <si>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</si>
  <si>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</si>
  <si>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</si>
  <si>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</si>
  <si>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</si>
  <si>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</si>
  <si>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</si>
  <si>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</si>
  <si>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</si>
  <si>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</si>
  <si>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</si>
  <si>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</si>
  <si>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</si>
  <si>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</si>
  <si>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</si>
  <si>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</si>
  <si>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</si>
  <si>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</si>
  <si>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</si>
  <si>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</si>
  <si>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</si>
  <si>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</si>
  <si>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</si>
  <si>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</si>
  <si>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</si>
  <si>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</si>
  <si>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</si>
  <si>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</si>
  <si>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</si>
  <si>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</si>
  <si>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</si>
  <si>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</si>
  <si>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</si>
  <si>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</si>
  <si>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</si>
  <si>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</si>
  <si>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</si>
  <si>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</si>
  <si>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</si>
  <si>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</si>
  <si>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</si>
  <si>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</si>
  <si>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</si>
  <si>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</si>
  <si>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</si>
  <si>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</si>
  <si>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</si>
  <si>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</si>
  <si>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</si>
  <si>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</si>
  <si>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</si>
  <si>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</si>
  <si>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</si>
  <si>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</si>
  <si>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</si>
  <si>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</si>
  <si>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</si>
  <si>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</si>
  <si>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</si>
  <si>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</si>
  <si>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</si>
  <si>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</si>
  <si>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</si>
  <si>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</si>
  <si>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</si>
  <si>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</si>
  <si>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</si>
  <si>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</si>
  <si>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</si>
  <si>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</si>
  <si>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</si>
  <si>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</si>
  <si>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</si>
  <si>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</si>
  <si>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</si>
  <si>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</si>
  <si>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</si>
  <si>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</si>
  <si>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</si>
  <si>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</si>
  <si>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</si>
  <si>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</si>
  <si>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</si>
  <si>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</si>
  <si>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</si>
  <si>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</si>
  <si>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</si>
  <si>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</si>
  <si>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</si>
  <si>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</si>
  <si>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</si>
  <si>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</si>
  <si>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</si>
  <si>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</si>
  <si>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</si>
  <si>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</si>
  <si>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</si>
  <si>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</si>
  <si>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</si>
  <si>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</si>
  <si>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</si>
  <si>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</si>
  <si>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</si>
  <si>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</si>
  <si>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</si>
  <si>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</si>
  <si>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</si>
  <si>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</si>
  <si>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</si>
  <si>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</si>
  <si>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</si>
  <si>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</si>
  <si>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</si>
  <si>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</si>
  <si>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</si>
  <si>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</si>
  <si>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</si>
  <si>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</si>
  <si>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</si>
  <si>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</si>
  <si>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</si>
  <si>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</si>
  <si>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</si>
  <si>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</si>
  <si>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</si>
  <si>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</si>
  <si>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</si>
  <si>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</si>
  <si>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</si>
  <si>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</si>
  <si>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</si>
  <si>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</si>
  <si>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</si>
  <si>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</si>
  <si>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</si>
  <si>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</si>
  <si>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</si>
  <si>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</si>
  <si>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</si>
  <si>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</si>
  <si>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</si>
  <si>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</si>
  <si>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</si>
  <si>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</si>
  <si>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</si>
  <si>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</si>
  <si>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</si>
  <si>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</si>
  <si>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</si>
  <si>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</si>
  <si>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</si>
  <si>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</si>
  <si>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</si>
  <si>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</si>
  <si>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</si>
  <si>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</si>
  <si>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</si>
  <si>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</si>
  <si>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</si>
  <si>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</si>
  <si>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</si>
  <si>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</si>
  <si>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</si>
  <si>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</si>
  <si>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</si>
  <si>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</si>
  <si>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</si>
  <si>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</si>
  <si>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</si>
  <si>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</si>
  <si>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</si>
  <si>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</si>
  <si>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</si>
  <si>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</si>
  <si>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</si>
  <si>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</si>
  <si>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</si>
  <si>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</si>
  <si>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</si>
  <si>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</si>
  <si>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</si>
  <si>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</si>
  <si>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</si>
  <si>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</si>
  <si>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</si>
  <si>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</si>
  <si>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</si>
  <si>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</si>
  <si>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</si>
  <si>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</si>
  <si>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</si>
  <si>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</si>
  <si>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</si>
  <si>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</si>
  <si>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</si>
  <si>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</si>
  <si>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</si>
  <si>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</si>
  <si>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</si>
  <si>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</si>
  <si>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</si>
  <si>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</si>
  <si>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</si>
  <si>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</si>
  <si>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</si>
  <si>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</si>
  <si>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</si>
  <si>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</si>
  <si>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</si>
  <si>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</si>
  <si>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</si>
  <si>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</si>
  <si>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</si>
  <si>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</si>
  <si>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</si>
  <si>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</si>
  <si>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</si>
  <si>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</si>
  <si>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</si>
  <si>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</si>
  <si>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</si>
  <si>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</si>
  <si>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</si>
  <si>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</si>
  <si>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</si>
  <si>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</si>
  <si>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</si>
  <si>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</si>
  <si>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</si>
  <si>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</si>
  <si>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</si>
  <si>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</si>
  <si>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</si>
  <si>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</si>
  <si>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</si>
  <si>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</si>
  <si>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</si>
  <si>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</si>
  <si>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</si>
  <si>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</si>
  <si>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</si>
  <si>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</si>
  <si>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</si>
  <si>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</si>
  <si>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</si>
  <si>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</si>
  <si>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</si>
  <si>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</si>
  <si>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</si>
  <si>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</si>
  <si>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</si>
  <si>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</si>
  <si>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</si>
  <si>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</si>
  <si>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</si>
  <si>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</si>
  <si>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</si>
  <si>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</si>
  <si>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</si>
  <si>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</si>
  <si>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</si>
  <si>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</si>
  <si>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</si>
  <si>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</si>
  <si>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</si>
  <si>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</si>
  <si>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</si>
  <si>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</si>
  <si>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</si>
  <si>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</si>
  <si>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</si>
  <si>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</si>
  <si>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</si>
  <si>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</si>
  <si>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</si>
  <si>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</si>
  <si>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</si>
  <si>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</si>
  <si>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</si>
  <si>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</si>
  <si>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</si>
  <si>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</si>
  <si>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</si>
  <si>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</si>
  <si>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</si>
  <si>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</si>
  <si>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</si>
  <si>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</si>
  <si>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</si>
  <si>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</si>
  <si>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</si>
  <si>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</si>
  <si>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</si>
  <si>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</si>
  <si>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</si>
  <si>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</si>
  <si>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</si>
  <si>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</si>
  <si>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</si>
  <si>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</si>
  <si>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</si>
  <si>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</si>
  <si>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</si>
  <si>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</si>
  <si>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</si>
  <si>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</si>
  <si>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</si>
  <si>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</si>
  <si>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</si>
  <si>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</si>
  <si>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</si>
  <si>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</si>
  <si>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</si>
  <si>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</si>
  <si>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</si>
  <si>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</si>
  <si>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</si>
  <si>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</si>
  <si>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</si>
  <si>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</si>
  <si>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</si>
  <si>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</si>
  <si>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</si>
  <si>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</si>
  <si>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</si>
  <si>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</si>
  <si>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</si>
  <si>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</si>
  <si>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</si>
  <si>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</si>
  <si>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</si>
  <si>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</si>
  <si>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</si>
  <si>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</si>
  <si>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</si>
  <si>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</si>
  <si>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</si>
  <si>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</si>
  <si>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</si>
  <si>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</si>
  <si>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</si>
  <si>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</si>
  <si>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</si>
  <si>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</si>
  <si>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</si>
  <si>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</si>
  <si>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</si>
  <si>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</si>
  <si>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</si>
  <si>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</si>
  <si>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</si>
  <si>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</si>
  <si>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</si>
  <si>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</si>
  <si>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</si>
  <si>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</si>
  <si>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</si>
  <si>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</si>
  <si>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</si>
  <si>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</si>
  <si>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</si>
  <si>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</si>
  <si>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</si>
  <si>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</si>
  <si>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</si>
  <si>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</si>
  <si>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</si>
  <si>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</si>
  <si>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</si>
  <si>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</si>
  <si>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</si>
  <si>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</si>
  <si>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</si>
  <si>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</si>
  <si>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</si>
  <si>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</si>
  <si>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</si>
  <si>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</si>
  <si>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</si>
  <si>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</si>
  <si>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</si>
  <si>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</si>
  <si>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</si>
  <si>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</si>
  <si>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</si>
  <si>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</si>
  <si>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</si>
  <si>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</si>
  <si>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</si>
  <si>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</si>
  <si>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</si>
  <si>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</si>
  <si>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</si>
  <si>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</si>
  <si>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</si>
  <si>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</si>
  <si>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</si>
  <si>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</si>
  <si>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</si>
  <si>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</si>
  <si>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</si>
  <si>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</si>
  <si>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</si>
  <si>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</si>
  <si>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</si>
  <si>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</si>
  <si>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</si>
  <si>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</si>
  <si>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</si>
  <si>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</si>
  <si>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</si>
  <si>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</si>
  <si>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</si>
  <si>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</si>
  <si>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</si>
  <si>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</si>
  <si>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</si>
  <si>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</si>
  <si>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</si>
  <si>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</si>
  <si>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</si>
  <si>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</si>
  <si>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</si>
  <si>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</si>
  <si>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</si>
  <si>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</si>
  <si>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</si>
  <si>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</si>
  <si>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</si>
  <si>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</si>
  <si>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</si>
  <si>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</si>
  <si>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</si>
  <si>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</si>
  <si>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</si>
  <si>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</si>
  <si>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</si>
  <si>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</si>
  <si>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</si>
  <si>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</si>
  <si>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</si>
  <si>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</si>
  <si>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</si>
  <si>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</si>
  <si>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</si>
  <si>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</si>
  <si>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</si>
  <si>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</si>
  <si>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</si>
  <si>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</si>
  <si>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</si>
  <si>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</si>
  <si>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</si>
  <si>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</si>
  <si>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</si>
  <si>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</si>
  <si>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</si>
  <si>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</si>
  <si>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</si>
  <si>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</si>
  <si>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</si>
  <si>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</si>
  <si>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</si>
  <si>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</si>
  <si>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</si>
  <si>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</si>
  <si>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</si>
  <si>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</si>
  <si>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</si>
  <si>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</si>
  <si>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</si>
  <si>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</si>
  <si>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</si>
  <si>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</si>
  <si>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</si>
  <si>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</si>
  <si>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</si>
  <si>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</si>
  <si>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</si>
  <si>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</si>
  <si>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</si>
  <si>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</si>
  <si>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</si>
  <si>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</si>
  <si>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</si>
  <si>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</si>
  <si>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</si>
  <si>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</si>
  <si>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</si>
  <si>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</si>
  <si>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</si>
  <si>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</si>
  <si>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</si>
  <si>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</si>
  <si>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</si>
  <si>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</si>
  <si>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</si>
  <si>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</si>
  <si>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</si>
  <si>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</si>
  <si>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</si>
  <si>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</si>
  <si>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</si>
  <si>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</si>
  <si>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</si>
  <si>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</si>
  <si>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</si>
  <si>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</si>
  <si>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</si>
  <si>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</si>
  <si>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</si>
  <si>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</si>
  <si>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</si>
  <si>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</si>
  <si>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</si>
  <si>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</si>
  <si>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</si>
  <si>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</si>
  <si>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</si>
  <si>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</si>
  <si>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</si>
  <si>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</si>
  <si>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</si>
  <si>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</si>
  <si>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</si>
  <si>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</si>
  <si>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</si>
  <si>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</si>
  <si>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</si>
  <si>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</si>
  <si>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</si>
  <si>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</si>
  <si>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</si>
  <si>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</si>
  <si>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</si>
  <si>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</si>
  <si>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</si>
  <si>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</si>
  <si>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</si>
  <si>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</si>
  <si>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</si>
  <si>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</si>
  <si>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</si>
  <si>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</si>
  <si>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</si>
  <si>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</si>
  <si>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</si>
  <si>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</si>
  <si>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</si>
  <si>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</si>
  <si>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</si>
  <si>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</si>
  <si>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</si>
  <si>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</si>
  <si>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</si>
  <si>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</si>
  <si>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</si>
  <si>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</si>
  <si>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</si>
  <si>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</si>
  <si>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</si>
  <si>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</si>
  <si>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</si>
  <si>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</si>
  <si>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</si>
  <si>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</si>
  <si>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</si>
  <si>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</si>
  <si>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</si>
  <si>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</si>
  <si>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</si>
  <si>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</si>
  <si>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</si>
  <si>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</si>
  <si>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</si>
  <si>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</si>
  <si>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</si>
  <si>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</si>
  <si>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</si>
  <si>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</si>
  <si>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</si>
  <si>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</si>
  <si>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</si>
  <si>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</si>
  <si>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</si>
  <si>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</si>
  <si>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</si>
  <si>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</si>
  <si>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</si>
  <si>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</si>
  <si>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</si>
  <si>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</si>
  <si>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</si>
  <si>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</si>
  <si>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</si>
  <si>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</si>
  <si>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</si>
  <si>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</si>
  <si>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</si>
  <si>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</si>
  <si>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</si>
  <si>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</si>
  <si>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</si>
  <si>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</si>
  <si>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</si>
  <si>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</si>
  <si>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</si>
  <si>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</si>
  <si>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</si>
  <si>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</si>
  <si>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</si>
  <si>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</si>
  <si>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</si>
  <si>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</si>
  <si>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</si>
  <si>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</si>
  <si>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</si>
  <si>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</si>
  <si>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</si>
  <si>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</si>
  <si>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</si>
  <si>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</si>
  <si>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</si>
  <si>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</si>
  <si>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</si>
  <si>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</si>
  <si>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</si>
  <si>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</si>
  <si>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</si>
  <si>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</si>
  <si>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</si>
  <si>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</si>
  <si>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</si>
  <si>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</si>
  <si>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</si>
  <si>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</si>
  <si>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</si>
  <si>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</si>
  <si>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</si>
  <si>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</si>
  <si>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</si>
  <si>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</si>
  <si>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</si>
  <si>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</si>
  <si>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</si>
  <si>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</si>
  <si>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</si>
  <si>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</si>
  <si>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</si>
  <si>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</si>
  <si>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</si>
  <si>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</si>
  <si>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</si>
  <si>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</si>
  <si>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</si>
  <si>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</si>
  <si>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</si>
  <si>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</si>
  <si>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</si>
  <si>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</si>
  <si>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</si>
  <si>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</si>
  <si>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</si>
  <si>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</si>
  <si>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</si>
  <si>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</si>
  <si>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</si>
  <si>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</si>
  <si>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</si>
  <si>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</si>
  <si>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</si>
  <si>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</si>
  <si>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</si>
  <si>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</si>
  <si>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</si>
  <si>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</si>
  <si>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</si>
  <si>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</si>
  <si>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</si>
  <si>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</si>
  <si>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</si>
  <si>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</si>
  <si>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</si>
  <si>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</si>
  <si>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</si>
  <si>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</si>
  <si>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</si>
  <si>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</si>
  <si>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</si>
  <si>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</si>
  <si>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</si>
  <si>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</si>
  <si>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</si>
  <si>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</si>
  <si>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</si>
  <si>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</si>
  <si>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</si>
  <si>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</si>
  <si>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</si>
  <si>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</si>
  <si>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</si>
  <si>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</si>
  <si>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</si>
  <si>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</si>
  <si>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</si>
  <si>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</si>
  <si>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</si>
  <si>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</si>
  <si>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</si>
  <si>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</si>
  <si>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</si>
  <si>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</si>
  <si>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</si>
  <si>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</si>
  <si>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</si>
  <si>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</si>
  <si>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</si>
  <si>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</si>
  <si>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</si>
  <si>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</si>
  <si>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</si>
  <si>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</si>
  <si>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</si>
  <si>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</si>
  <si>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</si>
  <si>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</si>
  <si>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</si>
  <si>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</si>
  <si>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</si>
  <si>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</si>
  <si>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</si>
  <si>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</si>
  <si>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</si>
  <si>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</si>
  <si>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</si>
  <si>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</si>
  <si>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</si>
  <si>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</si>
  <si>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</si>
  <si>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</si>
  <si>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</si>
  <si>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</si>
  <si>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</si>
  <si>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</si>
  <si>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</si>
  <si>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</si>
  <si>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</si>
  <si>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</si>
  <si>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</si>
  <si>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</si>
  <si>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</si>
  <si>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</si>
  <si>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</si>
  <si>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</si>
  <si>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</si>
  <si>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</si>
  <si>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</si>
  <si>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</si>
  <si>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</si>
  <si>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</si>
  <si>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</si>
  <si>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</si>
  <si>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</si>
  <si>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</si>
  <si>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</si>
  <si>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</si>
  <si>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</si>
  <si>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</si>
  <si>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</si>
  <si>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</si>
  <si>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</si>
  <si>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</si>
  <si>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</si>
  <si>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</si>
  <si>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</si>
  <si>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</si>
  <si>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</si>
  <si>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</si>
  <si>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</si>
  <si>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</si>
  <si>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</si>
  <si>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</si>
  <si>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</si>
  <si>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</si>
  <si>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</si>
  <si>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</si>
  <si>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</si>
  <si>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</si>
  <si>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</si>
  <si>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</si>
  <si>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</si>
  <si>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</si>
  <si>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</si>
  <si>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</si>
  <si>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</si>
  <si>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</si>
  <si>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</si>
  <si>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</si>
  <si>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</si>
  <si>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</si>
  <si>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</si>
  <si>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</si>
  <si>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</si>
  <si>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</si>
  <si>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</si>
  <si>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</si>
  <si>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</si>
  <si>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</si>
  <si>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</si>
  <si>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</si>
  <si>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</si>
  <si>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</si>
  <si>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</si>
  <si>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</si>
  <si>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</si>
  <si>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</si>
  <si>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</si>
  <si>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</si>
  <si>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</si>
  <si>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</si>
  <si>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</si>
  <si>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</si>
  <si>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</si>
  <si>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</si>
  <si>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</si>
  <si>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</si>
  <si>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</si>
  <si>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</si>
  <si>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</si>
  <si>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</si>
  <si>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</si>
  <si>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</si>
  <si>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</si>
  <si>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</si>
  <si>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</si>
  <si>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</si>
  <si>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</si>
  <si>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</si>
  <si>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</si>
  <si>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</si>
  <si>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</si>
  <si>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</si>
  <si>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</si>
  <si>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</si>
  <si>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</si>
  <si>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</si>
  <si>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</si>
  <si>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</si>
  <si>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</si>
  <si>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</si>
  <si>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</si>
  <si>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</si>
  <si>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</si>
  <si>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</si>
  <si>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</si>
  <si>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</si>
  <si>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</si>
  <si>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</si>
  <si>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</si>
  <si>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</si>
  <si>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</si>
  <si>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</si>
  <si>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</si>
  <si>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</si>
  <si>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</si>
  <si>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</si>
  <si>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</si>
  <si>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</si>
  <si>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</si>
  <si>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</si>
  <si>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</si>
  <si>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</si>
  <si>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</si>
  <si>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</si>
  <si>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</si>
  <si>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</si>
  <si>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</si>
  <si>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</si>
  <si>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</si>
  <si>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</si>
  <si>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</si>
  <si>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</si>
  <si>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</si>
  <si>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</si>
  <si>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</si>
  <si>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</si>
  <si>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</si>
  <si>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</si>
  <si>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</si>
  <si>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</si>
  <si>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</si>
  <si>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</si>
  <si>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</si>
  <si>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</si>
  <si>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</si>
  <si>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</si>
  <si>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</si>
  <si>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</si>
  <si>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</si>
  <si>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</si>
  <si>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</si>
  <si>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</si>
  <si>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</si>
  <si>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</si>
  <si>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</si>
  <si>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</si>
  <si>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</si>
  <si>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</si>
  <si>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</si>
  <si>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</si>
  <si>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</si>
  <si>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</si>
  <si>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</si>
  <si>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</si>
  <si>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</si>
  <si>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</si>
  <si>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</si>
  <si>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</si>
  <si>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</si>
  <si>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</si>
  <si>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</si>
  <si>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</si>
  <si>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</si>
  <si>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</si>
  <si>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</si>
  <si>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</si>
  <si>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</si>
  <si>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</si>
  <si>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</si>
  <si>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</si>
  <si>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</si>
  <si>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</si>
  <si>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</si>
  <si>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</si>
  <si>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</si>
  <si>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</si>
  <si>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</si>
  <si>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</si>
  <si>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</si>
  <si>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</si>
  <si>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</si>
  <si>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</si>
  <si>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</si>
  <si>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</si>
  <si>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</si>
  <si>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</si>
  <si>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</si>
  <si>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</si>
  <si>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</si>
  <si>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</si>
  <si>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</si>
  <si>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</si>
  <si>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</si>
  <si>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</si>
  <si>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</si>
  <si>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</si>
  <si>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</si>
  <si>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</si>
  <si>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</si>
  <si>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</si>
  <si>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</si>
  <si>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</si>
  <si>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</si>
  <si>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</si>
  <si>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</si>
  <si>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</si>
  <si>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</si>
  <si>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</si>
  <si>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</si>
  <si>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</si>
  <si>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</si>
  <si>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</si>
  <si>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</si>
  <si>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</si>
  <si>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</si>
  <si>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</si>
  <si>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</si>
  <si>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</si>
  <si>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</si>
  <si>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</si>
  <si>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</si>
  <si>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</si>
  <si>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</si>
  <si>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</si>
  <si>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</si>
  <si>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</si>
  <si>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</si>
  <si>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</si>
  <si>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</si>
  <si>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</si>
  <si>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</si>
  <si>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</si>
  <si>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</si>
  <si>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</si>
  <si>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</si>
  <si>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</si>
  <si>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</si>
  <si>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</si>
  <si>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</si>
  <si>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</si>
  <si>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</si>
  <si>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</si>
  <si>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</si>
  <si>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</si>
  <si>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</si>
  <si>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</si>
  <si>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</si>
  <si>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</si>
  <si>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</si>
  <si>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</si>
  <si>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</si>
  <si>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</si>
  <si>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</si>
  <si>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</si>
  <si>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</si>
  <si>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</si>
  <si>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</si>
  <si>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</si>
  <si>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</si>
  <si>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</si>
  <si>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</si>
  <si>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</si>
  <si>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</si>
  <si>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</si>
  <si>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</si>
  <si>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</si>
  <si>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</si>
  <si>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</si>
  <si>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</si>
  <si>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</si>
  <si>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</si>
  <si>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</si>
  <si>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</si>
  <si>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</si>
  <si>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</si>
  <si>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</si>
  <si>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</si>
  <si>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</si>
  <si>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</si>
  <si>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</si>
  <si>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</si>
  <si>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</si>
  <si>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</si>
  <si>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</si>
  <si>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</si>
  <si>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</si>
  <si>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</si>
  <si>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</si>
  <si>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</si>
  <si>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</si>
  <si>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</si>
  <si>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</si>
  <si>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</si>
  <si>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</si>
  <si>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</si>
  <si>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</si>
  <si>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</si>
  <si>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</si>
  <si>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</si>
  <si>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</si>
  <si>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</si>
  <si>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</si>
  <si>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</si>
  <si>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</si>
  <si>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</si>
  <si>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</si>
  <si>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</si>
  <si>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</si>
  <si>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</si>
  <si>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</si>
  <si>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</si>
  <si>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</si>
  <si>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</si>
  <si>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</si>
  <si>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</si>
  <si>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</si>
  <si>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</si>
  <si>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</si>
  <si>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</si>
  <si>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</si>
  <si>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</si>
  <si>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</si>
  <si>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</si>
  <si>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</si>
  <si>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</si>
  <si>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</si>
  <si>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</si>
  <si>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</si>
  <si>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</si>
  <si>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</si>
  <si>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</si>
  <si>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</si>
  <si>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</si>
  <si>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</si>
  <si>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</si>
  <si>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</si>
  <si>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</si>
  <si>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</si>
  <si>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</si>
  <si>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</si>
  <si>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</si>
  <si>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</si>
  <si>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</si>
  <si>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</si>
  <si>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</si>
  <si>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</si>
  <si>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</si>
  <si>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</si>
  <si>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</si>
  <si>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</si>
  <si>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</si>
  <si>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</si>
  <si>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</si>
  <si>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</si>
  <si>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</si>
  <si>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</si>
  <si>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</si>
  <si>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</si>
  <si>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</si>
  <si>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</si>
  <si>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</si>
  <si>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</si>
  <si>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</si>
  <si>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</si>
  <si>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</si>
  <si>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</si>
  <si>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</si>
  <si>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</si>
  <si>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</si>
  <si>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</si>
  <si>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</si>
  <si>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</si>
  <si>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</si>
  <si>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</si>
  <si>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</si>
  <si>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</si>
  <si>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</si>
  <si>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</si>
  <si>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</si>
  <si>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</si>
  <si>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</si>
  <si>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</si>
  <si>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</si>
  <si>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</si>
  <si>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</si>
  <si>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</si>
  <si>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</si>
  <si>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</si>
  <si>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</si>
  <si>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</si>
  <si>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</si>
  <si>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</si>
  <si>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</si>
  <si>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</si>
  <si>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</si>
  <si>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</si>
  <si>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</si>
  <si>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</si>
  <si>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</si>
  <si>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</si>
  <si>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</si>
  <si>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</si>
  <si>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</si>
  <si>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</si>
  <si>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</si>
  <si>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</si>
  <si>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</si>
  <si>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</si>
  <si>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</si>
  <si>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</si>
  <si>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</si>
  <si>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</si>
  <si>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</si>
  <si>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</si>
  <si>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</si>
  <si>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</si>
  <si>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</si>
  <si>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</si>
  <si>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</si>
  <si>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</si>
  <si>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</si>
  <si>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</si>
  <si>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</si>
  <si>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</si>
  <si>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</si>
  <si>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</si>
  <si>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</si>
  <si>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</si>
  <si>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</si>
  <si>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</si>
  <si>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</si>
  <si>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</si>
  <si>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</si>
  <si>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</si>
  <si>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</si>
  <si>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</si>
  <si>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</si>
  <si>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</si>
  <si>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</si>
  <si>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</si>
  <si>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</si>
  <si>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</si>
  <si>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</si>
  <si>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</si>
  <si>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</si>
  <si>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</si>
  <si>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</si>
  <si>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</si>
  <si>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</si>
  <si>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</si>
  <si>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</si>
  <si>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</si>
  <si>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</si>
  <si>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</si>
  <si>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</si>
  <si>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</si>
  <si>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</si>
  <si>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</si>
  <si>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</si>
  <si>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</si>
  <si>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</si>
  <si>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</si>
  <si>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</si>
  <si>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</si>
  <si>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</si>
  <si>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</si>
  <si>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</si>
  <si>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</si>
  <si>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</si>
  <si>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</si>
  <si>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</si>
  <si>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</si>
  <si>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</si>
  <si>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</si>
  <si>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</si>
  <si>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</si>
  <si>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</si>
  <si>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</si>
  <si>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</si>
  <si>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</si>
  <si>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</si>
  <si>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</si>
  <si>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</si>
  <si>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</si>
  <si>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</si>
  <si>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</si>
  <si>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</si>
  <si>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</si>
  <si>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</si>
  <si>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</si>
  <si>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</si>
  <si>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</si>
  <si>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</si>
  <si>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</si>
  <si>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</si>
  <si>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</si>
  <si>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</si>
  <si>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</si>
  <si>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</si>
  <si>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</si>
  <si>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</si>
  <si>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</si>
  <si>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</si>
  <si>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</si>
  <si>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</si>
  <si>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</si>
  <si>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</si>
  <si>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</si>
  <si>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</si>
  <si>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</si>
  <si>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</si>
  <si>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</si>
  <si>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</si>
  <si>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</si>
  <si>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</si>
  <si>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</si>
  <si>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</si>
  <si>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</si>
  <si>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</si>
  <si>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</si>
  <si>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</si>
  <si>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</si>
  <si>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</si>
  <si>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</si>
  <si>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</si>
  <si>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</si>
  <si>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</si>
  <si>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</si>
  <si>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</si>
  <si>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</si>
  <si>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</si>
  <si>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</si>
  <si>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</si>
  <si>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</si>
  <si>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</si>
  <si>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</si>
  <si>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</si>
  <si>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</si>
  <si>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</si>
  <si>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</si>
  <si>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</si>
  <si>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</si>
  <si>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</si>
  <si>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</si>
  <si>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</si>
  <si>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</si>
  <si>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</si>
  <si>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</si>
  <si>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</si>
  <si>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</si>
  <si>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</si>
  <si>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</si>
  <si>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</si>
  <si>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</si>
  <si>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</si>
  <si>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</si>
  <si>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</si>
  <si>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</si>
  <si>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</si>
  <si>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</si>
  <si>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</si>
  <si>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</si>
  <si>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</si>
  <si>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</si>
  <si>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</si>
  <si>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</si>
  <si>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</si>
  <si>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</si>
  <si>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</si>
  <si>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</si>
  <si>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</si>
  <si>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</si>
  <si>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</si>
  <si>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</si>
  <si>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</si>
  <si>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</si>
  <si>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</si>
  <si>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</si>
  <si>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</si>
  <si>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</si>
  <si>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</si>
  <si>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</si>
  <si>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</si>
  <si>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</si>
  <si>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</si>
  <si>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</si>
  <si>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</si>
  <si>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</si>
  <si>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</si>
  <si>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</si>
  <si>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</si>
  <si>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</si>
  <si>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</si>
  <si>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</si>
  <si>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</si>
  <si>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</si>
  <si>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</si>
  <si>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</si>
  <si>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</si>
  <si>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</si>
  <si>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</si>
  <si>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</si>
  <si>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</si>
  <si>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</si>
  <si>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</si>
  <si>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</si>
  <si>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</si>
  <si>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</si>
  <si>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</si>
  <si>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</si>
  <si>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</si>
  <si>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</si>
  <si>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</si>
  <si>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</si>
  <si>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</si>
  <si>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</si>
  <si>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</si>
  <si>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</si>
  <si>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</si>
  <si>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</si>
  <si>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</si>
  <si>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</si>
  <si>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</si>
  <si>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</si>
  <si>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</si>
  <si>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</si>
  <si>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</si>
  <si>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</si>
  <si>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</si>
  <si>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</si>
  <si>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</si>
  <si>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</si>
  <si>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</si>
  <si>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</si>
  <si>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</si>
  <si>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</si>
  <si>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</si>
  <si>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</si>
  <si>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</si>
  <si>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</si>
  <si>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</si>
  <si>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</si>
  <si>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</si>
  <si>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</si>
  <si>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</si>
  <si>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</si>
  <si>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</si>
  <si>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</si>
  <si>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</si>
  <si>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</si>
  <si>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</si>
  <si>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</si>
  <si>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</si>
  <si>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</si>
  <si>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</si>
  <si>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</si>
  <si>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</si>
  <si>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</si>
  <si>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</si>
  <si>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</si>
  <si>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</si>
  <si>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</si>
  <si>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</si>
  <si>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</si>
  <si>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</si>
  <si>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</si>
  <si>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</si>
  <si>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</si>
  <si>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</si>
  <si>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</si>
  <si>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</si>
  <si>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</si>
  <si>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</si>
  <si>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</si>
  <si>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</si>
  <si>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</si>
  <si>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</si>
  <si>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</si>
  <si>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</si>
  <si>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</si>
  <si>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</si>
  <si>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</si>
  <si>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</si>
  <si>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</si>
  <si>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</si>
  <si>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</si>
  <si>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</si>
  <si>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</si>
  <si>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</si>
  <si>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</si>
  <si>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</si>
  <si>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</si>
  <si>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</si>
  <si>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</si>
  <si>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</si>
  <si>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</si>
  <si>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</si>
  <si>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</si>
  <si>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</si>
  <si>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</si>
  <si>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</si>
  <si>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</si>
  <si>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</si>
  <si>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</si>
  <si>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</si>
  <si>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</si>
  <si>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</si>
  <si>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</si>
  <si>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</si>
  <si>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</si>
  <si>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</si>
  <si>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</si>
  <si>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</si>
  <si>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</si>
  <si>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</si>
  <si>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</si>
  <si>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</si>
  <si>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</si>
  <si>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</si>
  <si>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</si>
  <si>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</si>
  <si>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</si>
  <si>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</si>
  <si>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</si>
  <si>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</si>
  <si>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</si>
  <si>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</si>
  <si>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</si>
  <si>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</si>
  <si>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</si>
  <si>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</si>
  <si>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</si>
  <si>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</si>
  <si>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</si>
  <si>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</si>
  <si>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</si>
  <si>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</si>
  <si>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</si>
  <si>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</si>
  <si>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</si>
  <si>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</si>
  <si>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</si>
  <si>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</si>
  <si>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</si>
  <si>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</si>
  <si>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</si>
  <si>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</si>
  <si>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</si>
  <si>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</si>
  <si>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</si>
  <si>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</si>
  <si>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</si>
  <si>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</si>
  <si>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</si>
  <si>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</si>
  <si>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</si>
  <si>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</si>
  <si>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</si>
  <si>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</si>
  <si>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</si>
  <si>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</si>
  <si>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</si>
  <si>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</si>
  <si>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</si>
  <si>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</si>
  <si>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</si>
  <si>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</si>
  <si>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</si>
  <si>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</si>
  <si>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</si>
  <si>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</si>
  <si>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</si>
  <si>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</si>
  <si>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</si>
  <si>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</si>
  <si>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</si>
  <si>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</si>
  <si>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</si>
  <si>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</si>
  <si>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</si>
  <si>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</si>
  <si>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</si>
  <si>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</si>
  <si>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</si>
  <si>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</si>
  <si>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</si>
  <si>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</si>
  <si>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</si>
  <si>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</si>
  <si>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</si>
  <si>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</si>
  <si>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</si>
  <si>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</si>
  <si>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</si>
  <si>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</si>
  <si>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</si>
  <si>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</si>
  <si>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</si>
  <si>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</si>
  <si>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</si>
  <si>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</si>
  <si>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</si>
  <si>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</si>
  <si>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</si>
  <si>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</si>
  <si>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</si>
  <si>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</si>
  <si>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</si>
  <si>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</si>
  <si>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</si>
  <si>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</si>
  <si>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</si>
  <si>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</si>
  <si>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</si>
  <si>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</si>
  <si>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</si>
  <si>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</si>
  <si>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</si>
  <si>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</si>
  <si>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</si>
  <si>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</si>
  <si>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</si>
  <si>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</si>
  <si>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</si>
  <si>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</si>
  <si>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</si>
  <si>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</si>
  <si>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</si>
  <si>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</si>
  <si>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</si>
  <si>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</si>
  <si>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</si>
  <si>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</si>
  <si>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</si>
  <si>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</si>
  <si>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</si>
  <si>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</si>
  <si>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</si>
  <si>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</si>
  <si>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</si>
  <si>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</si>
  <si>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</si>
  <si>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</si>
  <si>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</si>
  <si>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</si>
  <si>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</si>
  <si>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</si>
  <si>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</si>
  <si>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</si>
  <si>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</si>
  <si>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</si>
  <si>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</si>
  <si>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</si>
  <si>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</si>
  <si>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</si>
  <si>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</si>
  <si>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</si>
  <si>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</si>
  <si>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</si>
  <si>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</si>
  <si>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</si>
  <si>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</si>
  <si>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</si>
  <si>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</si>
  <si>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</si>
  <si>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</si>
  <si>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</si>
  <si>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</si>
  <si>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</si>
  <si>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</si>
  <si>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</si>
  <si>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</si>
  <si>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</si>
  <si>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</si>
  <si>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</si>
  <si>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</si>
  <si>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</si>
  <si>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</si>
  <si>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</si>
  <si>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</si>
  <si>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</si>
  <si>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</si>
  <si>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</si>
  <si>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</si>
  <si>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</si>
  <si>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</si>
  <si>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</si>
  <si>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</si>
  <si>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</si>
  <si>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</si>
  <si>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</si>
  <si>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</si>
  <si>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</si>
  <si>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</si>
  <si>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</si>
  <si>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</si>
  <si>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</si>
  <si>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</si>
  <si>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</si>
  <si>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</si>
  <si>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</si>
  <si>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</si>
  <si>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</si>
  <si>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</si>
  <si>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</si>
  <si>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</si>
  <si>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</si>
  <si>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</si>
  <si>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</si>
  <si>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</si>
  <si>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</si>
  <si>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</si>
  <si>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</si>
  <si>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</si>
  <si>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</si>
  <si>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</si>
  <si>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</si>
  <si>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</si>
  <si>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</si>
  <si>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</si>
  <si>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</si>
  <si>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</si>
  <si>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</si>
  <si>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</si>
  <si>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</si>
  <si>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</si>
  <si>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</si>
  <si>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</si>
  <si>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</si>
  <si>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</si>
  <si>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</si>
  <si>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</si>
  <si>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</si>
  <si>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</si>
  <si>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</si>
  <si>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</si>
  <si>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</si>
  <si>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</si>
  <si>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</si>
  <si>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</si>
  <si>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</si>
  <si>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</si>
  <si>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</si>
  <si>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</si>
  <si>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</si>
  <si>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</si>
  <si>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</si>
  <si>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</si>
  <si>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</si>
  <si>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</si>
  <si>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</si>
  <si>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</si>
  <si>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</si>
  <si>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</si>
  <si>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</si>
  <si>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</si>
  <si>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</si>
  <si>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</si>
  <si>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</si>
  <si>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</si>
  <si>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</si>
  <si>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</si>
  <si>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</si>
  <si>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</si>
  <si>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</si>
  <si>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</si>
  <si>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</si>
  <si>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</si>
  <si>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</si>
  <si>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</si>
  <si>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</si>
  <si>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</si>
  <si>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</si>
  <si>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</si>
  <si>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</si>
  <si>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</si>
  <si>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</si>
  <si>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</si>
  <si>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</si>
  <si>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</si>
  <si>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</si>
  <si>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</si>
  <si>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</si>
  <si>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</si>
  <si>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</si>
  <si>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</si>
  <si>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</si>
  <si>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</si>
  <si>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</si>
  <si>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</si>
  <si>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</si>
  <si>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</si>
  <si>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</si>
  <si>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</si>
  <si>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</si>
  <si>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</si>
  <si>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</si>
  <si>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</si>
  <si>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</si>
  <si>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</si>
  <si>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</si>
  <si>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</si>
  <si>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</si>
  <si>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</si>
  <si>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</si>
  <si>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</si>
  <si>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</si>
  <si>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</si>
  <si>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</si>
  <si>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</si>
  <si>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</si>
  <si>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</si>
  <si>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</si>
  <si>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</si>
  <si>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</si>
  <si>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</si>
  <si>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</si>
  <si>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</si>
  <si>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</si>
  <si>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</si>
  <si>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</si>
  <si>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</si>
  <si>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</si>
  <si>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</si>
  <si>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</si>
  <si>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</si>
  <si>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</si>
  <si>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</si>
  <si>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</si>
  <si>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</si>
  <si>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</si>
  <si>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</si>
  <si>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</si>
  <si>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</si>
  <si>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</si>
  <si>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</si>
  <si>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</si>
  <si>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</si>
  <si>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</si>
  <si>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</si>
  <si>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</si>
  <si>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</si>
  <si>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</si>
  <si>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</si>
  <si>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</si>
  <si>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</si>
  <si>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</si>
  <si>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</si>
  <si>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</si>
  <si>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</si>
  <si>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</si>
  <si>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</si>
  <si>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</si>
  <si>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</si>
  <si>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</si>
  <si>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</si>
  <si>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</si>
  <si>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</si>
  <si>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</si>
  <si>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</si>
  <si>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</si>
  <si>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</si>
  <si>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</si>
  <si>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</si>
  <si>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</si>
  <si>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</si>
  <si>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</si>
  <si>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</si>
  <si>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</si>
  <si>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</si>
  <si>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</si>
  <si>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</si>
  <si>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</si>
  <si>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</si>
  <si>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</si>
  <si>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</si>
  <si>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</si>
  <si>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</si>
  <si>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</si>
  <si>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</si>
  <si>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</si>
  <si>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</si>
  <si>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</si>
  <si>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</si>
  <si>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</si>
  <si>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</si>
  <si>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</si>
  <si>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</si>
  <si>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</si>
  <si>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</si>
  <si>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</si>
  <si>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</si>
  <si>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</si>
  <si>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</si>
  <si>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</si>
  <si>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</si>
  <si>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</si>
  <si>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</si>
  <si>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</si>
  <si>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</si>
  <si>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</si>
  <si>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</si>
  <si>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</si>
  <si>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</si>
  <si>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</si>
  <si>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</si>
  <si>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</si>
  <si>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</si>
  <si>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</si>
  <si>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</si>
  <si>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</si>
  <si>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</si>
  <si>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</si>
  <si>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</si>
  <si>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</si>
  <si>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</si>
  <si>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</si>
  <si>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</si>
  <si>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</si>
  <si>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</si>
  <si>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</si>
  <si>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</si>
  <si>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</si>
  <si>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</si>
  <si>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</si>
  <si>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</si>
  <si>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</si>
  <si>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</si>
  <si>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</si>
  <si>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</si>
  <si>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</si>
  <si>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</si>
  <si>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</si>
  <si>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</si>
  <si>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</si>
  <si>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</si>
  <si>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</si>
  <si>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</si>
  <si>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</si>
  <si>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</si>
  <si>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</si>
  <si>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</si>
  <si>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</si>
  <si>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</si>
  <si>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</si>
  <si>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</si>
  <si>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</si>
  <si>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</si>
  <si>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</si>
  <si>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</si>
  <si>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</si>
  <si>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</si>
  <si>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</si>
  <si>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</si>
  <si>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</si>
  <si>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</si>
  <si>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</si>
  <si>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</si>
  <si>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</si>
  <si>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</si>
  <si>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</si>
  <si>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</si>
  <si>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</si>
  <si>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</si>
  <si>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</si>
  <si>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</si>
  <si>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</si>
  <si>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</si>
  <si>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</si>
  <si>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</si>
  <si>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</si>
  <si>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</si>
  <si>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</si>
  <si>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</si>
  <si>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</si>
  <si>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</si>
  <si>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</si>
  <si>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</si>
  <si>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</si>
  <si>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</si>
  <si>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</si>
  <si>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</si>
  <si>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</si>
  <si>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</si>
  <si>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</si>
  <si>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</si>
  <si>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</si>
  <si>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</si>
  <si>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</si>
  <si>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</si>
  <si>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</si>
  <si>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</si>
  <si>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</si>
  <si>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</si>
  <si>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</si>
  <si>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现房</t>
  </si>
  <si>
    <t>是</t>
  </si>
  <si>
    <t>地上</t>
  </si>
  <si>
    <t>办公楼</t>
  </si>
  <si>
    <t>成新度</t>
  </si>
  <si>
    <t>押一</t>
  </si>
  <si>
    <t>钢混</t>
  </si>
  <si>
    <t>非生产用房</t>
  </si>
  <si>
    <t>收益法 (元)</t>
  </si>
  <si>
    <t>比较法-工业</t>
  </si>
  <si>
    <t>楼面单价</t>
  </si>
  <si>
    <t>收益比率</t>
  </si>
  <si>
    <t>售价</t>
  </si>
  <si>
    <t>独栋，地上1层，地下1层，单价5500左右</t>
    <phoneticPr fontId="134" type="noConversion"/>
  </si>
  <si>
    <r>
      <t>基本都是整栋卖，有一套3</t>
    </r>
    <r>
      <rPr>
        <sz val="11"/>
        <color theme="1"/>
        <rFont val="宋体"/>
        <family val="3"/>
        <charset val="134"/>
        <scheme val="minor"/>
      </rPr>
      <t>00多平的，单价8000左右</t>
    </r>
    <phoneticPr fontId="134" type="noConversion"/>
  </si>
  <si>
    <t>在3层，层高7.9米，可做二层，毛坯，租金全含1.3块</t>
    <phoneticPr fontId="13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</si>
  <si>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</si>
  <si>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</si>
  <si>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</si>
  <si>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</si>
  <si>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</si>
  <si>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</si>
  <si>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</si>
  <si>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</si>
  <si>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</si>
  <si>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</si>
  <si>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</si>
  <si>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</si>
  <si>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</si>
  <si>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</si>
  <si>
    <t>五通</t>
    <phoneticPr fontId="31" type="noConversion"/>
  </si>
  <si>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</si>
  <si>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</si>
  <si>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</si>
  <si>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</si>
  <si>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</si>
  <si>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</si>
  <si>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</si>
  <si>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</si>
  <si>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工业</t>
    <phoneticPr fontId="31" type="noConversion"/>
  </si>
  <si>
    <t>单套模式</t>
  </si>
  <si>
    <t>层高</t>
    <phoneticPr fontId="31" type="noConversion"/>
  </si>
  <si>
    <t>较高层高</t>
  </si>
  <si>
    <t>标准层高</t>
  </si>
  <si>
    <t>标准层高</t>
    <phoneticPr fontId="31" type="noConversion"/>
  </si>
  <si>
    <t>自定义容积率</t>
  </si>
  <si>
    <t>不临65条商业街</t>
  </si>
  <si>
    <t>与级别开发程度一致</t>
  </si>
  <si>
    <t>通路</t>
  </si>
  <si>
    <t>通电</t>
  </si>
  <si>
    <t>通讯</t>
  </si>
  <si>
    <t>通上水</t>
  </si>
  <si>
    <t>通下水</t>
  </si>
  <si>
    <t>平整</t>
  </si>
  <si>
    <t>一般</t>
  </si>
  <si>
    <t>较好</t>
  </si>
  <si>
    <t>较差</t>
  </si>
  <si>
    <t>未包含在土地购买价格中</t>
  </si>
  <si>
    <t>已包含在土地取得成本中</t>
  </si>
  <si>
    <t>层高</t>
    <phoneticPr fontId="3" type="noConversion"/>
  </si>
  <si>
    <t>建筑面积</t>
    <phoneticPr fontId="134" type="noConversion"/>
  </si>
  <si>
    <t>租赁面积</t>
    <phoneticPr fontId="134" type="noConversion"/>
  </si>
  <si>
    <t>租赁终止日</t>
    <phoneticPr fontId="134" type="noConversion"/>
  </si>
  <si>
    <t>租赁起始日</t>
    <phoneticPr fontId="134" type="noConversion"/>
  </si>
  <si>
    <t>10年总租金（含税，不含物业费）</t>
    <phoneticPr fontId="134" type="noConversion"/>
  </si>
  <si>
    <t>日租金</t>
    <phoneticPr fontId="134" type="noConversion"/>
  </si>
  <si>
    <t>天数</t>
    <phoneticPr fontId="134" type="noConversion"/>
  </si>
  <si>
    <t>郑燚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</si>
  <si>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r>
      <rPr>
        <sz val="10"/>
        <color theme="9" tint="-0.249977111117893"/>
        <rFont val="宋体"/>
        <family val="3"/>
        <charset val="134"/>
      </rPr>
      <t>、</t>
    </r>
    <r>
      <rPr>
        <sz val="10"/>
        <color theme="9" tint="-0.249977111117893"/>
        <rFont val="Arial"/>
        <family val="2"/>
      </rPr>
      <t>203</t>
    </r>
    <r>
      <rPr>
        <sz val="10"/>
        <color theme="9" tint="-0.249977111117893"/>
        <rFont val="宋体"/>
        <family val="3"/>
        <charset val="134"/>
      </rPr>
      <t>工业用房</t>
    </r>
    <phoneticPr fontId="6" type="noConversion"/>
  </si>
  <si>
    <t>红金龙国际企业港</t>
    <phoneticPr fontId="3" type="noConversion"/>
  </si>
  <si>
    <t>长子营镇</t>
    <phoneticPr fontId="3" type="noConversion"/>
  </si>
  <si>
    <t>联东U谷西区</t>
    <phoneticPr fontId="3" type="noConversion"/>
  </si>
  <si>
    <t>联东U谷中区</t>
    <phoneticPr fontId="3" type="noConversion"/>
  </si>
  <si>
    <t>好</t>
  </si>
  <si>
    <t>工业201</t>
  </si>
  <si>
    <t>工业201</t>
    <phoneticPr fontId="7" type="noConversion"/>
  </si>
  <si>
    <t>工业立项办公楼</t>
  </si>
  <si>
    <t>工业立项办公楼</t>
    <phoneticPr fontId="31" type="noConversion"/>
  </si>
  <si>
    <t>单套</t>
    <phoneticPr fontId="3" type="noConversion"/>
  </si>
  <si>
    <t>整栋</t>
    <phoneticPr fontId="3" type="noConversion"/>
  </si>
  <si>
    <t>单套</t>
    <phoneticPr fontId="31" type="noConversion"/>
  </si>
  <si>
    <t>整栋</t>
    <phoneticPr fontId="31" type="noConversion"/>
  </si>
  <si>
    <t>标准层高</t>
    <phoneticPr fontId="31" type="noConversion"/>
  </si>
  <si>
    <t>销售类型</t>
    <phoneticPr fontId="31" type="noConversion"/>
  </si>
  <si>
    <t>超高层高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</si>
</sst>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0" fontId="44"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4" fontId="0" fillId="0" borderId="0" xfId="0" applyNumberFormat="1">
      <alignment vertical="center"/>
    </xf>
    <xf numFmtId="178" fontId="0" fillId="0" borderId="0" xfId="0" applyNumberFormat="1">
      <alignment vertical="center"/>
    </xf>
    <xf numFmtId="0" fontId="128"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94" fillId="22" borderId="37" xfId="0" applyFont="1" applyFill="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9</xdr:col>
      <xdr:colOff>609600</xdr:colOff>
      <xdr:row>18</xdr:row>
      <xdr:rowOff>155683</xdr:rowOff>
    </xdr:to>
    <xdr:pic>
      <xdr:nvPicPr>
        <xdr:cNvPr id="2" name="图片 1">
          <a:extLst>
            <a:ext uri="{FF2B5EF4-FFF2-40B4-BE49-F238E27FC236}">
              <a16:creationId xmlns:a16="http://schemas.microsoft.com/office/drawing/2014/main" xmlns="" id="{5D829ACF-66E4-01BA-7A3C-45A3092610E6}"/>
            </a:ext>
          </a:extLst>
        </xdr:cNvPr>
        <xdr:cNvPicPr>
          <a:picLocks noChangeAspect="1"/>
        </xdr:cNvPicPr>
      </xdr:nvPicPr>
      <xdr:blipFill>
        <a:blip xmlns:r="http://schemas.openxmlformats.org/officeDocument/2006/relationships" r:embed="rId1"/>
        <a:stretch>
          <a:fillRect/>
        </a:stretch>
      </xdr:blipFill>
      <xdr:spPr>
        <a:xfrm>
          <a:off x="0" y="85726"/>
          <a:ext cx="6781800" cy="3156057"/>
        </a:xfrm>
        <a:prstGeom prst="rect">
          <a:avLst/>
        </a:prstGeom>
      </xdr:spPr>
    </xdr:pic>
    <xdr:clientData/>
  </xdr:twoCellAnchor>
  <xdr:twoCellAnchor editAs="oneCell">
    <xdr:from>
      <xdr:col>0</xdr:col>
      <xdr:colOff>47624</xdr:colOff>
      <xdr:row>20</xdr:row>
      <xdr:rowOff>9526</xdr:rowOff>
    </xdr:from>
    <xdr:to>
      <xdr:col>9</xdr:col>
      <xdr:colOff>323849</xdr:colOff>
      <xdr:row>37</xdr:row>
      <xdr:rowOff>44920</xdr:rowOff>
    </xdr:to>
    <xdr:pic>
      <xdr:nvPicPr>
        <xdr:cNvPr id="3" name="图片 2">
          <a:extLst>
            <a:ext uri="{FF2B5EF4-FFF2-40B4-BE49-F238E27FC236}">
              <a16:creationId xmlns:a16="http://schemas.microsoft.com/office/drawing/2014/main" xmlns="" id="{A5697EFA-FBAB-8927-E2F3-35FED0D7E694}"/>
            </a:ext>
          </a:extLst>
        </xdr:cNvPr>
        <xdr:cNvPicPr>
          <a:picLocks noChangeAspect="1"/>
        </xdr:cNvPicPr>
      </xdr:nvPicPr>
      <xdr:blipFill>
        <a:blip xmlns:r="http://schemas.openxmlformats.org/officeDocument/2006/relationships" r:embed="rId2"/>
        <a:stretch>
          <a:fillRect/>
        </a:stretch>
      </xdr:blipFill>
      <xdr:spPr>
        <a:xfrm>
          <a:off x="47624" y="3438526"/>
          <a:ext cx="6448425" cy="2950044"/>
        </a:xfrm>
        <a:prstGeom prst="rect">
          <a:avLst/>
        </a:prstGeom>
      </xdr:spPr>
    </xdr:pic>
    <xdr:clientData/>
  </xdr:twoCellAnchor>
  <xdr:twoCellAnchor editAs="oneCell">
    <xdr:from>
      <xdr:col>0</xdr:col>
      <xdr:colOff>0</xdr:colOff>
      <xdr:row>37</xdr:row>
      <xdr:rowOff>133351</xdr:rowOff>
    </xdr:from>
    <xdr:to>
      <xdr:col>9</xdr:col>
      <xdr:colOff>581025</xdr:colOff>
      <xdr:row>55</xdr:row>
      <xdr:rowOff>73435</xdr:rowOff>
    </xdr:to>
    <xdr:pic>
      <xdr:nvPicPr>
        <xdr:cNvPr id="4" name="图片 3">
          <a:extLst>
            <a:ext uri="{FF2B5EF4-FFF2-40B4-BE49-F238E27FC236}">
              <a16:creationId xmlns:a16="http://schemas.microsoft.com/office/drawing/2014/main" xmlns="" id="{C85169D2-2895-4F03-1C03-8003D70B8935}"/>
            </a:ext>
          </a:extLst>
        </xdr:cNvPr>
        <xdr:cNvPicPr>
          <a:picLocks noChangeAspect="1"/>
        </xdr:cNvPicPr>
      </xdr:nvPicPr>
      <xdr:blipFill>
        <a:blip xmlns:r="http://schemas.openxmlformats.org/officeDocument/2006/relationships" r:embed="rId3"/>
        <a:stretch>
          <a:fillRect/>
        </a:stretch>
      </xdr:blipFill>
      <xdr:spPr>
        <a:xfrm>
          <a:off x="0" y="6477001"/>
          <a:ext cx="6753225" cy="3026184"/>
        </a:xfrm>
        <a:prstGeom prst="rect">
          <a:avLst/>
        </a:prstGeom>
      </xdr:spPr>
    </xdr:pic>
    <xdr:clientData/>
  </xdr:twoCellAnchor>
  <xdr:twoCellAnchor editAs="oneCell">
    <xdr:from>
      <xdr:col>0</xdr:col>
      <xdr:colOff>0</xdr:colOff>
      <xdr:row>168</xdr:row>
      <xdr:rowOff>123825</xdr:rowOff>
    </xdr:from>
    <xdr:to>
      <xdr:col>12</xdr:col>
      <xdr:colOff>28575</xdr:colOff>
      <xdr:row>195</xdr:row>
      <xdr:rowOff>160660</xdr:rowOff>
    </xdr:to>
    <xdr:pic>
      <xdr:nvPicPr>
        <xdr:cNvPr id="5" name="图片 4">
          <a:extLst>
            <a:ext uri="{FF2B5EF4-FFF2-40B4-BE49-F238E27FC236}">
              <a16:creationId xmlns:a16="http://schemas.microsoft.com/office/drawing/2014/main" xmlns="" id="{DF591BDD-1213-DAAD-E360-608870E80033}"/>
            </a:ext>
          </a:extLst>
        </xdr:cNvPr>
        <xdr:cNvPicPr>
          <a:picLocks noChangeAspect="1"/>
        </xdr:cNvPicPr>
      </xdr:nvPicPr>
      <xdr:blipFill>
        <a:blip xmlns:r="http://schemas.openxmlformats.org/officeDocument/2006/relationships" r:embed="rId4"/>
        <a:stretch>
          <a:fillRect/>
        </a:stretch>
      </xdr:blipFill>
      <xdr:spPr>
        <a:xfrm>
          <a:off x="0" y="13325475"/>
          <a:ext cx="8258175" cy="4665985"/>
        </a:xfrm>
        <a:prstGeom prst="rect">
          <a:avLst/>
        </a:prstGeom>
      </xdr:spPr>
    </xdr:pic>
    <xdr:clientData/>
  </xdr:twoCellAnchor>
  <xdr:twoCellAnchor editAs="oneCell">
    <xdr:from>
      <xdr:col>0</xdr:col>
      <xdr:colOff>0</xdr:colOff>
      <xdr:row>197</xdr:row>
      <xdr:rowOff>152400</xdr:rowOff>
    </xdr:from>
    <xdr:to>
      <xdr:col>11</xdr:col>
      <xdr:colOff>647700</xdr:colOff>
      <xdr:row>222</xdr:row>
      <xdr:rowOff>132405</xdr:rowOff>
    </xdr:to>
    <xdr:pic>
      <xdr:nvPicPr>
        <xdr:cNvPr id="6" name="图片 5">
          <a:extLst>
            <a:ext uri="{FF2B5EF4-FFF2-40B4-BE49-F238E27FC236}">
              <a16:creationId xmlns:a16="http://schemas.microsoft.com/office/drawing/2014/main" xmlns="" id="{850D6EFE-86A6-66C5-4527-3D15EFBF7442}"/>
            </a:ext>
          </a:extLst>
        </xdr:cNvPr>
        <xdr:cNvPicPr>
          <a:picLocks noChangeAspect="1"/>
        </xdr:cNvPicPr>
      </xdr:nvPicPr>
      <xdr:blipFill>
        <a:blip xmlns:r="http://schemas.openxmlformats.org/officeDocument/2006/relationships" r:embed="rId5"/>
        <a:stretch>
          <a:fillRect/>
        </a:stretch>
      </xdr:blipFill>
      <xdr:spPr>
        <a:xfrm>
          <a:off x="0" y="18326100"/>
          <a:ext cx="8191500" cy="4266255"/>
        </a:xfrm>
        <a:prstGeom prst="rect">
          <a:avLst/>
        </a:prstGeom>
      </xdr:spPr>
    </xdr:pic>
    <xdr:clientData/>
  </xdr:twoCellAnchor>
  <xdr:twoCellAnchor editAs="oneCell">
    <xdr:from>
      <xdr:col>0</xdr:col>
      <xdr:colOff>0</xdr:colOff>
      <xdr:row>303</xdr:row>
      <xdr:rowOff>76200</xdr:rowOff>
    </xdr:from>
    <xdr:to>
      <xdr:col>11</xdr:col>
      <xdr:colOff>238125</xdr:colOff>
      <xdr:row>323</xdr:row>
      <xdr:rowOff>26817</xdr:rowOff>
    </xdr:to>
    <xdr:pic>
      <xdr:nvPicPr>
        <xdr:cNvPr id="7" name="图片 6">
          <a:extLst>
            <a:ext uri="{FF2B5EF4-FFF2-40B4-BE49-F238E27FC236}">
              <a16:creationId xmlns:a16="http://schemas.microsoft.com/office/drawing/2014/main" xmlns="" id="{94A7F473-997B-FC21-D6E5-D188EE49D6C3}"/>
            </a:ext>
          </a:extLst>
        </xdr:cNvPr>
        <xdr:cNvPicPr>
          <a:picLocks noChangeAspect="1"/>
        </xdr:cNvPicPr>
      </xdr:nvPicPr>
      <xdr:blipFill>
        <a:blip xmlns:r="http://schemas.openxmlformats.org/officeDocument/2006/relationships" r:embed="rId6"/>
        <a:stretch>
          <a:fillRect/>
        </a:stretch>
      </xdr:blipFill>
      <xdr:spPr>
        <a:xfrm>
          <a:off x="0" y="22879050"/>
          <a:ext cx="7781925" cy="3379617"/>
        </a:xfrm>
        <a:prstGeom prst="rect">
          <a:avLst/>
        </a:prstGeom>
      </xdr:spPr>
    </xdr:pic>
    <xdr:clientData/>
  </xdr:twoCellAnchor>
  <xdr:twoCellAnchor editAs="oneCell">
    <xdr:from>
      <xdr:col>0</xdr:col>
      <xdr:colOff>0</xdr:colOff>
      <xdr:row>324</xdr:row>
      <xdr:rowOff>0</xdr:rowOff>
    </xdr:from>
    <xdr:to>
      <xdr:col>10</xdr:col>
      <xdr:colOff>246762</xdr:colOff>
      <xdr:row>359</xdr:row>
      <xdr:rowOff>132583</xdr:rowOff>
    </xdr:to>
    <xdr:pic>
      <xdr:nvPicPr>
        <xdr:cNvPr id="8" name="图片 7">
          <a:extLst>
            <a:ext uri="{FF2B5EF4-FFF2-40B4-BE49-F238E27FC236}">
              <a16:creationId xmlns:a16="http://schemas.microsoft.com/office/drawing/2014/main" xmlns="" id="{5417B6AD-CCBF-94E6-FADE-910A3FB21768}"/>
            </a:ext>
          </a:extLst>
        </xdr:cNvPr>
        <xdr:cNvPicPr>
          <a:picLocks noChangeAspect="1"/>
        </xdr:cNvPicPr>
      </xdr:nvPicPr>
      <xdr:blipFill>
        <a:blip xmlns:r="http://schemas.openxmlformats.org/officeDocument/2006/relationships" r:embed="rId7"/>
        <a:stretch>
          <a:fillRect/>
        </a:stretch>
      </xdr:blipFill>
      <xdr:spPr>
        <a:xfrm>
          <a:off x="0" y="26403300"/>
          <a:ext cx="7104762" cy="6133333"/>
        </a:xfrm>
        <a:prstGeom prst="rect">
          <a:avLst/>
        </a:prstGeom>
      </xdr:spPr>
    </xdr:pic>
    <xdr:clientData/>
  </xdr:twoCellAnchor>
  <xdr:twoCellAnchor editAs="oneCell">
    <xdr:from>
      <xdr:col>0</xdr:col>
      <xdr:colOff>0</xdr:colOff>
      <xdr:row>361</xdr:row>
      <xdr:rowOff>0</xdr:rowOff>
    </xdr:from>
    <xdr:to>
      <xdr:col>5</xdr:col>
      <xdr:colOff>656714</xdr:colOff>
      <xdr:row>394</xdr:row>
      <xdr:rowOff>94531</xdr:rowOff>
    </xdr:to>
    <xdr:pic>
      <xdr:nvPicPr>
        <xdr:cNvPr id="9" name="图片 8">
          <a:extLst>
            <a:ext uri="{FF2B5EF4-FFF2-40B4-BE49-F238E27FC236}">
              <a16:creationId xmlns:a16="http://schemas.microsoft.com/office/drawing/2014/main" xmlns="" id="{04528206-CE75-F8E6-0810-A01BABC24A6E}"/>
            </a:ext>
          </a:extLst>
        </xdr:cNvPr>
        <xdr:cNvPicPr>
          <a:picLocks noChangeAspect="1"/>
        </xdr:cNvPicPr>
      </xdr:nvPicPr>
      <xdr:blipFill>
        <a:blip xmlns:r="http://schemas.openxmlformats.org/officeDocument/2006/relationships" r:embed="rId8"/>
        <a:stretch>
          <a:fillRect/>
        </a:stretch>
      </xdr:blipFill>
      <xdr:spPr>
        <a:xfrm>
          <a:off x="0" y="32746950"/>
          <a:ext cx="4085714" cy="5752381"/>
        </a:xfrm>
        <a:prstGeom prst="rect">
          <a:avLst/>
        </a:prstGeom>
      </xdr:spPr>
    </xdr:pic>
    <xdr:clientData/>
  </xdr:twoCellAnchor>
  <xdr:twoCellAnchor editAs="oneCell">
    <xdr:from>
      <xdr:col>6</xdr:col>
      <xdr:colOff>0</xdr:colOff>
      <xdr:row>361</xdr:row>
      <xdr:rowOff>0</xdr:rowOff>
    </xdr:from>
    <xdr:to>
      <xdr:col>12</xdr:col>
      <xdr:colOff>75676</xdr:colOff>
      <xdr:row>386</xdr:row>
      <xdr:rowOff>170893</xdr:rowOff>
    </xdr:to>
    <xdr:pic>
      <xdr:nvPicPr>
        <xdr:cNvPr id="10" name="图片 9">
          <a:extLst>
            <a:ext uri="{FF2B5EF4-FFF2-40B4-BE49-F238E27FC236}">
              <a16:creationId xmlns:a16="http://schemas.microsoft.com/office/drawing/2014/main" xmlns="" id="{9F64B9E7-8EC4-62BF-F0E9-68FD84664951}"/>
            </a:ext>
          </a:extLst>
        </xdr:cNvPr>
        <xdr:cNvPicPr>
          <a:picLocks noChangeAspect="1"/>
        </xdr:cNvPicPr>
      </xdr:nvPicPr>
      <xdr:blipFill>
        <a:blip xmlns:r="http://schemas.openxmlformats.org/officeDocument/2006/relationships" r:embed="rId9"/>
        <a:stretch>
          <a:fillRect/>
        </a:stretch>
      </xdr:blipFill>
      <xdr:spPr>
        <a:xfrm>
          <a:off x="4114800" y="32746950"/>
          <a:ext cx="4190476" cy="4457143"/>
        </a:xfrm>
        <a:prstGeom prst="rect">
          <a:avLst/>
        </a:prstGeom>
      </xdr:spPr>
    </xdr:pic>
    <xdr:clientData/>
  </xdr:twoCellAnchor>
  <xdr:twoCellAnchor editAs="oneCell">
    <xdr:from>
      <xdr:col>12</xdr:col>
      <xdr:colOff>123825</xdr:colOff>
      <xdr:row>361</xdr:row>
      <xdr:rowOff>0</xdr:rowOff>
    </xdr:from>
    <xdr:to>
      <xdr:col>18</xdr:col>
      <xdr:colOff>209025</xdr:colOff>
      <xdr:row>393</xdr:row>
      <xdr:rowOff>75505</xdr:rowOff>
    </xdr:to>
    <xdr:pic>
      <xdr:nvPicPr>
        <xdr:cNvPr id="11" name="图片 10">
          <a:extLst>
            <a:ext uri="{FF2B5EF4-FFF2-40B4-BE49-F238E27FC236}">
              <a16:creationId xmlns:a16="http://schemas.microsoft.com/office/drawing/2014/main" xmlns="" id="{6C9CB34A-BB40-38C6-471A-08AF0BEB455E}"/>
            </a:ext>
          </a:extLst>
        </xdr:cNvPr>
        <xdr:cNvPicPr>
          <a:picLocks noChangeAspect="1"/>
        </xdr:cNvPicPr>
      </xdr:nvPicPr>
      <xdr:blipFill>
        <a:blip xmlns:r="http://schemas.openxmlformats.org/officeDocument/2006/relationships" r:embed="rId10"/>
        <a:stretch>
          <a:fillRect/>
        </a:stretch>
      </xdr:blipFill>
      <xdr:spPr>
        <a:xfrm>
          <a:off x="8353425" y="32746950"/>
          <a:ext cx="4200000" cy="5561905"/>
        </a:xfrm>
        <a:prstGeom prst="rect">
          <a:avLst/>
        </a:prstGeom>
      </xdr:spPr>
    </xdr:pic>
    <xdr:clientData/>
  </xdr:twoCellAnchor>
  <xdr:twoCellAnchor editAs="oneCell">
    <xdr:from>
      <xdr:col>0</xdr:col>
      <xdr:colOff>0</xdr:colOff>
      <xdr:row>224</xdr:row>
      <xdr:rowOff>0</xdr:rowOff>
    </xdr:from>
    <xdr:to>
      <xdr:col>11</xdr:col>
      <xdr:colOff>42706</xdr:colOff>
      <xdr:row>244</xdr:row>
      <xdr:rowOff>0</xdr:rowOff>
    </xdr:to>
    <xdr:pic>
      <xdr:nvPicPr>
        <xdr:cNvPr id="12" name="图片 11">
          <a:extLst>
            <a:ext uri="{FF2B5EF4-FFF2-40B4-BE49-F238E27FC236}">
              <a16:creationId xmlns:a16="http://schemas.microsoft.com/office/drawing/2014/main" xmlns="" id="{FED530A2-F683-A27F-7107-23F52E4C3B83}"/>
            </a:ext>
          </a:extLst>
        </xdr:cNvPr>
        <xdr:cNvPicPr>
          <a:picLocks noChangeAspect="1"/>
        </xdr:cNvPicPr>
      </xdr:nvPicPr>
      <xdr:blipFill>
        <a:blip xmlns:r="http://schemas.openxmlformats.org/officeDocument/2006/relationships" r:embed="rId11"/>
        <a:stretch>
          <a:fillRect/>
        </a:stretch>
      </xdr:blipFill>
      <xdr:spPr>
        <a:xfrm>
          <a:off x="0" y="22802850"/>
          <a:ext cx="7586506" cy="3429000"/>
        </a:xfrm>
        <a:prstGeom prst="rect">
          <a:avLst/>
        </a:prstGeom>
      </xdr:spPr>
    </xdr:pic>
    <xdr:clientData/>
  </xdr:twoCellAnchor>
  <xdr:twoCellAnchor editAs="oneCell">
    <xdr:from>
      <xdr:col>11</xdr:col>
      <xdr:colOff>133380</xdr:colOff>
      <xdr:row>224</xdr:row>
      <xdr:rowOff>9525</xdr:rowOff>
    </xdr:from>
    <xdr:to>
      <xdr:col>20</xdr:col>
      <xdr:colOff>437105</xdr:colOff>
      <xdr:row>240</xdr:row>
      <xdr:rowOff>142875</xdr:rowOff>
    </xdr:to>
    <xdr:pic>
      <xdr:nvPicPr>
        <xdr:cNvPr id="13" name="图片 12">
          <a:extLst>
            <a:ext uri="{FF2B5EF4-FFF2-40B4-BE49-F238E27FC236}">
              <a16:creationId xmlns:a16="http://schemas.microsoft.com/office/drawing/2014/main" xmlns="" id="{6F5AAE80-EC76-D916-C85B-0DCA599778AE}"/>
            </a:ext>
          </a:extLst>
        </xdr:cNvPr>
        <xdr:cNvPicPr>
          <a:picLocks noChangeAspect="1"/>
        </xdr:cNvPicPr>
      </xdr:nvPicPr>
      <xdr:blipFill>
        <a:blip xmlns:r="http://schemas.openxmlformats.org/officeDocument/2006/relationships" r:embed="rId12"/>
        <a:stretch>
          <a:fillRect/>
        </a:stretch>
      </xdr:blipFill>
      <xdr:spPr>
        <a:xfrm>
          <a:off x="7677180" y="22812375"/>
          <a:ext cx="6475925" cy="2876550"/>
        </a:xfrm>
        <a:prstGeom prst="rect">
          <a:avLst/>
        </a:prstGeom>
      </xdr:spPr>
    </xdr:pic>
    <xdr:clientData/>
  </xdr:twoCellAnchor>
  <xdr:twoCellAnchor editAs="oneCell">
    <xdr:from>
      <xdr:col>0</xdr:col>
      <xdr:colOff>0</xdr:colOff>
      <xdr:row>245</xdr:row>
      <xdr:rowOff>0</xdr:rowOff>
    </xdr:from>
    <xdr:to>
      <xdr:col>11</xdr:col>
      <xdr:colOff>333375</xdr:colOff>
      <xdr:row>273</xdr:row>
      <xdr:rowOff>30324</xdr:rowOff>
    </xdr:to>
    <xdr:pic>
      <xdr:nvPicPr>
        <xdr:cNvPr id="14" name="图片 13">
          <a:extLst>
            <a:ext uri="{FF2B5EF4-FFF2-40B4-BE49-F238E27FC236}">
              <a16:creationId xmlns:a16="http://schemas.microsoft.com/office/drawing/2014/main" xmlns="" id="{0CFA0962-8057-971E-B809-C902EB24CA9E}"/>
            </a:ext>
          </a:extLst>
        </xdr:cNvPr>
        <xdr:cNvPicPr>
          <a:picLocks noChangeAspect="1"/>
        </xdr:cNvPicPr>
      </xdr:nvPicPr>
      <xdr:blipFill>
        <a:blip xmlns:r="http://schemas.openxmlformats.org/officeDocument/2006/relationships" r:embed="rId13"/>
        <a:stretch>
          <a:fillRect/>
        </a:stretch>
      </xdr:blipFill>
      <xdr:spPr>
        <a:xfrm>
          <a:off x="0" y="26403300"/>
          <a:ext cx="7877175" cy="4830924"/>
        </a:xfrm>
        <a:prstGeom prst="rect">
          <a:avLst/>
        </a:prstGeom>
      </xdr:spPr>
    </xdr:pic>
    <xdr:clientData/>
  </xdr:twoCellAnchor>
  <xdr:twoCellAnchor editAs="oneCell">
    <xdr:from>
      <xdr:col>0</xdr:col>
      <xdr:colOff>0</xdr:colOff>
      <xdr:row>277</xdr:row>
      <xdr:rowOff>95250</xdr:rowOff>
    </xdr:from>
    <xdr:to>
      <xdr:col>11</xdr:col>
      <xdr:colOff>422587</xdr:colOff>
      <xdr:row>300</xdr:row>
      <xdr:rowOff>0</xdr:rowOff>
    </xdr:to>
    <xdr:pic>
      <xdr:nvPicPr>
        <xdr:cNvPr id="17" name="图片 16">
          <a:extLst>
            <a:ext uri="{FF2B5EF4-FFF2-40B4-BE49-F238E27FC236}">
              <a16:creationId xmlns:a16="http://schemas.microsoft.com/office/drawing/2014/main" xmlns="" id="{B0B677D1-F507-F355-4155-B7D7B6117B0E}"/>
            </a:ext>
          </a:extLst>
        </xdr:cNvPr>
        <xdr:cNvPicPr>
          <a:picLocks noChangeAspect="1"/>
        </xdr:cNvPicPr>
      </xdr:nvPicPr>
      <xdr:blipFill>
        <a:blip xmlns:r="http://schemas.openxmlformats.org/officeDocument/2006/relationships" r:embed="rId14"/>
        <a:stretch>
          <a:fillRect/>
        </a:stretch>
      </xdr:blipFill>
      <xdr:spPr>
        <a:xfrm>
          <a:off x="0" y="35756850"/>
          <a:ext cx="7966387" cy="3848100"/>
        </a:xfrm>
        <a:prstGeom prst="rect">
          <a:avLst/>
        </a:prstGeom>
      </xdr:spPr>
    </xdr:pic>
    <xdr:clientData/>
  </xdr:twoCellAnchor>
  <xdr:twoCellAnchor editAs="oneCell">
    <xdr:from>
      <xdr:col>12</xdr:col>
      <xdr:colOff>95249</xdr:colOff>
      <xdr:row>277</xdr:row>
      <xdr:rowOff>42654</xdr:rowOff>
    </xdr:from>
    <xdr:to>
      <xdr:col>19</xdr:col>
      <xdr:colOff>437252</xdr:colOff>
      <xdr:row>300</xdr:row>
      <xdr:rowOff>94554</xdr:rowOff>
    </xdr:to>
    <xdr:pic>
      <xdr:nvPicPr>
        <xdr:cNvPr id="18" name="图片 17">
          <a:extLst>
            <a:ext uri="{FF2B5EF4-FFF2-40B4-BE49-F238E27FC236}">
              <a16:creationId xmlns:a16="http://schemas.microsoft.com/office/drawing/2014/main" xmlns="" id="{182F4392-587F-0F0E-6331-79467132D7F3}"/>
            </a:ext>
          </a:extLst>
        </xdr:cNvPr>
        <xdr:cNvPicPr>
          <a:picLocks noChangeAspect="1"/>
        </xdr:cNvPicPr>
      </xdr:nvPicPr>
      <xdr:blipFill>
        <a:blip xmlns:r="http://schemas.openxmlformats.org/officeDocument/2006/relationships" r:embed="rId15"/>
        <a:stretch>
          <a:fillRect/>
        </a:stretch>
      </xdr:blipFill>
      <xdr:spPr>
        <a:xfrm>
          <a:off x="8324849" y="35704254"/>
          <a:ext cx="5142603" cy="3995250"/>
        </a:xfrm>
        <a:prstGeom prst="rect">
          <a:avLst/>
        </a:prstGeom>
      </xdr:spPr>
    </xdr:pic>
    <xdr:clientData/>
  </xdr:twoCellAnchor>
  <xdr:twoCellAnchor editAs="oneCell">
    <xdr:from>
      <xdr:col>0</xdr:col>
      <xdr:colOff>0</xdr:colOff>
      <xdr:row>56</xdr:row>
      <xdr:rowOff>0</xdr:rowOff>
    </xdr:from>
    <xdr:to>
      <xdr:col>6</xdr:col>
      <xdr:colOff>571500</xdr:colOff>
      <xdr:row>81</xdr:row>
      <xdr:rowOff>35865</xdr:rowOff>
    </xdr:to>
    <xdr:pic>
      <xdr:nvPicPr>
        <xdr:cNvPr id="21" name="图片 20">
          <a:extLst>
            <a:ext uri="{FF2B5EF4-FFF2-40B4-BE49-F238E27FC236}">
              <a16:creationId xmlns:a16="http://schemas.microsoft.com/office/drawing/2014/main" xmlns="" id="{00000000-0008-0000-1900-000015000000}"/>
            </a:ext>
          </a:extLst>
        </xdr:cNvPr>
        <xdr:cNvPicPr>
          <a:picLocks noChangeAspect="1"/>
        </xdr:cNvPicPr>
      </xdr:nvPicPr>
      <xdr:blipFill>
        <a:blip xmlns:r="http://schemas.openxmlformats.org/officeDocument/2006/relationships" r:embed="rId16"/>
        <a:stretch>
          <a:fillRect/>
        </a:stretch>
      </xdr:blipFill>
      <xdr:spPr>
        <a:xfrm>
          <a:off x="0" y="9601200"/>
          <a:ext cx="4686300" cy="4322115"/>
        </a:xfrm>
        <a:prstGeom prst="rect">
          <a:avLst/>
        </a:prstGeom>
      </xdr:spPr>
    </xdr:pic>
    <xdr:clientData/>
  </xdr:twoCellAnchor>
  <xdr:twoCellAnchor editAs="oneCell">
    <xdr:from>
      <xdr:col>7</xdr:col>
      <xdr:colOff>0</xdr:colOff>
      <xdr:row>56</xdr:row>
      <xdr:rowOff>1</xdr:rowOff>
    </xdr:from>
    <xdr:to>
      <xdr:col>12</xdr:col>
      <xdr:colOff>613586</xdr:colOff>
      <xdr:row>73</xdr:row>
      <xdr:rowOff>95251</xdr:rowOff>
    </xdr:to>
    <xdr:pic>
      <xdr:nvPicPr>
        <xdr:cNvPr id="22" name="图片 21">
          <a:extLst>
            <a:ext uri="{FF2B5EF4-FFF2-40B4-BE49-F238E27FC236}">
              <a16:creationId xmlns:a16="http://schemas.microsoft.com/office/drawing/2014/main" xmlns="" id="{00000000-0008-0000-1900-000016000000}"/>
            </a:ext>
          </a:extLst>
        </xdr:cNvPr>
        <xdr:cNvPicPr>
          <a:picLocks noChangeAspect="1"/>
        </xdr:cNvPicPr>
      </xdr:nvPicPr>
      <xdr:blipFill>
        <a:blip xmlns:r="http://schemas.openxmlformats.org/officeDocument/2006/relationships" r:embed="rId17"/>
        <a:stretch>
          <a:fillRect/>
        </a:stretch>
      </xdr:blipFill>
      <xdr:spPr>
        <a:xfrm>
          <a:off x="4800600" y="9601201"/>
          <a:ext cx="4042586" cy="3009900"/>
        </a:xfrm>
        <a:prstGeom prst="rect">
          <a:avLst/>
        </a:prstGeom>
      </xdr:spPr>
    </xdr:pic>
    <xdr:clientData/>
  </xdr:twoCellAnchor>
  <xdr:twoCellAnchor editAs="oneCell">
    <xdr:from>
      <xdr:col>0</xdr:col>
      <xdr:colOff>0</xdr:colOff>
      <xdr:row>83</xdr:row>
      <xdr:rowOff>1</xdr:rowOff>
    </xdr:from>
    <xdr:to>
      <xdr:col>7</xdr:col>
      <xdr:colOff>28575</xdr:colOff>
      <xdr:row>109</xdr:row>
      <xdr:rowOff>98803</xdr:rowOff>
    </xdr:to>
    <xdr:pic>
      <xdr:nvPicPr>
        <xdr:cNvPr id="19" name="图片 18">
          <a:extLst>
            <a:ext uri="{FF2B5EF4-FFF2-40B4-BE49-F238E27FC236}">
              <a16:creationId xmlns:a16="http://schemas.microsoft.com/office/drawing/2014/main" xmlns="" id="{00000000-0008-0000-1900-000013000000}"/>
            </a:ext>
          </a:extLst>
        </xdr:cNvPr>
        <xdr:cNvPicPr>
          <a:picLocks noChangeAspect="1"/>
        </xdr:cNvPicPr>
      </xdr:nvPicPr>
      <xdr:blipFill>
        <a:blip xmlns:r="http://schemas.openxmlformats.org/officeDocument/2006/relationships" r:embed="rId18"/>
        <a:stretch>
          <a:fillRect/>
        </a:stretch>
      </xdr:blipFill>
      <xdr:spPr>
        <a:xfrm>
          <a:off x="0" y="14230351"/>
          <a:ext cx="4829175" cy="4556502"/>
        </a:xfrm>
        <a:prstGeom prst="rect">
          <a:avLst/>
        </a:prstGeom>
      </xdr:spPr>
    </xdr:pic>
    <xdr:clientData/>
  </xdr:twoCellAnchor>
  <xdr:twoCellAnchor editAs="oneCell">
    <xdr:from>
      <xdr:col>7</xdr:col>
      <xdr:colOff>216582</xdr:colOff>
      <xdr:row>83</xdr:row>
      <xdr:rowOff>133350</xdr:rowOff>
    </xdr:from>
    <xdr:to>
      <xdr:col>15</xdr:col>
      <xdr:colOff>8744</xdr:colOff>
      <xdr:row>112</xdr:row>
      <xdr:rowOff>142138</xdr:rowOff>
    </xdr:to>
    <xdr:pic>
      <xdr:nvPicPr>
        <xdr:cNvPr id="20" name="图片 19">
          <a:extLst>
            <a:ext uri="{FF2B5EF4-FFF2-40B4-BE49-F238E27FC236}">
              <a16:creationId xmlns:a16="http://schemas.microsoft.com/office/drawing/2014/main" xmlns="" id="{00000000-0008-0000-1900-000014000000}"/>
            </a:ext>
          </a:extLst>
        </xdr:cNvPr>
        <xdr:cNvPicPr>
          <a:picLocks noChangeAspect="1"/>
        </xdr:cNvPicPr>
      </xdr:nvPicPr>
      <xdr:blipFill>
        <a:blip xmlns:r="http://schemas.openxmlformats.org/officeDocument/2006/relationships" r:embed="rId19"/>
        <a:stretch>
          <a:fillRect/>
        </a:stretch>
      </xdr:blipFill>
      <xdr:spPr>
        <a:xfrm>
          <a:off x="5017182" y="14363700"/>
          <a:ext cx="5278562" cy="4980838"/>
        </a:xfrm>
        <a:prstGeom prst="rect">
          <a:avLst/>
        </a:prstGeom>
      </xdr:spPr>
    </xdr:pic>
    <xdr:clientData/>
  </xdr:twoCellAnchor>
  <xdr:twoCellAnchor editAs="oneCell">
    <xdr:from>
      <xdr:col>0</xdr:col>
      <xdr:colOff>0</xdr:colOff>
      <xdr:row>115</xdr:row>
      <xdr:rowOff>0</xdr:rowOff>
    </xdr:from>
    <xdr:to>
      <xdr:col>11</xdr:col>
      <xdr:colOff>4833</xdr:colOff>
      <xdr:row>136</xdr:row>
      <xdr:rowOff>38100</xdr:rowOff>
    </xdr:to>
    <xdr:pic>
      <xdr:nvPicPr>
        <xdr:cNvPr id="23" name="图片 22">
          <a:extLst>
            <a:ext uri="{FF2B5EF4-FFF2-40B4-BE49-F238E27FC236}">
              <a16:creationId xmlns:a16="http://schemas.microsoft.com/office/drawing/2014/main" xmlns="" id="{FFC139D6-341F-BDB1-5A1B-EB142B570FAD}"/>
            </a:ext>
          </a:extLst>
        </xdr:cNvPr>
        <xdr:cNvPicPr>
          <a:picLocks noChangeAspect="1"/>
        </xdr:cNvPicPr>
      </xdr:nvPicPr>
      <xdr:blipFill>
        <a:blip xmlns:r="http://schemas.openxmlformats.org/officeDocument/2006/relationships" r:embed="rId20"/>
        <a:stretch>
          <a:fillRect/>
        </a:stretch>
      </xdr:blipFill>
      <xdr:spPr>
        <a:xfrm>
          <a:off x="0" y="19716750"/>
          <a:ext cx="7548633" cy="3638550"/>
        </a:xfrm>
        <a:prstGeom prst="rect">
          <a:avLst/>
        </a:prstGeom>
      </xdr:spPr>
    </xdr:pic>
    <xdr:clientData/>
  </xdr:twoCellAnchor>
  <xdr:twoCellAnchor editAs="oneCell">
    <xdr:from>
      <xdr:col>11</xdr:col>
      <xdr:colOff>114300</xdr:colOff>
      <xdr:row>115</xdr:row>
      <xdr:rowOff>9524</xdr:rowOff>
    </xdr:from>
    <xdr:to>
      <xdr:col>18</xdr:col>
      <xdr:colOff>608674</xdr:colOff>
      <xdr:row>135</xdr:row>
      <xdr:rowOff>133193</xdr:rowOff>
    </xdr:to>
    <xdr:pic>
      <xdr:nvPicPr>
        <xdr:cNvPr id="24" name="图片 23">
          <a:extLst>
            <a:ext uri="{FF2B5EF4-FFF2-40B4-BE49-F238E27FC236}">
              <a16:creationId xmlns:a16="http://schemas.microsoft.com/office/drawing/2014/main" xmlns="" id="{2937B164-55DF-9E4F-D058-B048971F7342}"/>
            </a:ext>
          </a:extLst>
        </xdr:cNvPr>
        <xdr:cNvPicPr>
          <a:picLocks noChangeAspect="1"/>
        </xdr:cNvPicPr>
      </xdr:nvPicPr>
      <xdr:blipFill>
        <a:blip xmlns:r="http://schemas.openxmlformats.org/officeDocument/2006/relationships" r:embed="rId21"/>
        <a:stretch>
          <a:fillRect/>
        </a:stretch>
      </xdr:blipFill>
      <xdr:spPr>
        <a:xfrm>
          <a:off x="7658100" y="19726274"/>
          <a:ext cx="5294974" cy="3552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170058</xdr:colOff>
      <xdr:row>20</xdr:row>
      <xdr:rowOff>132926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171450"/>
          <a:ext cx="11142858" cy="3390476"/>
        </a:xfrm>
        <a:prstGeom prst="rect">
          <a:avLst/>
        </a:prstGeom>
      </xdr:spPr>
    </xdr:pic>
    <xdr:clientData/>
  </xdr:twoCellAnchor>
  <xdr:twoCellAnchor editAs="oneCell">
    <xdr:from>
      <xdr:col>0</xdr:col>
      <xdr:colOff>0</xdr:colOff>
      <xdr:row>21</xdr:row>
      <xdr:rowOff>0</xdr:rowOff>
    </xdr:from>
    <xdr:to>
      <xdr:col>15</xdr:col>
      <xdr:colOff>608239</xdr:colOff>
      <xdr:row>52</xdr:row>
      <xdr:rowOff>46955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3600450"/>
          <a:ext cx="10895239" cy="5361905"/>
        </a:xfrm>
        <a:prstGeom prst="rect">
          <a:avLst/>
        </a:prstGeom>
      </xdr:spPr>
    </xdr:pic>
    <xdr:clientData/>
  </xdr:twoCellAnchor>
  <xdr:twoCellAnchor editAs="oneCell">
    <xdr:from>
      <xdr:col>0</xdr:col>
      <xdr:colOff>0</xdr:colOff>
      <xdr:row>53</xdr:row>
      <xdr:rowOff>0</xdr:rowOff>
    </xdr:from>
    <xdr:to>
      <xdr:col>15</xdr:col>
      <xdr:colOff>560620</xdr:colOff>
      <xdr:row>83</xdr:row>
      <xdr:rowOff>161262</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0" y="9086850"/>
          <a:ext cx="10847620" cy="5304762"/>
        </a:xfrm>
        <a:prstGeom prst="rect">
          <a:avLst/>
        </a:prstGeom>
      </xdr:spPr>
    </xdr:pic>
    <xdr:clientData/>
  </xdr:twoCellAnchor>
  <xdr:twoCellAnchor editAs="oneCell">
    <xdr:from>
      <xdr:col>0</xdr:col>
      <xdr:colOff>0</xdr:colOff>
      <xdr:row>85</xdr:row>
      <xdr:rowOff>0</xdr:rowOff>
    </xdr:from>
    <xdr:to>
      <xdr:col>15</xdr:col>
      <xdr:colOff>617763</xdr:colOff>
      <xdr:row>116</xdr:row>
      <xdr:rowOff>132669</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0" y="14573250"/>
          <a:ext cx="10904763" cy="5447619"/>
        </a:xfrm>
        <a:prstGeom prst="rect">
          <a:avLst/>
        </a:prstGeom>
      </xdr:spPr>
    </xdr:pic>
    <xdr:clientData/>
  </xdr:twoCellAnchor>
  <xdr:twoCellAnchor editAs="oneCell">
    <xdr:from>
      <xdr:col>0</xdr:col>
      <xdr:colOff>0</xdr:colOff>
      <xdr:row>117</xdr:row>
      <xdr:rowOff>0</xdr:rowOff>
    </xdr:from>
    <xdr:to>
      <xdr:col>16</xdr:col>
      <xdr:colOff>65296</xdr:colOff>
      <xdr:row>148</xdr:row>
      <xdr:rowOff>123146</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0" y="20059650"/>
          <a:ext cx="11038096" cy="5438096"/>
        </a:xfrm>
        <a:prstGeom prst="rect">
          <a:avLst/>
        </a:prstGeom>
      </xdr:spPr>
    </xdr:pic>
    <xdr:clientData/>
  </xdr:twoCellAnchor>
  <xdr:twoCellAnchor editAs="oneCell">
    <xdr:from>
      <xdr:col>17</xdr:col>
      <xdr:colOff>0</xdr:colOff>
      <xdr:row>1</xdr:row>
      <xdr:rowOff>0</xdr:rowOff>
    </xdr:from>
    <xdr:to>
      <xdr:col>30</xdr:col>
      <xdr:colOff>122696</xdr:colOff>
      <xdr:row>31</xdr:row>
      <xdr:rowOff>8881</xdr:rowOff>
    </xdr:to>
    <xdr:pic>
      <xdr:nvPicPr>
        <xdr:cNvPr id="7" name="图片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11658600" y="171450"/>
          <a:ext cx="9038096" cy="5152381"/>
        </a:xfrm>
        <a:prstGeom prst="rect">
          <a:avLst/>
        </a:prstGeom>
      </xdr:spPr>
    </xdr:pic>
    <xdr:clientData/>
  </xdr:twoCellAnchor>
  <xdr:twoCellAnchor editAs="oneCell">
    <xdr:from>
      <xdr:col>0</xdr:col>
      <xdr:colOff>0</xdr:colOff>
      <xdr:row>151</xdr:row>
      <xdr:rowOff>0</xdr:rowOff>
    </xdr:from>
    <xdr:to>
      <xdr:col>15</xdr:col>
      <xdr:colOff>608239</xdr:colOff>
      <xdr:row>177</xdr:row>
      <xdr:rowOff>85157</xdr:rowOff>
    </xdr:to>
    <xdr:pic>
      <xdr:nvPicPr>
        <xdr:cNvPr id="9" name="图片 8">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7"/>
        <a:stretch>
          <a:fillRect/>
        </a:stretch>
      </xdr:blipFill>
      <xdr:spPr>
        <a:xfrm>
          <a:off x="0" y="25888950"/>
          <a:ext cx="10895239" cy="4542857"/>
        </a:xfrm>
        <a:prstGeom prst="rect">
          <a:avLst/>
        </a:prstGeom>
      </xdr:spPr>
    </xdr:pic>
    <xdr:clientData/>
  </xdr:twoCellAnchor>
  <xdr:twoCellAnchor editAs="oneCell">
    <xdr:from>
      <xdr:col>0</xdr:col>
      <xdr:colOff>0</xdr:colOff>
      <xdr:row>180</xdr:row>
      <xdr:rowOff>0</xdr:rowOff>
    </xdr:from>
    <xdr:to>
      <xdr:col>16</xdr:col>
      <xdr:colOff>217677</xdr:colOff>
      <xdr:row>199</xdr:row>
      <xdr:rowOff>161498</xdr:rowOff>
    </xdr:to>
    <xdr:pic>
      <xdr:nvPicPr>
        <xdr:cNvPr id="10" name="图片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8"/>
        <a:stretch>
          <a:fillRect/>
        </a:stretch>
      </xdr:blipFill>
      <xdr:spPr>
        <a:xfrm>
          <a:off x="0" y="30861000"/>
          <a:ext cx="11190477" cy="3419048"/>
        </a:xfrm>
        <a:prstGeom prst="rect">
          <a:avLst/>
        </a:prstGeom>
      </xdr:spPr>
    </xdr:pic>
    <xdr:clientData/>
  </xdr:twoCellAnchor>
  <xdr:twoCellAnchor editAs="oneCell">
    <xdr:from>
      <xdr:col>0</xdr:col>
      <xdr:colOff>0</xdr:colOff>
      <xdr:row>200</xdr:row>
      <xdr:rowOff>0</xdr:rowOff>
    </xdr:from>
    <xdr:to>
      <xdr:col>15</xdr:col>
      <xdr:colOff>532048</xdr:colOff>
      <xdr:row>226</xdr:row>
      <xdr:rowOff>142300</xdr:rowOff>
    </xdr:to>
    <xdr:pic>
      <xdr:nvPicPr>
        <xdr:cNvPr id="11" name="图片 10">
          <a:extLst>
            <a:ext uri="{FF2B5EF4-FFF2-40B4-BE49-F238E27FC236}">
              <a16:creationId xmlns:a16="http://schemas.microsoft.com/office/drawing/2014/main" xmlns="" id="{00000000-0008-0000-1A00-00000B000000}"/>
            </a:ext>
          </a:extLst>
        </xdr:cNvPr>
        <xdr:cNvPicPr>
          <a:picLocks noChangeAspect="1"/>
        </xdr:cNvPicPr>
      </xdr:nvPicPr>
      <xdr:blipFill>
        <a:blip xmlns:r="http://schemas.openxmlformats.org/officeDocument/2006/relationships" r:embed="rId9"/>
        <a:stretch>
          <a:fillRect/>
        </a:stretch>
      </xdr:blipFill>
      <xdr:spPr>
        <a:xfrm>
          <a:off x="0" y="34290000"/>
          <a:ext cx="1081904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398800</xdr:colOff>
      <xdr:row>36</xdr:row>
      <xdr:rowOff>18276</xdr:rowOff>
    </xdr:to>
    <xdr:pic>
      <xdr:nvPicPr>
        <xdr:cNvPr id="2" name="图片 1">
          <a:extLst>
            <a:ext uri="{FF2B5EF4-FFF2-40B4-BE49-F238E27FC236}">
              <a16:creationId xmlns:a16="http://schemas.microsoft.com/office/drawing/2014/main" xmlns="" id="{6E7B6F0A-29DC-1894-72C4-D43DC157D2A5}"/>
            </a:ext>
          </a:extLst>
        </xdr:cNvPr>
        <xdr:cNvPicPr>
          <a:picLocks noChangeAspect="1"/>
        </xdr:cNvPicPr>
      </xdr:nvPicPr>
      <xdr:blipFill>
        <a:blip xmlns:r="http://schemas.openxmlformats.org/officeDocument/2006/relationships" r:embed="rId1"/>
        <a:stretch>
          <a:fillRect/>
        </a:stretch>
      </xdr:blipFill>
      <xdr:spPr>
        <a:xfrm>
          <a:off x="0" y="0"/>
          <a:ext cx="10000000" cy="6190476"/>
        </a:xfrm>
        <a:prstGeom prst="rect">
          <a:avLst/>
        </a:prstGeom>
      </xdr:spPr>
    </xdr:pic>
    <xdr:clientData/>
  </xdr:twoCellAnchor>
  <xdr:twoCellAnchor editAs="oneCell">
    <xdr:from>
      <xdr:col>0</xdr:col>
      <xdr:colOff>0</xdr:colOff>
      <xdr:row>38</xdr:row>
      <xdr:rowOff>0</xdr:rowOff>
    </xdr:from>
    <xdr:to>
      <xdr:col>11</xdr:col>
      <xdr:colOff>494295</xdr:colOff>
      <xdr:row>76</xdr:row>
      <xdr:rowOff>113471</xdr:rowOff>
    </xdr:to>
    <xdr:pic>
      <xdr:nvPicPr>
        <xdr:cNvPr id="3" name="图片 2">
          <a:extLst>
            <a:ext uri="{FF2B5EF4-FFF2-40B4-BE49-F238E27FC236}">
              <a16:creationId xmlns:a16="http://schemas.microsoft.com/office/drawing/2014/main" xmlns="" id="{2BC06023-0F37-8D0B-9BA5-99D6C9AC4A86}"/>
            </a:ext>
          </a:extLst>
        </xdr:cNvPr>
        <xdr:cNvPicPr>
          <a:picLocks noChangeAspect="1"/>
        </xdr:cNvPicPr>
      </xdr:nvPicPr>
      <xdr:blipFill>
        <a:blip xmlns:r="http://schemas.openxmlformats.org/officeDocument/2006/relationships" r:embed="rId2"/>
        <a:stretch>
          <a:fillRect/>
        </a:stretch>
      </xdr:blipFill>
      <xdr:spPr>
        <a:xfrm>
          <a:off x="0" y="6515100"/>
          <a:ext cx="8038095" cy="6628571"/>
        </a:xfrm>
        <a:prstGeom prst="rect">
          <a:avLst/>
        </a:prstGeom>
      </xdr:spPr>
    </xdr:pic>
    <xdr:clientData/>
  </xdr:twoCellAnchor>
  <xdr:twoCellAnchor editAs="oneCell">
    <xdr:from>
      <xdr:col>0</xdr:col>
      <xdr:colOff>0</xdr:colOff>
      <xdr:row>78</xdr:row>
      <xdr:rowOff>0</xdr:rowOff>
    </xdr:from>
    <xdr:to>
      <xdr:col>11</xdr:col>
      <xdr:colOff>141914</xdr:colOff>
      <xdr:row>97</xdr:row>
      <xdr:rowOff>171021</xdr:rowOff>
    </xdr:to>
    <xdr:pic>
      <xdr:nvPicPr>
        <xdr:cNvPr id="4" name="图片 3">
          <a:extLst>
            <a:ext uri="{FF2B5EF4-FFF2-40B4-BE49-F238E27FC236}">
              <a16:creationId xmlns:a16="http://schemas.microsoft.com/office/drawing/2014/main" xmlns="" id="{66E7D16D-4C5F-09AA-2FAE-4FBB7C072350}"/>
            </a:ext>
          </a:extLst>
        </xdr:cNvPr>
        <xdr:cNvPicPr>
          <a:picLocks noChangeAspect="1"/>
        </xdr:cNvPicPr>
      </xdr:nvPicPr>
      <xdr:blipFill>
        <a:blip xmlns:r="http://schemas.openxmlformats.org/officeDocument/2006/relationships" r:embed="rId3"/>
        <a:stretch>
          <a:fillRect/>
        </a:stretch>
      </xdr:blipFill>
      <xdr:spPr>
        <a:xfrm>
          <a:off x="0" y="13373100"/>
          <a:ext cx="768571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北京市大兴区马朱路长子营段16号院17号楼1层101、2层201、202、203工业用房房地产抵押价值预评估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受贵公司委托，我公司对北京市大兴区马朱路长子营段16号院17号楼1层101、2层201、202、203工业用房房地产抵押价值进行了预评估。</v>
      </c>
    </row>
    <row r="7" spans="1:2">
      <c r="A7" s="1119" t="s">
        <v>566</v>
      </c>
      <c r="B7" s="1120" t="str">
        <f>'预评函-1'!A7</f>
        <v>估价对象为北京市大兴区马朱路长子营段16号院17号楼1层101、2层201、202、203工业用房房地产，为所有。根据《国有土地使用证》[]，估价对象（分摊）出让国有建设用地使用权面积为0平方米，建筑面积为309.42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309.42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2025年5月9日（评估专业人员实地查勘之日）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264</v>
      </c>
    </row>
    <row r="21" spans="1:2">
      <c r="A21" s="1119" t="s">
        <v>537</v>
      </c>
      <c r="B21" s="1120">
        <f ca="1">'预评函-2'!D7</f>
        <v>8527</v>
      </c>
    </row>
    <row r="22" spans="1:2">
      <c r="A22" s="1119" t="s">
        <v>538</v>
      </c>
      <c r="B22" s="1120" t="str">
        <f ca="1">'预评函-2'!D6</f>
        <v>贰佰陆拾肆万元整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264</v>
      </c>
    </row>
    <row r="31" spans="1:2">
      <c r="A31" s="1119" t="s">
        <v>576</v>
      </c>
      <c r="B31" s="1120">
        <f ca="1">'预评函-2'!D15</f>
        <v>8527</v>
      </c>
    </row>
    <row r="32" spans="1:2">
      <c r="A32" s="1119" t="s">
        <v>543</v>
      </c>
      <c r="B32" s="1120" t="str">
        <f ca="1">'预评函-2'!D14</f>
        <v>贰佰陆拾肆万元整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北京市大兴区马朱路长子营段16号院17号楼1层101、2层201、202、203工业用房房地产</v>
      </c>
    </row>
    <row r="42" spans="1:2">
      <c r="A42" s="1119" t="s">
        <v>590</v>
      </c>
      <c r="B42" s="1120" t="str">
        <f>'预评函-3'!B2</f>
        <v>建筑面积</v>
      </c>
    </row>
    <row r="43" spans="1:2">
      <c r="A43" s="1119" t="s">
        <v>591</v>
      </c>
      <c r="B43" s="1120">
        <f>'预评函-3'!B4</f>
        <v>309.42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-39</v>
      </c>
    </row>
    <row r="48" spans="1:2">
      <c r="A48" s="1119" t="s">
        <v>549</v>
      </c>
      <c r="B48" s="1120">
        <f ca="1">'预评函-3'!E4</f>
        <v>-1245</v>
      </c>
    </row>
    <row r="49" spans="1:2">
      <c r="A49" s="1119" t="s">
        <v>550</v>
      </c>
      <c r="B49" s="1120" t="e">
        <f ca="1">'预评函-3'!D5</f>
        <v>#NUM!</v>
      </c>
    </row>
    <row r="50" spans="1:2">
      <c r="A50" s="1119" t="s">
        <v>574</v>
      </c>
      <c r="B50" s="1120" t="str">
        <f>'预评函-3'!F2</f>
        <v>在建建筑物价值</v>
      </c>
    </row>
    <row r="51" spans="1:2">
      <c r="A51" s="1119" t="s">
        <v>551</v>
      </c>
      <c r="B51" s="1120">
        <f ca="1">'预评函-3'!F4</f>
        <v>302</v>
      </c>
    </row>
    <row r="52" spans="1:2">
      <c r="A52" s="1119" t="s">
        <v>552</v>
      </c>
      <c r="B52" s="1120">
        <f ca="1">'预评函-3'!G4</f>
        <v>9772</v>
      </c>
    </row>
    <row r="53" spans="1:2">
      <c r="A53" s="1119" t="s">
        <v>580</v>
      </c>
      <c r="B53" s="1120" t="str">
        <f ca="1">'预评函-3'!F5</f>
        <v>叁佰零贰万元整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974</v>
      </c>
      <c r="C1" s="1438" t="s">
        <v>314</v>
      </c>
      <c r="D1" s="1439" t="s">
        <v>3346</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row>
    <row r="2" spans="1:23">
      <c r="A2" s="1441" t="s">
        <v>19</v>
      </c>
      <c r="B2" s="1441" t="s">
        <v>990</v>
      </c>
      <c r="C2" s="1442" t="s">
        <v>315</v>
      </c>
      <c r="D2" s="1443" t="s">
        <v>991</v>
      </c>
      <c r="E2" s="1443" t="s">
        <v>992</v>
      </c>
      <c r="F2" s="1443" t="s">
        <v>993</v>
      </c>
      <c r="G2" s="1443">
        <v>20</v>
      </c>
      <c r="H2" s="1443" t="s">
        <v>993</v>
      </c>
      <c r="I2" s="1443" t="s">
        <v>3332</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row>
    <row r="3" spans="1:23">
      <c r="A3" s="1441" t="s">
        <v>998</v>
      </c>
      <c r="B3" s="1444" t="s">
        <v>448</v>
      </c>
      <c r="C3" s="1442" t="s">
        <v>316</v>
      </c>
      <c r="D3" s="1443" t="s">
        <v>999</v>
      </c>
      <c r="E3" s="1443" t="s">
        <v>13</v>
      </c>
      <c r="F3" s="1443" t="s">
        <v>1000</v>
      </c>
      <c r="G3" s="1443">
        <v>40</v>
      </c>
      <c r="H3" s="1443" t="s">
        <v>1000</v>
      </c>
      <c r="I3" s="1443" t="s">
        <v>3333</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row>
    <row r="4" spans="1:23">
      <c r="A4" s="1441" t="s">
        <v>1005</v>
      </c>
      <c r="B4" s="1441" t="s">
        <v>1006</v>
      </c>
      <c r="C4" s="1442" t="s">
        <v>317</v>
      </c>
      <c r="D4" s="1443" t="s">
        <v>389</v>
      </c>
      <c r="E4" s="1443" t="s">
        <v>1007</v>
      </c>
      <c r="F4" s="1443" t="s">
        <v>1008</v>
      </c>
      <c r="G4" s="1443">
        <v>50</v>
      </c>
      <c r="H4" s="1443" t="s">
        <v>1008</v>
      </c>
      <c r="I4" s="1443" t="s">
        <v>3334</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row>
    <row r="5" spans="1:23">
      <c r="A5" s="1441" t="s">
        <v>1011</v>
      </c>
      <c r="B5" s="1441" t="s">
        <v>1012</v>
      </c>
      <c r="C5" s="1442" t="s">
        <v>318</v>
      </c>
      <c r="F5" s="1443" t="s">
        <v>1013</v>
      </c>
      <c r="G5" s="1443">
        <v>70</v>
      </c>
      <c r="H5" s="1443" t="s">
        <v>1014</v>
      </c>
      <c r="I5" s="1443" t="s">
        <v>3335</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row>
    <row r="6" spans="1:23">
      <c r="A6" s="1441" t="s">
        <v>1017</v>
      </c>
      <c r="B6" s="1444" t="s">
        <v>449</v>
      </c>
      <c r="C6" s="1446" t="s">
        <v>24</v>
      </c>
      <c r="F6" s="1443" t="s">
        <v>1014</v>
      </c>
      <c r="H6" s="1443" t="s">
        <v>1018</v>
      </c>
      <c r="I6" s="1443" t="s">
        <v>3336</v>
      </c>
      <c r="K6" s="1443" t="s">
        <v>1019</v>
      </c>
      <c r="L6" s="1443" t="s">
        <v>1019</v>
      </c>
      <c r="M6" s="1443" t="s">
        <v>1019</v>
      </c>
      <c r="N6" s="1443" t="s">
        <v>1019</v>
      </c>
      <c r="O6" s="1443" t="s">
        <v>1019</v>
      </c>
      <c r="P6" s="1443" t="s">
        <v>1019</v>
      </c>
      <c r="Q6" s="1443" t="s">
        <v>1019</v>
      </c>
      <c r="R6" s="1443" t="s">
        <v>446</v>
      </c>
      <c r="S6" s="1443" t="s">
        <v>1019</v>
      </c>
      <c r="T6" s="1443"/>
      <c r="U6" s="1443" t="s">
        <v>1019</v>
      </c>
      <c r="W6" s="1443" t="s">
        <v>1019</v>
      </c>
    </row>
    <row r="7" spans="1:23">
      <c r="A7" s="1441" t="s">
        <v>1020</v>
      </c>
      <c r="B7" s="1444" t="s">
        <v>450</v>
      </c>
      <c r="C7" s="1442" t="s">
        <v>25</v>
      </c>
      <c r="F7" s="1443" t="s">
        <v>1021</v>
      </c>
      <c r="H7" s="1443" t="s">
        <v>1022</v>
      </c>
      <c r="I7" s="1443" t="s">
        <v>3337</v>
      </c>
    </row>
    <row r="8" spans="1:23">
      <c r="A8" s="1441" t="s">
        <v>1023</v>
      </c>
      <c r="B8" s="1441" t="s">
        <v>1024</v>
      </c>
      <c r="C8" s="1442" t="s">
        <v>319</v>
      </c>
      <c r="F8" s="1443" t="s">
        <v>1025</v>
      </c>
      <c r="H8" s="1443" t="s">
        <v>2572</v>
      </c>
      <c r="I8" s="1443" t="s">
        <v>3338</v>
      </c>
    </row>
    <row r="9" spans="1:23">
      <c r="A9" s="1441" t="s">
        <v>1026</v>
      </c>
      <c r="B9" s="1441" t="s">
        <v>1027</v>
      </c>
      <c r="C9" s="1442" t="s">
        <v>320</v>
      </c>
      <c r="F9" s="1443" t="s">
        <v>1028</v>
      </c>
      <c r="H9" s="1443"/>
      <c r="I9" s="1445" t="s">
        <v>3339</v>
      </c>
    </row>
    <row r="10" spans="1:23">
      <c r="A10" s="1441" t="s">
        <v>1029</v>
      </c>
      <c r="B10" s="1441" t="s">
        <v>1030</v>
      </c>
      <c r="C10" s="1442" t="s">
        <v>321</v>
      </c>
      <c r="F10" s="1443" t="s">
        <v>2573</v>
      </c>
      <c r="I10" s="1445" t="s">
        <v>3340</v>
      </c>
    </row>
    <row r="11" spans="1:23">
      <c r="A11" s="1441" t="s">
        <v>1031</v>
      </c>
      <c r="B11" s="1441" t="s">
        <v>1032</v>
      </c>
      <c r="C11" s="1442" t="s">
        <v>322</v>
      </c>
      <c r="F11" s="1443" t="s">
        <v>13</v>
      </c>
      <c r="I11" s="1445" t="s">
        <v>3341</v>
      </c>
    </row>
    <row r="12" spans="1:23">
      <c r="A12" s="1441" t="s">
        <v>1033</v>
      </c>
      <c r="B12" s="1441" t="s">
        <v>1034</v>
      </c>
      <c r="C12" s="1442" t="s">
        <v>323</v>
      </c>
      <c r="I12" s="1445" t="s">
        <v>3342</v>
      </c>
    </row>
    <row r="13" spans="1:23">
      <c r="A13" s="1441" t="s">
        <v>1035</v>
      </c>
      <c r="B13" s="1441" t="s">
        <v>1036</v>
      </c>
      <c r="C13" s="1442" t="s">
        <v>324</v>
      </c>
      <c r="I13" s="1445" t="s">
        <v>3343</v>
      </c>
    </row>
    <row r="14" spans="1:23">
      <c r="A14" s="1441" t="s">
        <v>1037</v>
      </c>
      <c r="B14" s="1441" t="s">
        <v>1038</v>
      </c>
      <c r="C14" s="1443" t="s">
        <v>13</v>
      </c>
      <c r="I14" s="1445" t="s">
        <v>3344</v>
      </c>
    </row>
    <row r="15" spans="1:23">
      <c r="A15" s="1441" t="s">
        <v>1039</v>
      </c>
      <c r="B15" s="1441" t="s">
        <v>1040</v>
      </c>
      <c r="C15" s="1442"/>
      <c r="I15" s="1445" t="s">
        <v>3345</v>
      </c>
    </row>
    <row r="16" spans="1:23">
      <c r="A16" s="1441" t="s">
        <v>1041</v>
      </c>
      <c r="B16" s="1441" t="s">
        <v>312</v>
      </c>
      <c r="C16" s="1442"/>
    </row>
    <row r="17" spans="1:3">
      <c r="A17" s="1441" t="s">
        <v>1042</v>
      </c>
      <c r="B17" s="1441" t="s">
        <v>2288</v>
      </c>
      <c r="C17" s="1442"/>
    </row>
    <row r="18" spans="1:3">
      <c r="A18" s="1441" t="s">
        <v>1043</v>
      </c>
      <c r="B18" s="1441" t="s">
        <v>2428</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1" t="s">
        <v>2575</v>
      </c>
      <c r="J2" s="3221"/>
      <c r="K2" s="3221"/>
      <c r="L2" s="3221"/>
      <c r="M2" s="3221"/>
      <c r="N2" s="3221"/>
      <c r="O2" s="3221"/>
      <c r="P2" s="3221"/>
      <c r="Q2" s="3221"/>
      <c r="R2" s="3221"/>
    </row>
    <row r="3" spans="1:18">
      <c r="A3" s="2762" t="s">
        <v>2496</v>
      </c>
      <c r="B3" s="2763">
        <f>项目基本情况!D3</f>
        <v>45786</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8" sqref="K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2163</v>
      </c>
      <c r="B1" s="3229" t="str">
        <f>IF(B10="北京市","北京市",C10)&amp;F10&amp;IF(结果表!G1="在建","出让国有建设用地使用权及在建建筑物",IF(结果表!G1="土地","出让国有建设用地使用权",))&amp;B9&amp;"预评估"</f>
        <v>北京市大兴区马朱路长子营段16号院17号楼1层101、2层201、202、203工业用房房地产抵押价值预评估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北京市大兴区马朱路长子营段16号院17号楼1层101、2层201、202、203工业用房房地产抵押价值</v>
      </c>
      <c r="T1" s="1618"/>
      <c r="U1" s="1618"/>
      <c r="V1" s="1618"/>
      <c r="W1" s="1618"/>
      <c r="X1" s="1618"/>
      <c r="Y1" s="1618"/>
      <c r="Z1" s="1618"/>
      <c r="AA1" s="1618"/>
      <c r="AB1" s="1618"/>
    </row>
    <row r="2" spans="1:30">
      <c r="A2" s="2182" t="s">
        <v>2164</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北京市大兴区马朱路长子营段16号院17号楼1层101、2层201、202、203工业用房房地产</v>
      </c>
      <c r="T2" s="1618"/>
      <c r="U2" s="1618"/>
      <c r="V2" s="1618"/>
      <c r="W2" s="1618"/>
      <c r="X2" s="1618"/>
      <c r="Y2" s="1618"/>
      <c r="Z2" s="1618"/>
      <c r="AA2" s="1618"/>
      <c r="AB2" s="1618"/>
    </row>
    <row r="3" spans="1:30">
      <c r="A3" s="294" t="s">
        <v>2165</v>
      </c>
      <c r="B3" s="2185">
        <v>45786</v>
      </c>
      <c r="C3" s="2186" t="s">
        <v>2166</v>
      </c>
      <c r="D3" s="2185">
        <f>B3</f>
        <v>45786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2167</v>
      </c>
      <c r="B4" s="2187" t="s">
        <v>3481</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2168</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2169</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2170</v>
      </c>
      <c r="B7" s="2198"/>
      <c r="C7" s="2196"/>
      <c r="D7" s="2197"/>
      <c r="E7" s="2441"/>
      <c r="F7" s="2442"/>
      <c r="G7" s="2442"/>
      <c r="H7" s="2442"/>
      <c r="I7" s="2442"/>
      <c r="J7" s="2245"/>
      <c r="K7" s="2402"/>
      <c r="L7" s="2399"/>
      <c r="M7" s="2399"/>
      <c r="N7" s="2245"/>
      <c r="O7" s="1670"/>
      <c r="P7" s="2245"/>
      <c r="Q7" s="2245"/>
      <c r="R7" s="2245"/>
    </row>
    <row r="8" spans="1:30">
      <c r="A8" s="2199" t="s">
        <v>2171</v>
      </c>
      <c r="B8" s="2200" t="s">
        <v>3407</v>
      </c>
      <c r="C8" s="2201"/>
      <c r="D8" s="3232" t="s">
        <v>2172</v>
      </c>
      <c r="E8" s="2202" t="s">
        <v>3408</v>
      </c>
      <c r="F8" s="2203"/>
      <c r="G8" s="2442"/>
      <c r="H8" s="2442"/>
      <c r="I8" s="2442"/>
      <c r="J8" s="2245"/>
      <c r="K8" s="2400"/>
      <c r="L8" s="2399"/>
      <c r="M8" s="2399"/>
      <c r="N8" s="2245"/>
      <c r="O8" s="1670"/>
      <c r="P8" s="2245"/>
      <c r="Q8" s="2245"/>
      <c r="R8" s="2245"/>
    </row>
    <row r="9" spans="1:30" ht="13.5" thickBot="1">
      <c r="A9" s="2204" t="s">
        <v>2173</v>
      </c>
      <c r="B9" s="2205" t="s">
        <v>3408</v>
      </c>
      <c r="C9" s="2206"/>
      <c r="D9" s="3233"/>
      <c r="E9" s="2205"/>
      <c r="F9" s="2207"/>
      <c r="G9" s="2443"/>
      <c r="H9" s="2443"/>
      <c r="I9" s="2443"/>
      <c r="J9" s="2245"/>
      <c r="K9" s="2402"/>
      <c r="L9" s="2399"/>
      <c r="M9" s="2399"/>
      <c r="N9" s="2245"/>
      <c r="O9" s="1670"/>
      <c r="P9" s="2245"/>
      <c r="Q9" s="2245"/>
      <c r="R9" s="2245"/>
    </row>
    <row r="10" spans="1:30" ht="13.5" thickTop="1">
      <c r="A10" s="2208" t="s">
        <v>2174</v>
      </c>
      <c r="B10" s="2209" t="s">
        <v>3409</v>
      </c>
      <c r="C10" s="2210"/>
      <c r="D10" s="2193"/>
      <c r="E10" s="2211" t="s">
        <v>2175</v>
      </c>
      <c r="F10" s="3162" t="s">
        <v>3482</v>
      </c>
      <c r="G10" s="2444"/>
      <c r="H10" s="2445"/>
      <c r="I10" s="2446"/>
      <c r="J10" s="2245"/>
      <c r="K10" s="2402"/>
      <c r="L10" s="2399"/>
      <c r="M10" s="2399"/>
      <c r="N10" s="2245"/>
      <c r="O10" s="1670"/>
      <c r="P10" s="2245"/>
      <c r="Q10" s="2245"/>
      <c r="R10" s="2245"/>
    </row>
    <row r="11" spans="1:30">
      <c r="A11" s="2212" t="s">
        <v>2176</v>
      </c>
      <c r="B11" s="2213" t="s">
        <v>3410</v>
      </c>
      <c r="C11" s="2214"/>
      <c r="D11" s="2215"/>
      <c r="E11" s="2182"/>
      <c r="F11" s="2182"/>
      <c r="G11" s="2182"/>
      <c r="H11" s="2182"/>
      <c r="I11" s="2182"/>
      <c r="J11" s="2801"/>
      <c r="K11" s="2399"/>
      <c r="L11" s="2399"/>
      <c r="M11" s="2399"/>
      <c r="N11" s="2245"/>
      <c r="O11" s="1670"/>
      <c r="P11" s="2245"/>
      <c r="Q11" s="2245"/>
      <c r="R11" s="2245"/>
    </row>
    <row r="12" spans="1:30">
      <c r="A12" s="2216" t="s">
        <v>2177</v>
      </c>
      <c r="B12" s="315" t="s">
        <v>2178</v>
      </c>
      <c r="C12" s="2217" t="s">
        <v>2179</v>
      </c>
      <c r="D12" s="2217" t="s">
        <v>2180</v>
      </c>
      <c r="E12" s="2217" t="s">
        <v>2181</v>
      </c>
      <c r="F12" s="2217" t="s">
        <v>2182</v>
      </c>
      <c r="G12" s="2217" t="s">
        <v>2183</v>
      </c>
      <c r="H12" s="2217" t="s">
        <v>2184</v>
      </c>
      <c r="I12" s="2800" t="s">
        <v>2571</v>
      </c>
      <c r="J12" s="2802"/>
      <c r="K12" s="2399"/>
      <c r="L12" s="2399"/>
      <c r="M12" s="2245"/>
      <c r="N12" s="1670"/>
      <c r="O12" s="2245"/>
      <c r="P12" s="2245"/>
      <c r="Q12" s="2245"/>
      <c r="AD12" s="1618"/>
    </row>
    <row r="13" spans="1:30">
      <c r="A13" s="3121" t="s">
        <v>3327</v>
      </c>
      <c r="B13" s="2218" t="s">
        <v>2185</v>
      </c>
      <c r="C13" s="803"/>
      <c r="D13" s="803"/>
      <c r="E13" s="803"/>
      <c r="F13" s="803"/>
      <c r="G13" s="803"/>
      <c r="H13" s="803">
        <v>55635</v>
      </c>
      <c r="I13" s="803"/>
      <c r="J13" s="2802"/>
      <c r="K13" s="2399"/>
      <c r="L13" s="2399"/>
      <c r="M13" s="2245"/>
      <c r="N13" s="1670"/>
      <c r="O13" s="2245"/>
      <c r="P13" s="2245"/>
      <c r="Q13" s="2245"/>
      <c r="AD13" s="1618"/>
    </row>
    <row r="14" spans="1:30">
      <c r="A14" s="1018"/>
      <c r="B14" s="2218" t="s">
        <v>2186</v>
      </c>
      <c r="C14" s="2219"/>
      <c r="D14" s="2219"/>
      <c r="E14" s="2219"/>
      <c r="F14" s="2219"/>
      <c r="G14" s="2219"/>
      <c r="H14" s="2219">
        <v>50</v>
      </c>
      <c r="I14" s="2219"/>
      <c r="J14" s="2803"/>
      <c r="K14" s="2399"/>
      <c r="L14" s="2399"/>
      <c r="M14" s="2245"/>
      <c r="N14" s="1670"/>
      <c r="O14" s="2245"/>
      <c r="P14" s="2245"/>
      <c r="Q14" s="2245"/>
      <c r="AD14" s="1618"/>
    </row>
    <row r="15" spans="1:30">
      <c r="A15" s="312"/>
      <c r="B15" s="2220" t="s">
        <v>2187</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26.98</v>
      </c>
      <c r="I15" s="2221" t="str">
        <f>IF(A13="出让",IF(I13="","",ROUNDDOWN(MIN((I13-$D$3)/365,I14),2)),I14)</f>
        <v/>
      </c>
      <c r="J15" s="2804"/>
      <c r="K15" s="1670"/>
      <c r="L15" s="1670"/>
      <c r="M15" s="2245"/>
      <c r="N15" s="1670"/>
      <c r="O15" s="2245"/>
      <c r="P15" s="2245"/>
      <c r="Q15" s="2245"/>
      <c r="AD15" s="1618"/>
    </row>
    <row r="16" spans="1:30">
      <c r="A16" s="2211" t="s">
        <v>2188</v>
      </c>
      <c r="B16" s="3239"/>
      <c r="C16" s="3240"/>
      <c r="D16" s="3241"/>
      <c r="E16" s="2222" t="s">
        <v>2189</v>
      </c>
      <c r="F16" s="3242"/>
      <c r="G16" s="3243"/>
      <c r="H16" s="3243"/>
      <c r="I16" s="3244"/>
      <c r="J16" s="2245"/>
      <c r="K16" s="2403"/>
      <c r="L16" s="1670"/>
      <c r="M16" s="1670"/>
      <c r="N16" s="2245"/>
      <c r="O16" s="1670"/>
      <c r="P16" s="2245"/>
      <c r="Q16" s="2245"/>
      <c r="R16" s="2245"/>
    </row>
    <row r="17" spans="1:28">
      <c r="A17" s="305" t="s">
        <v>2190</v>
      </c>
      <c r="B17" s="294" t="s">
        <v>2191</v>
      </c>
      <c r="C17" s="8">
        <f>'数据-汇总表'!E3</f>
        <v>309.42</v>
      </c>
      <c r="D17" s="1256" t="s">
        <v>2192</v>
      </c>
      <c r="E17" s="3245" t="s">
        <v>2193</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2194</v>
      </c>
      <c r="B18" s="1027" t="s">
        <v>2195</v>
      </c>
      <c r="C18" s="2224">
        <f>'数据-汇总表'!D3</f>
        <v>0</v>
      </c>
      <c r="D18" s="1029" t="s">
        <v>2196</v>
      </c>
      <c r="E18" s="3248" t="s">
        <v>2197</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1052</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2200</v>
      </c>
      <c r="B20" s="3235" t="s">
        <v>2201</v>
      </c>
      <c r="C20" s="3236"/>
      <c r="D20" s="3237" t="s">
        <v>2202</v>
      </c>
      <c r="E20" s="3238"/>
      <c r="F20" s="2430" t="s">
        <v>1053</v>
      </c>
      <c r="G20" s="2442"/>
      <c r="H20" s="2442"/>
      <c r="I20" s="2442"/>
      <c r="J20" s="2245"/>
      <c r="K20" s="323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2204</v>
      </c>
      <c r="C21" s="2296" t="s">
        <v>1054</v>
      </c>
      <c r="D21" s="1460" t="s">
        <v>2205</v>
      </c>
      <c r="E21" s="2419" t="s">
        <v>1054</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2206</v>
      </c>
      <c r="C22" s="2296" t="s">
        <v>1055</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1056</v>
      </c>
      <c r="C24" s="2271"/>
      <c r="D24" s="2421" t="s">
        <v>1056</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1057</v>
      </c>
      <c r="C25" s="2271"/>
      <c r="D25" s="2421" t="s">
        <v>1057</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1058</v>
      </c>
      <c r="C26" s="2428"/>
      <c r="D26" s="2426" t="s">
        <v>1058</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2209</v>
      </c>
      <c r="B27" s="312" t="s">
        <v>2210</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2211</v>
      </c>
      <c r="C28" s="2227" t="s">
        <v>3412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2212</v>
      </c>
      <c r="C29" s="2229" t="s">
        <v>3413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2213</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2214</v>
      </c>
      <c r="B31" s="2231" t="s">
        <v>3414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222" t="s">
        <v>2223</v>
      </c>
      <c r="T34" s="315" t="str">
        <f>NUMBERSTRING(7-K34,1)&amp;"通"</f>
        <v>七通</v>
      </c>
      <c r="U34" s="2245"/>
      <c r="V34" s="2245"/>
    </row>
    <row r="35" spans="1:30">
      <c r="A35" s="2236"/>
      <c r="B35" s="3222" t="s">
        <v>2224</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2180</v>
      </c>
      <c r="C36" s="8" t="s">
        <v>2181</v>
      </c>
      <c r="D36" s="8" t="s">
        <v>2179</v>
      </c>
      <c r="E36" s="8" t="s">
        <v>2184</v>
      </c>
      <c r="F36" s="2800" t="s">
        <v>2574</v>
      </c>
      <c r="G36" s="2442"/>
      <c r="H36" s="2442"/>
      <c r="I36" s="2442"/>
      <c r="J36" s="2245"/>
      <c r="K36" s="2402"/>
      <c r="L36" s="2399"/>
      <c r="M36" s="2399"/>
      <c r="N36" s="2245"/>
      <c r="O36" s="1670"/>
      <c r="P36" s="2245"/>
      <c r="Q36" s="2245"/>
      <c r="R36" s="2245"/>
      <c r="S36" s="2245"/>
      <c r="T36" s="2245"/>
      <c r="U36" s="2245"/>
      <c r="V36" s="2245"/>
    </row>
    <row r="37" spans="1:30">
      <c r="A37" s="2415" t="s">
        <v>2225</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t="s">
        <v>3000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309.42</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309.42</v>
      </c>
      <c r="H5" s="13">
        <f t="shared" ref="H5:AT5" si="0">SUM(H13:H656)</f>
        <v>309.42</v>
      </c>
      <c r="I5" s="13">
        <f t="shared" si="0"/>
        <v>309.42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309.42</v>
      </c>
      <c r="BA5" s="15">
        <f t="shared" si="1"/>
        <v>309.42</v>
      </c>
      <c r="BB5" s="15">
        <f t="shared" si="1"/>
        <v>309.42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3416</v>
      </c>
      <c r="J9" s="761"/>
      <c r="K9" s="1491"/>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f>K9</f>
        <v>0</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3417</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309.42</v>
      </c>
      <c r="H13" s="17">
        <f>SUMIF(I$12:AB$12,"总值",I13:AB13)</f>
        <v>309.42</v>
      </c>
      <c r="I13" s="1514">
        <v>309.42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309.42</v>
      </c>
      <c r="BA13" s="13">
        <f>SUM(BB13:BK13)</f>
        <v>309.42</v>
      </c>
      <c r="BB13" s="13">
        <f>IF($D13="是",I13-J13,0)</f>
        <v>309.42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60" t="s">
        <v>1128</v>
      </c>
      <c r="B2" s="3260"/>
      <c r="C2" s="3260"/>
      <c r="D2" s="748" t="s">
        <v>1104</v>
      </c>
      <c r="E2" s="1523" t="s">
        <v>1105</v>
      </c>
      <c r="F2" s="2439"/>
      <c r="G2" s="2432"/>
      <c r="H2" s="2433"/>
      <c r="I2" s="2146" t="s">
        <v>1129</v>
      </c>
      <c r="J2" s="2439"/>
      <c r="K2" s="2439"/>
      <c r="L2" s="2439"/>
      <c r="M2" s="2439"/>
      <c r="N2" s="2440"/>
      <c r="O2" s="2439"/>
      <c r="P2" s="2439"/>
    </row>
    <row r="3" spans="1:16" ht="15.75" thickBot="1">
      <c r="A3" s="3261" t="s">
        <v>1102</v>
      </c>
      <c r="B3" s="3261"/>
      <c r="C3" s="3261"/>
      <c r="D3" s="41">
        <f>'数据-基础表'!AY6</f>
        <v>0</v>
      </c>
      <c r="E3" s="41">
        <f>'数据-基础表'!AZ5</f>
        <v>309.42</v>
      </c>
      <c r="F3" s="2439"/>
      <c r="G3" s="42"/>
      <c r="H3" s="43" t="s">
        <v>1103</v>
      </c>
      <c r="I3" s="802" t="e">
        <f>ROUND('数据-基础表'!B3/'数据-基础表'!A3,2)</f>
        <v>#DIV/0!</v>
      </c>
      <c r="J3" s="2439"/>
      <c r="K3" s="2439"/>
      <c r="L3" s="2439"/>
      <c r="M3" s="2439"/>
      <c r="N3" s="2440"/>
      <c r="O3" s="2439"/>
      <c r="P3" s="2439"/>
    </row>
    <row r="4" spans="1:16" ht="15">
      <c r="A4" s="3262"/>
      <c r="B4" s="3263"/>
      <c r="C4" s="3264"/>
      <c r="D4" s="1524" t="s">
        <v>1104</v>
      </c>
      <c r="E4" s="1525" t="s">
        <v>1105</v>
      </c>
      <c r="F4" s="2439"/>
      <c r="G4" s="2434" t="s">
        <v>1130</v>
      </c>
      <c r="H4" s="43" t="s">
        <v>1110</v>
      </c>
      <c r="I4" s="802" t="e">
        <f>ROUND(SUMIF('数据-基础表'!I9:AS9,"地上",'数据-基础表'!I5:AS5)/'数据-基础表'!A3,2)</f>
        <v>#DIV/0!</v>
      </c>
      <c r="J4" s="2439"/>
      <c r="K4" s="2439"/>
      <c r="L4" s="2439"/>
      <c r="M4" s="2439"/>
      <c r="N4" s="2440"/>
      <c r="O4" s="2439"/>
      <c r="P4" s="2439"/>
    </row>
    <row r="5" spans="1:16">
      <c r="A5" s="42" t="s">
        <v>1106</v>
      </c>
      <c r="B5" s="3265" t="s">
        <v>1107</v>
      </c>
      <c r="C5" s="3265"/>
      <c r="D5" s="43">
        <f>ROUND($D$3*E5/$E$3,2)</f>
        <v>0</v>
      </c>
      <c r="E5" s="44">
        <f>SUMIF('数据-基础表'!$11:$11,"住宅",'数据-基础表'!$5:$5)</f>
        <v>0</v>
      </c>
      <c r="F5" s="2439"/>
      <c r="G5" s="42"/>
      <c r="H5" s="43" t="s">
        <v>1103</v>
      </c>
      <c r="I5" s="802" t="e">
        <f>ROUND(E31/D31,2)</f>
        <v>#DIV/0!</v>
      </c>
      <c r="J5" s="2439"/>
      <c r="K5" s="2439"/>
      <c r="L5" s="2439"/>
      <c r="M5" s="2439"/>
      <c r="N5" s="2439"/>
      <c r="O5" s="2439"/>
      <c r="P5" s="2439"/>
    </row>
    <row r="6" spans="1:16" ht="15" thickBot="1">
      <c r="A6" s="1527"/>
      <c r="B6" s="3265" t="s">
        <v>1108</v>
      </c>
      <c r="C6" s="3265"/>
      <c r="D6" s="43">
        <f>ROUND($D$3*E6/$E$3,2)</f>
        <v>0</v>
      </c>
      <c r="E6" s="44">
        <f>E3-E5</f>
        <v>309.42</v>
      </c>
      <c r="F6" s="2439"/>
      <c r="G6" s="1529" t="s">
        <v>1109</v>
      </c>
      <c r="H6" s="45" t="s">
        <v>1110</v>
      </c>
      <c r="I6" s="2435" t="e">
        <f>ROUND(F31/D31,2)</f>
        <v>#DIV/0!</v>
      </c>
      <c r="J6" s="2439"/>
      <c r="K6" s="2439"/>
      <c r="L6" s="2439"/>
      <c r="M6" s="2439"/>
      <c r="N6" s="2439"/>
      <c r="O6" s="2439"/>
      <c r="P6" s="2439"/>
    </row>
    <row r="7" spans="1:16" ht="15.75" thickBot="1">
      <c r="A7" s="3257"/>
      <c r="B7" s="3258"/>
      <c r="C7" s="3259"/>
      <c r="D7" s="1524" t="s">
        <v>1104</v>
      </c>
      <c r="E7" s="1528" t="s">
        <v>1111</v>
      </c>
      <c r="F7" s="2439"/>
      <c r="G7" s="2436" t="s">
        <v>1112</v>
      </c>
      <c r="H7" s="95"/>
      <c r="I7" s="2437">
        <v>1</v>
      </c>
      <c r="J7" s="2439"/>
      <c r="K7" s="2439"/>
      <c r="L7" s="2439"/>
      <c r="M7" s="2439"/>
      <c r="N7" s="2439"/>
      <c r="O7" s="2439"/>
      <c r="P7" s="2439"/>
    </row>
    <row r="8" spans="1:16">
      <c r="A8" s="42" t="s">
        <v>1113</v>
      </c>
      <c r="B8" s="45" t="s">
        <v>1114</v>
      </c>
      <c r="C8" s="43" t="s">
        <v>1115</v>
      </c>
      <c r="D8" s="43">
        <f t="shared" ref="D8:D15" si="0">ROUND($D$3*E8/$E$3,2)</f>
        <v>0</v>
      </c>
      <c r="E8" s="46">
        <f>SUMIF('数据-基础表'!BB10:BK10,"地上",'数据-基础表'!BB5:BK5)</f>
        <v>309.42</v>
      </c>
      <c r="F8" s="2439"/>
      <c r="G8" s="2439"/>
      <c r="H8" s="2439"/>
      <c r="I8" s="2439"/>
      <c r="J8" s="2439"/>
      <c r="K8" s="2439"/>
      <c r="L8" s="2439"/>
      <c r="M8" s="2439"/>
      <c r="N8" s="2439"/>
      <c r="O8" s="2439"/>
      <c r="P8" s="2439"/>
    </row>
    <row r="9" spans="1:16">
      <c r="A9" s="1529"/>
      <c r="B9" s="1530"/>
      <c r="C9" s="43" t="s">
        <v>1116</v>
      </c>
      <c r="D9" s="43">
        <f t="shared" si="0"/>
        <v>0</v>
      </c>
      <c r="E9" s="47">
        <v>0</v>
      </c>
      <c r="F9" s="2439"/>
      <c r="G9" s="2439"/>
      <c r="H9" s="2439"/>
      <c r="I9" s="2439"/>
      <c r="J9" s="2439"/>
      <c r="K9" s="2439"/>
      <c r="L9" s="2439"/>
      <c r="M9" s="2439"/>
      <c r="N9" s="2439"/>
      <c r="O9" s="2439"/>
      <c r="P9" s="2439"/>
    </row>
    <row r="10" spans="1:16">
      <c r="A10" s="1529"/>
      <c r="B10" s="1530"/>
      <c r="C10" s="43" t="s">
        <v>1125</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1117</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1118</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1119</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1131</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1126</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1120</v>
      </c>
      <c r="D16" s="45">
        <f>SUM(D8:D15)</f>
        <v>0</v>
      </c>
      <c r="E16" s="48">
        <f>SUM(E8:E15)</f>
        <v>309.42</v>
      </c>
      <c r="F16" s="2439"/>
      <c r="G16" s="2439"/>
      <c r="H16" s="1531" t="s">
        <v>1132</v>
      </c>
      <c r="I16" s="1532"/>
      <c r="J16" s="1071"/>
      <c r="K16" s="3254" t="s">
        <v>1132</v>
      </c>
      <c r="L16" s="3255"/>
      <c r="M16" s="3255"/>
      <c r="N16" s="3255"/>
      <c r="O16" s="3255"/>
      <c r="P16" s="3256"/>
    </row>
    <row r="17" spans="1:19" ht="15">
      <c r="A17" s="1533" t="s">
        <v>1133</v>
      </c>
      <c r="B17" s="1534" t="s">
        <v>1134</v>
      </c>
      <c r="C17" s="1535" t="s">
        <v>1135</v>
      </c>
      <c r="D17" s="1536" t="s">
        <v>1123</v>
      </c>
      <c r="E17" s="1537" t="s">
        <v>1124</v>
      </c>
      <c r="F17" s="1538"/>
      <c r="G17" s="1539"/>
      <c r="H17" s="1540" t="s">
        <v>1136</v>
      </c>
      <c r="I17" s="1541" t="s">
        <v>1121</v>
      </c>
      <c r="J17" s="1071"/>
      <c r="K17" s="3251" t="s">
        <v>1137</v>
      </c>
      <c r="L17" s="3252"/>
      <c r="M17" s="3253"/>
      <c r="N17" s="3251" t="s">
        <v>1138</v>
      </c>
      <c r="O17" s="3252"/>
      <c r="P17" s="3253"/>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5" t="s">
        <v>3489</v>
      </c>
      <c r="D19" s="43">
        <f>ROUND($D$3*E19/$E$3,2)</f>
        <v>0</v>
      </c>
      <c r="E19" s="51">
        <f t="shared" ref="E19:E26" si="1">SUM(F19:G19)</f>
        <v>309.42</v>
      </c>
      <c r="F19" s="2557">
        <f>'数据-基础表'!I13</f>
        <v>309.42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309.42</v>
      </c>
    </row>
    <row r="20" spans="1:19">
      <c r="A20" s="1549"/>
      <c r="B20" s="45" t="s">
        <v>1150</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1150</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1150</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0</v>
      </c>
      <c r="E27" s="1073">
        <f>IF(SUM(E19:E26)='数据-基础表'!BA5,SUM(E19:E26),IF(F27="地上面积有误","面积有误","地下面积有误"))</f>
        <v>309.42</v>
      </c>
      <c r="F27" s="1072">
        <f>IF(SUM(F19:F26)=E8,SUM(F19:F26),"地上面积有误")</f>
        <v>309.42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309.42</v>
      </c>
    </row>
    <row r="28" spans="1:19">
      <c r="A28" s="1549"/>
      <c r="B28" s="45" t="s">
        <v>1152</v>
      </c>
      <c r="C28" s="54" t="s">
        <v>1153</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1152</v>
      </c>
      <c r="C29" s="1555" t="s">
        <v>1154</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1151</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1155</v>
      </c>
      <c r="D31" s="643">
        <f>D27+D30</f>
        <v>0</v>
      </c>
      <c r="E31" s="643">
        <f>E27+E30</f>
        <v>309.42</v>
      </c>
      <c r="F31" s="644">
        <f>F27+F30</f>
        <v>309.42</v>
      </c>
      <c r="G31" s="645">
        <f>G27+G30</f>
        <v>0</v>
      </c>
      <c r="H31" s="2439"/>
      <c r="I31" s="2439"/>
      <c r="J31" s="2439"/>
      <c r="K31" s="2439"/>
      <c r="L31" s="2439"/>
      <c r="M31" s="2439"/>
      <c r="N31" s="2439"/>
      <c r="O31" s="2439"/>
      <c r="P31" s="2439"/>
    </row>
    <row r="32" spans="1:19">
      <c r="A32" s="1526"/>
      <c r="B32" s="1526" t="s">
        <v>1156</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1158</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8"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3418</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工业201</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26.98</v>
      </c>
      <c r="G6" s="62">
        <f>IF(ISERROR(ROUND(POWER(1+H6,D6-F6)*(POWER(1+H6,F6)-1)/(POWER(1+H6,D6)-1),3)),0,ROUND(POWER(1+H6,D6-F6)*(POWER(1+H6,F6)-1)/(POWER(1+H6,D6)-1),3))</f>
        <v>0.80200000000000005</v>
      </c>
      <c r="H6" s="691">
        <v>0.05</v>
      </c>
      <c r="I6" s="691">
        <v>5.5E-2</v>
      </c>
      <c r="J6" s="63">
        <v>7.0000000000000007E-2</v>
      </c>
      <c r="K6" s="970">
        <f>SUMIF('数据-汇总表'!C$19:C$33,A6,'数据-汇总表'!E$19:E$33)</f>
        <v>309.42</v>
      </c>
      <c r="L6" s="3175">
        <v>4000</v>
      </c>
      <c r="M6" s="64">
        <f t="shared" ref="M6:M14" si="0">ROUND(K6*L6/10000,0)</f>
        <v>124</v>
      </c>
      <c r="N6" s="690">
        <f>ROUND(1-(1-0%)*(2025-N19)/60,2)</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77">
        <v>1.2</v>
      </c>
      <c r="V6" s="67">
        <v>1.4999999999999999E-2</v>
      </c>
      <c r="W6" s="67">
        <v>0.1</v>
      </c>
      <c r="X6" s="979"/>
      <c r="Y6" s="68">
        <f>N6</f>
        <v>0.88</v>
      </c>
      <c r="Z6" s="69"/>
      <c r="AA6" s="63"/>
      <c r="AB6" s="63"/>
      <c r="AC6" s="979"/>
      <c r="AD6" s="70"/>
      <c r="AE6" s="980">
        <f ca="1">IF(AN6="",0,SUMIF(INDIRECT("'"&amp;AN6&amp;"'"&amp;"!E:E"),$AE$5,INDIRECT("'"&amp;AN6&amp;"'"&amp;"!F:F")))</f>
        <v>26.98</v>
      </c>
      <c r="AF6" s="74"/>
      <c r="AG6" s="130">
        <f>IF(AF6="",0,AE6-AF6)</f>
        <v>0</v>
      </c>
      <c r="AH6" s="71"/>
      <c r="AI6" s="73">
        <v>365</v>
      </c>
      <c r="AJ6" s="74"/>
      <c r="AK6" s="75">
        <v>3.0000000000000001E-3</v>
      </c>
      <c r="AL6" s="76">
        <v>1E-3</v>
      </c>
      <c r="AM6" s="77">
        <v>0.01</v>
      </c>
      <c r="AN6" s="1589" t="s">
        <v>3422</v>
      </c>
      <c r="AO6" s="50">
        <f ca="1">SUMIF(INDIRECT("'"&amp;AN6&amp;"'"&amp;"!A:A"),"总价",INDIRECT("'"&amp;AN6&amp;"'"&amp;"!B:B"))</f>
        <v>162.61930000000001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0.80200000000000005</v>
      </c>
      <c r="H16" s="84">
        <f>ROUND(SUMPRODUCT(H6:H13,K6:K13)/SUMPRODUCT((H6:H13&gt;0)*(K6:K13)),3)</f>
        <v>0.05</v>
      </c>
      <c r="I16" s="85"/>
      <c r="J16" s="85"/>
      <c r="K16" s="86">
        <f>SUM(K6:K15)</f>
        <v>309.42</v>
      </c>
      <c r="L16" s="87">
        <f>ROUND(M16*10000/SUM(K6:K14),0)</f>
        <v>4007</v>
      </c>
      <c r="M16" s="87">
        <f>SUM(M6:M14)</f>
        <v>124</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1207</v>
      </c>
      <c r="B18" s="2460"/>
      <c r="C18" s="2439"/>
      <c r="D18" s="2451"/>
      <c r="E18" s="2439"/>
      <c r="F18" s="2439"/>
      <c r="G18" s="2439"/>
      <c r="H18" s="2439"/>
      <c r="I18" s="2439"/>
      <c r="J18" s="2439"/>
      <c r="K18" s="2449"/>
      <c r="L18" s="2449"/>
      <c r="M18" s="2448"/>
      <c r="N18" s="2448"/>
      <c r="O18" s="2448"/>
      <c r="P18" s="2448"/>
      <c r="Q18" s="2448">
        <f>Q6/B20</f>
        <v>0.05</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1208</v>
      </c>
      <c r="B19" s="97">
        <v>0</v>
      </c>
      <c r="C19" s="2560" t="s">
        <v>2297</v>
      </c>
      <c r="D19" s="2451"/>
      <c r="E19" s="2439"/>
      <c r="F19" s="2439"/>
      <c r="G19" s="2439"/>
      <c r="H19" s="2439"/>
      <c r="I19" s="2439"/>
      <c r="J19" s="2439"/>
      <c r="K19" s="2449"/>
      <c r="L19" s="2449"/>
      <c r="M19" s="2448"/>
      <c r="N19" s="2448">
        <v>2018</v>
      </c>
      <c r="O19" s="2448"/>
      <c r="P19" s="2448"/>
      <c r="Q19" s="2448"/>
      <c r="R19" s="2448"/>
      <c r="S19" s="2448"/>
      <c r="T19" s="2448"/>
      <c r="U19" s="2448">
        <f>'比较法-工业'!C43</f>
        <v>11204</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1209</v>
      </c>
      <c r="B20" s="98">
        <v>2</v>
      </c>
      <c r="C20" s="2561" t="s">
        <v>2295</v>
      </c>
      <c r="D20" s="2451"/>
      <c r="E20" s="2439"/>
      <c r="F20" s="2439"/>
      <c r="G20" s="2439"/>
      <c r="H20" s="2439"/>
      <c r="I20" s="2439"/>
      <c r="J20" s="2439"/>
      <c r="K20" s="2449"/>
      <c r="L20" s="2449"/>
      <c r="M20" s="2448"/>
      <c r="N20" s="2448"/>
      <c r="O20" s="2448"/>
      <c r="P20" s="2448"/>
      <c r="Q20" s="2448"/>
      <c r="R20" s="2448"/>
      <c r="S20" s="2448"/>
      <c r="T20" s="2448"/>
      <c r="U20" s="2448">
        <f>U6*365/U19</f>
        <v>3.9093181006783294E-2</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1210</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1211</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1212</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1213</v>
      </c>
      <c r="B24" s="100">
        <f>B20-B21</f>
        <v>0</v>
      </c>
      <c r="C24" s="2439"/>
      <c r="D24" s="2451"/>
      <c r="E24" s="2439"/>
      <c r="F24" s="2439"/>
      <c r="G24" s="2439"/>
      <c r="H24" s="2439"/>
      <c r="I24" s="2439"/>
      <c r="J24" s="2439"/>
      <c r="K24" s="2449"/>
      <c r="L24" s="2449"/>
      <c r="M24" s="2448"/>
      <c r="N24" s="2448"/>
      <c r="O24" s="2448"/>
      <c r="P24" s="2448"/>
      <c r="Q24" s="2448"/>
      <c r="R24" s="2448"/>
      <c r="S24" s="2448"/>
      <c r="T24" s="2448"/>
      <c r="U24" s="2448">
        <f>1.3*0.9</f>
        <v>1.1700000000000002</v>
      </c>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1214</v>
      </c>
      <c r="B26" s="1600" t="s">
        <v>1215</v>
      </c>
      <c r="C26" s="2452" t="s">
        <v>1216</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1217</v>
      </c>
      <c r="B27" s="101">
        <v>160</v>
      </c>
      <c r="C27" s="2562" t="s">
        <v>2299</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1218</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1219</v>
      </c>
      <c r="B29" s="105">
        <f ca="1">'成本法 (元)'!C10/10000</f>
        <v>6.1883999999999997</v>
      </c>
      <c r="C29" s="2563" t="s">
        <v>2289</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1220</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1221</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1222</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1223</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1224</v>
      </c>
      <c r="B34" s="106"/>
      <c r="C34" s="2564" t="s">
        <v>2290</v>
      </c>
      <c r="D34" s="2459" t="s">
        <v>2296</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1225</v>
      </c>
      <c r="B35" s="103">
        <v>200</v>
      </c>
      <c r="C35" s="2564" t="s">
        <v>2291</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1226</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1227</v>
      </c>
      <c r="B37" s="108">
        <v>0.03</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1228</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1229</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1230</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1231</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1232</v>
      </c>
      <c r="B43" s="111">
        <f>B42*(B44+B45+B46)+B47</f>
        <v>5.000000000000001E-3</v>
      </c>
      <c r="C43" s="2453"/>
      <c r="D43" s="2451"/>
      <c r="E43" s="3174" t="s">
        <v>3484</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1233</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1234</v>
      </c>
      <c r="B45" s="110">
        <v>0.03</v>
      </c>
      <c r="C45" s="2563" t="s">
        <v>2292</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1235</v>
      </c>
      <c r="B46" s="110">
        <v>0.02</v>
      </c>
      <c r="C46" s="2563" t="s">
        <v>2293</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1236</v>
      </c>
      <c r="B47" s="113"/>
      <c r="C47" s="2566" t="s">
        <v>2300</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1237</v>
      </c>
      <c r="B48" s="114">
        <v>0.03</v>
      </c>
      <c r="C48" s="2563" t="s">
        <v>2292</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1238</v>
      </c>
      <c r="B49" s="110">
        <v>5.0000000000000001E-4</v>
      </c>
      <c r="C49" s="2563" t="s">
        <v>2294</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1239</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1240</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1241</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1242</v>
      </c>
      <c r="B53" s="1611"/>
      <c r="C53" s="2440" t="s">
        <v>1243</v>
      </c>
      <c r="D53" s="2565" t="s">
        <v>2298</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1244</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1245</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1246</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1247</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1248</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1249</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1250</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1251</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1252</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1253</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2281</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48">
      <c r="A3" s="2247" t="s">
        <v>2278</v>
      </c>
      <c r="B3" s="2264" t="s">
        <v>2247</v>
      </c>
      <c r="C3" s="2265" t="s">
        <v>2279</v>
      </c>
      <c r="D3" s="2266"/>
      <c r="E3" s="2248" t="s">
        <v>2278</v>
      </c>
      <c r="F3" s="2267" t="s">
        <v>2248</v>
      </c>
      <c r="G3" s="2268" t="s">
        <v>2280</v>
      </c>
      <c r="H3" s="751"/>
      <c r="I3" s="751"/>
      <c r="J3" s="751"/>
      <c r="K3" s="751"/>
      <c r="L3" s="751"/>
      <c r="M3" s="751"/>
      <c r="N3" s="751"/>
      <c r="O3" s="751"/>
      <c r="P3" s="751"/>
      <c r="Q3" s="751"/>
    </row>
    <row r="4" spans="1:29" ht="36.75">
      <c r="A4" s="2248"/>
      <c r="B4" s="315" t="s">
        <v>2249</v>
      </c>
      <c r="C4" s="2269" t="s">
        <v>2250</v>
      </c>
      <c r="D4" s="2266"/>
      <c r="E4" s="2270"/>
      <c r="F4" s="1281" t="s">
        <v>2251</v>
      </c>
      <c r="G4" s="2271" t="s">
        <v>2252</v>
      </c>
      <c r="H4" s="751"/>
      <c r="I4" s="751"/>
      <c r="J4" s="751"/>
      <c r="K4" s="751"/>
      <c r="L4" s="751"/>
      <c r="M4" s="751"/>
      <c r="N4" s="751"/>
      <c r="O4" s="751"/>
      <c r="P4" s="751"/>
      <c r="Q4" s="751"/>
    </row>
    <row r="5" spans="1:29" ht="36.75">
      <c r="A5" s="2248"/>
      <c r="B5" s="315" t="s">
        <v>2253</v>
      </c>
      <c r="C5" s="2269" t="s">
        <v>2254</v>
      </c>
      <c r="D5" s="2266"/>
      <c r="E5" s="2270"/>
      <c r="F5" s="315" t="s">
        <v>2255</v>
      </c>
      <c r="G5" s="2271" t="s">
        <v>2256</v>
      </c>
      <c r="H5" s="751"/>
      <c r="I5" s="751"/>
      <c r="J5" s="751"/>
      <c r="K5" s="751"/>
      <c r="L5" s="751"/>
      <c r="M5" s="751"/>
      <c r="N5" s="751"/>
      <c r="O5" s="751"/>
      <c r="P5" s="751"/>
      <c r="Q5" s="751"/>
    </row>
    <row r="6" spans="1:29" ht="36">
      <c r="A6" s="2248"/>
      <c r="B6" s="315" t="s">
        <v>2257</v>
      </c>
      <c r="C6" s="2271" t="s">
        <v>2252</v>
      </c>
      <c r="D6" s="2266"/>
      <c r="E6" s="2270"/>
      <c r="F6" s="315" t="s">
        <v>2258</v>
      </c>
      <c r="G6" s="2271" t="s">
        <v>2259</v>
      </c>
      <c r="H6" s="751"/>
      <c r="I6" s="751"/>
      <c r="J6" s="751"/>
      <c r="K6" s="751"/>
      <c r="L6" s="751"/>
      <c r="M6" s="751"/>
      <c r="N6" s="751"/>
      <c r="O6" s="751"/>
      <c r="P6" s="751"/>
      <c r="Q6" s="751"/>
    </row>
    <row r="7" spans="1:29" ht="24.75" thickBot="1">
      <c r="A7" s="2248"/>
      <c r="B7" s="315" t="s">
        <v>2255</v>
      </c>
      <c r="C7" s="2271" t="s">
        <v>2256</v>
      </c>
      <c r="D7" s="2245"/>
      <c r="E7" s="2272"/>
      <c r="F7" s="2273" t="s">
        <v>2260</v>
      </c>
      <c r="G7" s="2274" t="s">
        <v>2261</v>
      </c>
      <c r="H7" s="751"/>
      <c r="I7" s="751"/>
      <c r="J7" s="751"/>
      <c r="K7" s="751"/>
      <c r="L7" s="751"/>
      <c r="M7" s="751"/>
      <c r="N7" s="751"/>
      <c r="O7" s="751"/>
      <c r="P7" s="751"/>
      <c r="Q7" s="751"/>
    </row>
    <row r="8" spans="1:29">
      <c r="A8" s="2248"/>
      <c r="B8" s="315" t="s">
        <v>2258</v>
      </c>
      <c r="C8" s="2271" t="s">
        <v>2259</v>
      </c>
      <c r="D8" s="2245"/>
      <c r="E8" s="2245"/>
      <c r="F8" s="121"/>
      <c r="G8" s="121"/>
      <c r="H8" s="751"/>
      <c r="I8" s="751"/>
      <c r="J8" s="751"/>
      <c r="K8" s="751"/>
      <c r="L8" s="751"/>
      <c r="M8" s="751"/>
      <c r="N8" s="751"/>
      <c r="O8" s="751"/>
      <c r="P8" s="751"/>
      <c r="Q8" s="751"/>
    </row>
    <row r="9" spans="1:29" ht="24">
      <c r="A9" s="2248"/>
      <c r="B9" s="315" t="s">
        <v>2262</v>
      </c>
      <c r="C9" s="2269" t="s">
        <v>2263</v>
      </c>
      <c r="D9" s="2266"/>
      <c r="E9" s="2245"/>
      <c r="F9" s="121"/>
      <c r="G9" s="121"/>
      <c r="H9" s="751"/>
      <c r="I9" s="751"/>
      <c r="J9" s="751"/>
      <c r="K9" s="751"/>
      <c r="L9" s="751"/>
      <c r="M9" s="751"/>
      <c r="N9" s="751"/>
      <c r="O9" s="751"/>
      <c r="P9" s="751"/>
      <c r="Q9" s="751"/>
    </row>
    <row r="10" spans="1:29" ht="15" thickBot="1">
      <c r="A10" s="2249"/>
      <c r="B10" s="2275" t="s">
        <v>2264</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2282</v>
      </c>
      <c r="B13" s="2280"/>
      <c r="C13" s="2280"/>
      <c r="D13" s="2279"/>
      <c r="E13" s="2280"/>
      <c r="F13" s="2280"/>
      <c r="G13" s="2280"/>
    </row>
    <row r="14" spans="1:29" ht="15" thickBot="1">
      <c r="A14" s="2285"/>
      <c r="B14" s="2285"/>
      <c r="C14" s="2286" t="s">
        <v>2265</v>
      </c>
      <c r="D14" s="2266"/>
      <c r="E14" s="2287"/>
      <c r="F14" s="2287"/>
      <c r="G14" s="2262" t="s">
        <v>2266</v>
      </c>
    </row>
    <row r="15" spans="1:29" ht="51">
      <c r="A15" s="2250" t="s">
        <v>2267</v>
      </c>
      <c r="B15" s="2288" t="s">
        <v>2247</v>
      </c>
      <c r="C15" s="2289" t="str">
        <f>C3</f>
        <v>估价对象周边居住用地比例、居住小区规模和社区发展完善程度，综合评价居住社区成熟度一般</v>
      </c>
      <c r="D15" s="2266"/>
      <c r="E15" s="2251" t="s">
        <v>2268</v>
      </c>
      <c r="F15" s="2288" t="s">
        <v>2269</v>
      </c>
      <c r="G15" s="2290" t="str">
        <f>G3</f>
        <v>估价对象位于XX开发区，园区建设成熟度XX，产业集聚程度XX</v>
      </c>
    </row>
    <row r="16" spans="1:29" ht="38.25">
      <c r="A16" s="2252"/>
      <c r="B16" s="2291" t="s">
        <v>2249</v>
      </c>
      <c r="C16" s="2292" t="str">
        <f>C4</f>
        <v>估价对象位于XX商圈，周边商业氛围成熟，人流量大，商业繁华度好</v>
      </c>
      <c r="D16" s="2266"/>
      <c r="E16" s="2253"/>
      <c r="F16" s="2293" t="s">
        <v>2251</v>
      </c>
      <c r="G16" s="2294" t="str">
        <f>G4</f>
        <v>估价对象周边道路状况、公共交通通达情况、停车便捷程度，综合评价交通便捷度较好</v>
      </c>
    </row>
    <row r="17" spans="1:17" ht="38.25">
      <c r="A17" s="2252"/>
      <c r="B17" s="2291" t="s">
        <v>2253</v>
      </c>
      <c r="C17" s="2292" t="str">
        <f>C5</f>
        <v>估价对象位于XX商圈，周边办公楼项目较多，入驻率高，办公集聚程度较好</v>
      </c>
      <c r="D17" s="2245"/>
      <c r="E17" s="2253"/>
      <c r="F17" s="2293" t="s">
        <v>2270</v>
      </c>
      <c r="G17" s="2295"/>
    </row>
    <row r="18" spans="1:17" ht="38.25">
      <c r="A18" s="2252"/>
      <c r="B18" s="2293" t="s">
        <v>2257</v>
      </c>
      <c r="C18" s="2294" t="str">
        <f>C6</f>
        <v>估价对象周边道路状况、公共交通通达情况、停车便捷程度，综合评价交通便捷度较好</v>
      </c>
      <c r="D18" s="2245"/>
      <c r="E18" s="2253"/>
      <c r="F18" s="2293" t="s">
        <v>2260</v>
      </c>
      <c r="G18" s="2294" t="str">
        <f>G7</f>
        <v>该园区内是否有污染型企业，绿化情况，卫生条件，整体环境状况判断</v>
      </c>
    </row>
    <row r="19" spans="1:17" ht="25.5">
      <c r="A19" s="2252"/>
      <c r="B19" s="2293" t="s">
        <v>2271</v>
      </c>
      <c r="C19" s="2295"/>
      <c r="D19" s="2266"/>
      <c r="E19" s="2253"/>
      <c r="F19" s="315" t="s">
        <v>2255</v>
      </c>
      <c r="G19" s="2294" t="str">
        <f>G5</f>
        <v>估价对象所在区域公共配套设施齐备情况</v>
      </c>
    </row>
    <row r="20" spans="1:17" ht="25.5">
      <c r="A20" s="2252"/>
      <c r="B20" s="2293" t="s">
        <v>2272</v>
      </c>
      <c r="C20" s="2292" t="str">
        <f>C9</f>
        <v>区域自然环境：；人文环境；综合评价环境状况一般</v>
      </c>
      <c r="D20" s="2245"/>
      <c r="E20" s="2253"/>
      <c r="F20" s="315" t="s">
        <v>2258</v>
      </c>
      <c r="G20" s="2294" t="str">
        <f>G6</f>
        <v>估价对象所在区域基础设施水平</v>
      </c>
    </row>
    <row r="21" spans="1:17" ht="25.5">
      <c r="A21" s="2252"/>
      <c r="B21" s="315" t="s">
        <v>2255</v>
      </c>
      <c r="C21" s="2294" t="str">
        <f>C7</f>
        <v>估价对象所在区域公共配套设施齐备情况</v>
      </c>
      <c r="D21" s="2266"/>
      <c r="E21" s="2253"/>
      <c r="F21" s="2293" t="s">
        <v>2273</v>
      </c>
      <c r="G21" s="2296"/>
    </row>
    <row r="22" spans="1:17" ht="13.5" customHeight="1">
      <c r="A22" s="2252"/>
      <c r="B22" s="315" t="s">
        <v>2258</v>
      </c>
      <c r="C22" s="2294" t="str">
        <f>C8</f>
        <v>估价对象所在区域基础设施水平</v>
      </c>
      <c r="D22" s="2266"/>
      <c r="E22" s="2253"/>
      <c r="F22" s="2293" t="s">
        <v>2264</v>
      </c>
      <c r="G22" s="2295"/>
    </row>
    <row r="23" spans="1:17" s="751" customFormat="1" ht="15" thickBot="1">
      <c r="A23" s="2252"/>
      <c r="B23" s="2293" t="s">
        <v>2273</v>
      </c>
      <c r="C23" s="2296"/>
      <c r="D23" s="1614"/>
      <c r="E23" s="2254"/>
      <c r="F23" s="2297" t="s">
        <v>2274</v>
      </c>
      <c r="G23" s="2298"/>
      <c r="H23" s="2277"/>
      <c r="I23" s="2277"/>
      <c r="J23" s="2277"/>
      <c r="K23" s="2277"/>
      <c r="L23" s="2277"/>
      <c r="M23" s="2277"/>
      <c r="N23" s="2277"/>
      <c r="O23" s="2277"/>
      <c r="P23" s="2277"/>
      <c r="Q23" s="2277"/>
    </row>
    <row r="24" spans="1:17" s="751" customFormat="1" ht="15" thickBot="1">
      <c r="A24" s="2255"/>
      <c r="B24" s="2297" t="s">
        <v>2275</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110" zoomScaleNormal="80" zoomScaleSheetLayoutView="11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662</v>
      </c>
      <c r="B1" s="2300">
        <f>SUM(B14:B23)</f>
        <v>309.42</v>
      </c>
      <c r="C1" s="2461"/>
      <c r="D1" s="2461"/>
      <c r="E1" s="2461"/>
      <c r="F1" s="2461"/>
      <c r="G1" s="2462"/>
      <c r="H1" s="2462"/>
      <c r="I1" s="2462"/>
      <c r="J1" s="2462"/>
      <c r="K1" s="2462"/>
    </row>
    <row r="2" spans="1:11" ht="16.5">
      <c r="A2" s="2300" t="s">
        <v>650</v>
      </c>
      <c r="B2" s="2300">
        <f>SUM(C14:C23)</f>
        <v>0</v>
      </c>
      <c r="C2" s="2461"/>
      <c r="D2" s="2461"/>
      <c r="E2" s="2461"/>
      <c r="F2" s="2461"/>
      <c r="G2" s="2462"/>
      <c r="H2" s="2462"/>
      <c r="I2" s="2462"/>
      <c r="J2" s="2462"/>
      <c r="K2" s="2462"/>
    </row>
    <row r="3" spans="1:11" ht="16.5">
      <c r="A3" s="2300" t="s">
        <v>659</v>
      </c>
      <c r="B3" s="2302">
        <f>项目基本情况!D3</f>
        <v>45786</v>
      </c>
      <c r="C3" s="2461"/>
      <c r="D3" s="2461"/>
      <c r="E3" s="2461"/>
      <c r="F3" s="2461"/>
      <c r="G3" s="2462"/>
      <c r="H3" s="2462"/>
      <c r="I3" s="2462"/>
      <c r="J3" s="2462"/>
      <c r="K3" s="2462"/>
    </row>
    <row r="4" spans="1:11" ht="33">
      <c r="A4" s="2300" t="s">
        <v>658</v>
      </c>
      <c r="B4" s="2300" t="s">
        <v>657</v>
      </c>
      <c r="C4" s="2300" t="s">
        <v>656</v>
      </c>
      <c r="D4" s="2300" t="s">
        <v>655</v>
      </c>
      <c r="E4" s="2461"/>
      <c r="F4" s="2462"/>
      <c r="G4" s="2462"/>
      <c r="H4" s="2462"/>
      <c r="I4" s="2462"/>
      <c r="J4" s="2462"/>
      <c r="K4" s="2462"/>
    </row>
    <row r="5" spans="1:11" ht="16.5">
      <c r="A5" s="2300" t="s">
        <v>654</v>
      </c>
      <c r="B5" s="2300">
        <f ca="1">SUM(D14:D23)</f>
        <v>264</v>
      </c>
      <c r="C5" s="2300">
        <f ca="1">IF(B5=D14,结果表!H102,ROUND(B5*10000/$B$1,0))</f>
        <v>8527</v>
      </c>
      <c r="D5" s="2300" t="e">
        <f ca="1">ROUND(B5*10000/$B$2,0)</f>
        <v>#DIV/0!</v>
      </c>
      <c r="E5" s="2461"/>
      <c r="F5" s="2462"/>
      <c r="G5" s="2462"/>
      <c r="H5" s="2462"/>
      <c r="I5" s="2462"/>
      <c r="J5" s="2462"/>
      <c r="K5" s="2462"/>
    </row>
    <row r="6" spans="1:11" ht="16.5">
      <c r="A6" s="2300" t="s">
        <v>653</v>
      </c>
      <c r="B6" s="2300">
        <f ca="1">SUM(G14:G23)</f>
        <v>264</v>
      </c>
      <c r="C6" s="2300">
        <f ca="1">IF(B6=G14,结果表!H108,ROUND(B6*10000/$B$1,0))</f>
        <v>8527</v>
      </c>
      <c r="D6" s="2300" t="e">
        <f ca="1">ROUND(B6*10000/$B$2,0)</f>
        <v>#DIV/0!</v>
      </c>
      <c r="E6" s="2461"/>
      <c r="F6" s="2462"/>
      <c r="G6" s="2462"/>
      <c r="H6" s="2462"/>
      <c r="I6" s="2462"/>
      <c r="J6" s="2462"/>
      <c r="K6" s="2462"/>
    </row>
    <row r="7" spans="1:11" ht="16.5">
      <c r="A7" s="2300" t="s">
        <v>661</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652</v>
      </c>
      <c r="B9" s="1244"/>
      <c r="C9" s="2461"/>
      <c r="D9" s="2461"/>
      <c r="E9" s="2461"/>
      <c r="F9" s="2462"/>
      <c r="G9" s="2462"/>
      <c r="H9" s="2462"/>
      <c r="I9" s="2462"/>
      <c r="J9" s="2462"/>
      <c r="K9" s="2462"/>
    </row>
    <row r="10" spans="1:11" ht="16.5">
      <c r="A10" s="2300" t="s">
        <v>651</v>
      </c>
      <c r="B10" s="2300">
        <f>IF(E10="",0,ROUND(B1*(E10*365/G10)/10000,0))</f>
        <v>0</v>
      </c>
      <c r="C10" s="2300" t="s">
        <v>3351</v>
      </c>
      <c r="D10" s="2300" t="s">
        <v>3352</v>
      </c>
      <c r="E10" s="3136"/>
      <c r="F10" s="3140" t="s">
        <v>3353</v>
      </c>
      <c r="G10" s="3137"/>
      <c r="H10" s="2462"/>
      <c r="I10" s="2462"/>
      <c r="J10" s="2462"/>
      <c r="K10" s="2462"/>
    </row>
    <row r="11" spans="1:11" ht="16.5">
      <c r="A11" s="2300" t="s">
        <v>667</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666</v>
      </c>
      <c r="B13" s="2304" t="s">
        <v>663</v>
      </c>
      <c r="C13" s="2304" t="s">
        <v>665</v>
      </c>
      <c r="D13" s="2304" t="s">
        <v>664</v>
      </c>
      <c r="E13" s="2300" t="s">
        <v>656</v>
      </c>
      <c r="F13" s="2300" t="s">
        <v>655</v>
      </c>
      <c r="G13" s="2304" t="s">
        <v>649</v>
      </c>
      <c r="H13" s="2304" t="s">
        <v>660</v>
      </c>
      <c r="I13" s="2304" t="s">
        <v>648</v>
      </c>
      <c r="J13" s="2462"/>
      <c r="K13" s="2462"/>
    </row>
    <row r="14" spans="1:11" ht="16.5">
      <c r="A14" s="2305">
        <v>201</v>
      </c>
      <c r="B14" s="2306">
        <f>'数据-汇总表'!F19</f>
        <v>309.42</v>
      </c>
      <c r="C14" s="2306"/>
      <c r="D14" s="2306">
        <f ca="1">结果表!G19</f>
        <v>264</v>
      </c>
      <c r="E14" s="2306">
        <f ca="1">结果表!G20</f>
        <v>8527</v>
      </c>
      <c r="F14" s="2306" t="e">
        <f ca="1">ROUND(D14*10000/C14,0)</f>
        <v>#DIV/0!</v>
      </c>
      <c r="G14" s="2306">
        <f ca="1">D14</f>
        <v>264</v>
      </c>
      <c r="H14" s="2306"/>
      <c r="I14" s="2306"/>
      <c r="J14" s="2462"/>
      <c r="K14" s="2462"/>
    </row>
    <row r="15" spans="1:11" ht="16.5">
      <c r="A15" s="2305"/>
      <c r="B15" s="2307"/>
      <c r="C15" s="2307"/>
      <c r="D15" s="2307"/>
      <c r="E15" s="2306">
        <f ca="1">E14</f>
        <v>8527</v>
      </c>
      <c r="F15" s="2306" t="e">
        <f t="shared" ref="F15:F23" si="0">ROUND(D15*10000/C15,0)</f>
        <v>#DIV/0!</v>
      </c>
      <c r="G15" s="1244"/>
      <c r="H15" s="1244"/>
      <c r="I15" s="2307"/>
      <c r="J15" s="2462"/>
      <c r="K15" s="2462"/>
    </row>
    <row r="16" spans="1:11" ht="16.5">
      <c r="A16" s="2305"/>
      <c r="B16" s="2307"/>
      <c r="C16" s="2307"/>
      <c r="D16" s="2307"/>
      <c r="E16" s="2306">
        <f ca="1">E14</f>
        <v>8527</v>
      </c>
      <c r="F16" s="2306" t="e">
        <f t="shared" si="0"/>
        <v>#DIV/0!</v>
      </c>
      <c r="G16" s="1244"/>
      <c r="H16" s="1244"/>
      <c r="I16" s="2307"/>
      <c r="J16" s="2462"/>
      <c r="K16" s="2462"/>
    </row>
    <row r="17" spans="1:11" ht="16.5">
      <c r="A17" s="2305" t="s">
        <v>647</v>
      </c>
      <c r="B17" s="2307"/>
      <c r="C17" s="2307"/>
      <c r="D17" s="2307"/>
      <c r="E17" s="2306" t="e">
        <f t="shared" ref="E17:E23" si="1">ROUND(D17*10000/B17,0)</f>
        <v>#DIV/0!</v>
      </c>
      <c r="F17" s="2306" t="e">
        <f t="shared" si="0"/>
        <v>#DIV/0!</v>
      </c>
      <c r="G17" s="1244"/>
      <c r="H17" s="1244"/>
      <c r="I17" s="2307"/>
      <c r="J17" s="2462"/>
      <c r="K17" s="2462"/>
    </row>
    <row r="18" spans="1:11" ht="16.5">
      <c r="A18" s="2305" t="s">
        <v>646</v>
      </c>
      <c r="B18" s="2307"/>
      <c r="C18" s="2307"/>
      <c r="D18" s="2307"/>
      <c r="E18" s="2306" t="e">
        <f t="shared" si="1"/>
        <v>#DIV/0!</v>
      </c>
      <c r="F18" s="2306" t="e">
        <f t="shared" si="0"/>
        <v>#DIV/0!</v>
      </c>
      <c r="G18" s="2307"/>
      <c r="H18" s="2307"/>
      <c r="I18" s="2307"/>
      <c r="J18" s="2462"/>
      <c r="K18" s="2462"/>
    </row>
    <row r="19" spans="1:11" ht="16.5">
      <c r="A19" s="2305" t="s">
        <v>645</v>
      </c>
      <c r="B19" s="2307"/>
      <c r="C19" s="2307"/>
      <c r="D19" s="2307"/>
      <c r="E19" s="2306" t="e">
        <f t="shared" si="1"/>
        <v>#DIV/0!</v>
      </c>
      <c r="F19" s="2306" t="e">
        <f t="shared" si="0"/>
        <v>#DIV/0!</v>
      </c>
      <c r="G19" s="2307"/>
      <c r="H19" s="2307"/>
      <c r="I19" s="2307"/>
      <c r="J19" s="2462"/>
      <c r="K19" s="2462"/>
    </row>
    <row r="20" spans="1:11" ht="16.5">
      <c r="A20" s="2305" t="s">
        <v>644</v>
      </c>
      <c r="B20" s="2307"/>
      <c r="C20" s="2307"/>
      <c r="D20" s="2307"/>
      <c r="E20" s="2306" t="e">
        <f t="shared" si="1"/>
        <v>#DIV/0!</v>
      </c>
      <c r="F20" s="2306" t="e">
        <f t="shared" si="0"/>
        <v>#DIV/0!</v>
      </c>
      <c r="G20" s="2307"/>
      <c r="H20" s="2307"/>
      <c r="I20" s="2307"/>
      <c r="J20" s="2462"/>
      <c r="K20" s="2462"/>
    </row>
    <row r="21" spans="1:11" ht="16.5">
      <c r="A21" s="2305" t="s">
        <v>643</v>
      </c>
      <c r="B21" s="2307"/>
      <c r="C21" s="2307"/>
      <c r="D21" s="2307"/>
      <c r="E21" s="2306" t="e">
        <f t="shared" si="1"/>
        <v>#DIV/0!</v>
      </c>
      <c r="F21" s="2306" t="e">
        <f t="shared" si="0"/>
        <v>#DIV/0!</v>
      </c>
      <c r="G21" s="2307"/>
      <c r="H21" s="2307"/>
      <c r="I21" s="2307"/>
      <c r="J21" s="2462"/>
      <c r="K21" s="2462"/>
    </row>
    <row r="22" spans="1:11" ht="16.5">
      <c r="A22" s="2305" t="s">
        <v>642</v>
      </c>
      <c r="B22" s="2307"/>
      <c r="C22" s="2307"/>
      <c r="D22" s="2307"/>
      <c r="E22" s="2306" t="e">
        <f t="shared" si="1"/>
        <v>#DIV/0!</v>
      </c>
      <c r="F22" s="2306" t="e">
        <f t="shared" si="0"/>
        <v>#DIV/0!</v>
      </c>
      <c r="G22" s="2307"/>
      <c r="H22" s="2307"/>
      <c r="I22" s="2307"/>
      <c r="J22" s="2462"/>
      <c r="K22" s="2462"/>
    </row>
    <row r="23" spans="1:11" ht="16.5">
      <c r="A23" s="2305" t="s">
        <v>641</v>
      </c>
      <c r="B23" s="2307"/>
      <c r="C23" s="2307"/>
      <c r="D23" s="2307"/>
      <c r="E23" s="1244" t="e">
        <f t="shared" si="1"/>
        <v>#DIV/0!</v>
      </c>
      <c r="F23" s="1244" t="e">
        <f t="shared" si="0"/>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G19" sqref="G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02" t="str">
        <f>项目基本情况!S2</f>
        <v>北京市大兴区马朱路长子营段16号院17号楼1层101、2层201、202、203工业用房房地产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24" t="s">
        <v>1262</v>
      </c>
      <c r="B4" s="1625" t="s">
        <v>1263</v>
      </c>
      <c r="C4" s="1626" t="s">
        <v>3423</v>
      </c>
      <c r="D4" s="1626" t="s">
        <v>3422</v>
      </c>
      <c r="E4" s="3308" t="s">
        <v>1264</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1265</v>
      </c>
      <c r="B5" s="3269">
        <v>25</v>
      </c>
      <c r="C5" s="3285"/>
      <c r="D5" s="3305"/>
      <c r="E5" s="123" t="s">
        <v>1266</v>
      </c>
      <c r="F5" s="1627"/>
      <c r="G5" s="1627"/>
      <c r="H5" s="1627"/>
      <c r="I5" s="1281"/>
    </row>
    <row r="6" spans="1:12" ht="12.75">
      <c r="A6" s="3282"/>
      <c r="B6" s="3269"/>
      <c r="C6" s="3286"/>
      <c r="D6" s="3305"/>
      <c r="E6" s="123" t="s">
        <v>1267</v>
      </c>
      <c r="F6" s="1627"/>
      <c r="G6" s="1627"/>
      <c r="H6" s="1627"/>
      <c r="I6" s="1281"/>
    </row>
    <row r="7" spans="1:12" ht="12.75">
      <c r="A7" s="3282"/>
      <c r="B7" s="3269"/>
      <c r="C7" s="3287"/>
      <c r="D7" s="3305"/>
      <c r="E7" s="123" t="s">
        <v>1268</v>
      </c>
      <c r="F7" s="1627"/>
      <c r="G7" s="1627"/>
      <c r="H7" s="1627"/>
      <c r="I7" s="1281"/>
    </row>
    <row r="8" spans="1:12" ht="12.75">
      <c r="A8" s="3282" t="s">
        <v>1269</v>
      </c>
      <c r="B8" s="3269">
        <v>15</v>
      </c>
      <c r="C8" s="3285"/>
      <c r="D8" s="3305"/>
      <c r="E8" s="123" t="s">
        <v>1270</v>
      </c>
      <c r="F8" s="1627"/>
      <c r="G8" s="1627"/>
      <c r="H8" s="1627"/>
      <c r="I8" s="1281"/>
    </row>
    <row r="9" spans="1:12" ht="12.75">
      <c r="A9" s="3282"/>
      <c r="B9" s="3269"/>
      <c r="C9" s="3287"/>
      <c r="D9" s="3305"/>
      <c r="E9" s="123" t="s">
        <v>1271</v>
      </c>
      <c r="F9" s="1627"/>
      <c r="G9" s="1627"/>
      <c r="H9" s="1627"/>
      <c r="I9" s="1281"/>
    </row>
    <row r="10" spans="1:12" ht="12.75">
      <c r="A10" s="3282" t="s">
        <v>1272</v>
      </c>
      <c r="B10" s="3269">
        <v>15</v>
      </c>
      <c r="C10" s="3285"/>
      <c r="D10" s="3305"/>
      <c r="E10" s="123" t="s">
        <v>1273</v>
      </c>
      <c r="F10" s="1627"/>
      <c r="G10" s="1627"/>
      <c r="H10" s="1627"/>
      <c r="I10" s="1281"/>
    </row>
    <row r="11" spans="1:12" ht="12.75">
      <c r="A11" s="3282"/>
      <c r="B11" s="3269"/>
      <c r="C11" s="3287"/>
      <c r="D11" s="3305"/>
      <c r="E11" s="123" t="s">
        <v>1274</v>
      </c>
      <c r="F11" s="1627"/>
      <c r="G11" s="1627"/>
      <c r="H11" s="1627"/>
      <c r="I11" s="1281"/>
    </row>
    <row r="12" spans="1:12" ht="12.75">
      <c r="A12" s="3282" t="s">
        <v>1275</v>
      </c>
      <c r="B12" s="3269">
        <v>15</v>
      </c>
      <c r="C12" s="3285"/>
      <c r="D12" s="3305"/>
      <c r="E12" s="123" t="s">
        <v>1276</v>
      </c>
      <c r="F12" s="1627"/>
      <c r="G12" s="1627"/>
      <c r="H12" s="1627"/>
      <c r="I12" s="1281"/>
    </row>
    <row r="13" spans="1:12" ht="12.75">
      <c r="A13" s="3282"/>
      <c r="B13" s="3269"/>
      <c r="C13" s="3287"/>
      <c r="D13" s="3305"/>
      <c r="E13" s="123" t="s">
        <v>1277</v>
      </c>
      <c r="F13" s="1627"/>
      <c r="G13" s="1627"/>
      <c r="H13" s="1627"/>
      <c r="I13" s="1281"/>
    </row>
    <row r="14" spans="1:12" ht="12.75">
      <c r="A14" s="3282" t="s">
        <v>1278</v>
      </c>
      <c r="B14" s="3269">
        <v>30</v>
      </c>
      <c r="C14" s="3285">
        <v>55</v>
      </c>
      <c r="D14" s="3305">
        <v>45</v>
      </c>
      <c r="E14" s="123" t="s">
        <v>1279</v>
      </c>
      <c r="F14" s="1627"/>
      <c r="G14" s="1627"/>
      <c r="H14" s="1627"/>
      <c r="I14" s="1281"/>
    </row>
    <row r="15" spans="1:12" ht="12.75">
      <c r="A15" s="3282"/>
      <c r="B15" s="3269"/>
      <c r="C15" s="3286"/>
      <c r="D15" s="3305"/>
      <c r="E15" s="123" t="s">
        <v>1280</v>
      </c>
      <c r="F15" s="1627"/>
      <c r="G15" s="1627"/>
      <c r="H15" s="1627"/>
      <c r="I15" s="1281"/>
    </row>
    <row r="16" spans="1:12" ht="12.75">
      <c r="A16" s="3282"/>
      <c r="B16" s="3269"/>
      <c r="C16" s="3287"/>
      <c r="D16" s="3305"/>
      <c r="E16" s="123" t="s">
        <v>1281</v>
      </c>
      <c r="F16" s="1627"/>
      <c r="G16" s="1627"/>
      <c r="H16" s="1627"/>
      <c r="I16" s="1281"/>
    </row>
    <row r="17" spans="1:36" ht="15">
      <c r="A17" s="1628" t="s">
        <v>1282</v>
      </c>
      <c r="B17" s="54"/>
      <c r="C17" s="124">
        <f>SUM(C5:C16)</f>
        <v>55</v>
      </c>
      <c r="D17" s="124">
        <f>SUM(D5:D16)</f>
        <v>45</v>
      </c>
      <c r="E17" s="121"/>
      <c r="F17" s="121"/>
      <c r="G17" s="121"/>
      <c r="H17" s="121"/>
      <c r="I17" s="121"/>
      <c r="K17" s="294"/>
      <c r="L17" s="294" t="s">
        <v>1283</v>
      </c>
      <c r="M17" s="294" t="s">
        <v>1284</v>
      </c>
    </row>
    <row r="18" spans="1:36" ht="31.9" customHeight="1" thickBot="1">
      <c r="A18" s="1629" t="s">
        <v>1285</v>
      </c>
      <c r="B18" s="1542"/>
      <c r="C18" s="125">
        <f>ROUND(C17/SUM(C17:D17),2)</f>
        <v>0.55000000000000004</v>
      </c>
      <c r="D18" s="125">
        <f>1-C18</f>
        <v>0.44999999999999996</v>
      </c>
      <c r="E18" s="3292" t="s">
        <v>2126</v>
      </c>
      <c r="F18" s="3293"/>
      <c r="G18" s="3293"/>
      <c r="H18" s="3293"/>
      <c r="I18" s="3293"/>
      <c r="K18" s="294" t="s">
        <v>1286</v>
      </c>
      <c r="L18" s="294">
        <f>IF(C1="",'数据-汇总表'!E3,SUMIF(项目类型,C1,'数据-汇总表'!E17:E26)+SUMIF(项目类型,C1,'数据-汇总表'!I17:I26))</f>
        <v>309.42</v>
      </c>
      <c r="M18" s="294">
        <f>IF(C1="",'数据-汇总表'!E3,SUMIF(项目类型,C1,'数据-汇总表'!E17:E26))</f>
        <v>309.42</v>
      </c>
    </row>
    <row r="19" spans="1:36" ht="15">
      <c r="A19" s="1630" t="s">
        <v>1287</v>
      </c>
      <c r="B19" s="1631" t="s">
        <v>1288</v>
      </c>
      <c r="C19" s="126">
        <f ca="1">SUMIF(INDIRECT("'"&amp;C4&amp;"'"&amp;"!A:A"),结果表!B19,INDIRECT("'"&amp;C4&amp;"'"&amp;"!B:B"))</f>
        <v>346.67419999999998</v>
      </c>
      <c r="D19" s="127">
        <f ca="1">SUMIF(INDIRECT("'"&amp;D4&amp;"'"&amp;"!A:A"),结果表!B19,INDIRECT("'"&amp;D4&amp;"'"&amp;"!B:B"))</f>
        <v>162.61930000000001</v>
      </c>
      <c r="E19" s="1630" t="s">
        <v>1289</v>
      </c>
      <c r="F19" s="1631" t="s">
        <v>1288</v>
      </c>
      <c r="G19" s="128">
        <f ca="1">ROUND(C19*$C$18+D19*$D$18,0)</f>
        <v>264</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33"/>
      <c r="B20" s="43" t="s">
        <v>1292</v>
      </c>
      <c r="C20" s="129">
        <f ca="1">SUMIF(INDIRECT("'"&amp;C4&amp;"'"&amp;"!A:A"),结果表!B20,INDIRECT("'"&amp;C4&amp;"'"&amp;"!B:B"))</f>
        <v>11204</v>
      </c>
      <c r="D20" s="130">
        <f ca="1">SUMIF(INDIRECT("'"&amp;D4&amp;"'"&amp;"!A:A"),结果表!B20,INDIRECT("'"&amp;D4&amp;"'"&amp;"!B:B"))</f>
        <v>5256</v>
      </c>
      <c r="E20" s="1633"/>
      <c r="F20" s="43" t="s">
        <v>1292</v>
      </c>
      <c r="G20" s="131">
        <f ca="1">ROUND(C20*$C$18+D20*$D$18,0)</f>
        <v>8527</v>
      </c>
      <c r="H20" s="760" t="s">
        <v>1293</v>
      </c>
      <c r="I20" s="121"/>
    </row>
    <row r="21" spans="1:36" ht="15" customHeight="1" thickBot="1">
      <c r="A21" s="449"/>
      <c r="B21" s="93" t="s">
        <v>1294</v>
      </c>
      <c r="C21" s="678" t="e">
        <f ca="1">ROUND(C19*10000/L19,0)</f>
        <v>#DIV/0!</v>
      </c>
      <c r="D21" s="679" t="e">
        <f ca="1">ROUND(D19*10000/L19,0)</f>
        <v>#DIV/0!</v>
      </c>
      <c r="E21" s="449"/>
      <c r="F21" s="93" t="s">
        <v>1294</v>
      </c>
      <c r="G21" s="132" t="e">
        <f ca="1">ROUND(G19*10000/L19,0)</f>
        <v>#DIV/0!</v>
      </c>
      <c r="H21" s="1634" t="s">
        <v>1293</v>
      </c>
      <c r="I21" s="121"/>
    </row>
    <row r="22" spans="1:36" ht="15" thickBot="1">
      <c r="A22" s="1564" t="s">
        <v>1295</v>
      </c>
      <c r="B22" s="1635"/>
      <c r="C22" s="1636"/>
      <c r="D22" s="680">
        <f ca="1">IF(C19&lt;D19,D19/C19-1,C19/D19-1)</f>
        <v>1.1318146124107038</v>
      </c>
      <c r="E22" s="121"/>
      <c r="F22" s="121"/>
      <c r="G22" s="121"/>
      <c r="H22" s="121"/>
      <c r="I22" s="121"/>
    </row>
    <row r="23" spans="1:36" ht="13.5" thickBot="1">
      <c r="A23" s="646"/>
      <c r="B23" s="646"/>
      <c r="C23" s="646"/>
      <c r="D23" s="646"/>
      <c r="E23" s="121"/>
      <c r="F23" s="121"/>
      <c r="G23" s="121"/>
      <c r="H23" s="121"/>
      <c r="I23" s="121"/>
    </row>
    <row r="24" spans="1:36" ht="14.25">
      <c r="A24" s="3276" t="s">
        <v>1296</v>
      </c>
      <c r="B24" s="1631" t="s">
        <v>1288</v>
      </c>
      <c r="C24" s="128">
        <f>IF(B30=0,0,D30)</f>
        <v>0</v>
      </c>
      <c r="D24" s="1637"/>
      <c r="E24" s="121"/>
      <c r="F24" s="121"/>
      <c r="G24" s="121"/>
      <c r="H24" s="121"/>
      <c r="I24" s="121"/>
    </row>
    <row r="25" spans="1:36" ht="14.25">
      <c r="A25" s="3277"/>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2127</v>
      </c>
      <c r="F30" s="121"/>
      <c r="G30" s="121"/>
      <c r="H30" s="121"/>
      <c r="I30" s="121"/>
    </row>
    <row r="31" spans="1:36" s="2133" customFormat="1" ht="26.45" customHeight="1" thickTop="1" thickBot="1">
      <c r="A31" s="2128"/>
      <c r="B31" s="2129"/>
      <c r="C31" s="2129"/>
      <c r="D31" s="2129"/>
      <c r="E31" s="2129"/>
      <c r="F31" s="2129"/>
      <c r="G31" s="2129"/>
      <c r="H31" s="2129"/>
      <c r="I31" s="2130" t="s">
        <v>2128</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8527</v>
      </c>
      <c r="D32" s="1641" t="s">
        <v>3424</v>
      </c>
      <c r="E32" s="121"/>
      <c r="F32" s="121"/>
      <c r="G32" s="121"/>
      <c r="H32" s="121"/>
      <c r="I32" s="121"/>
    </row>
    <row r="33" spans="1:15" ht="15">
      <c r="A33" s="740" t="s">
        <v>1303</v>
      </c>
      <c r="B33" s="123"/>
      <c r="C33" s="1642" t="s">
        <v>3425</v>
      </c>
      <c r="D33" s="1643" t="s">
        <v>3422</v>
      </c>
      <c r="E33" s="1644" t="s">
        <v>1304</v>
      </c>
      <c r="F33" s="1645" t="str">
        <f>IF(D32="楼面单价","取值（单价）","取值（总价）")</f>
        <v>取值（单价）</v>
      </c>
      <c r="G33" s="121"/>
      <c r="H33" s="121"/>
      <c r="I33" s="121"/>
    </row>
    <row r="34" spans="1:15" ht="15">
      <c r="A34" s="1646"/>
      <c r="B34" s="1647" t="s">
        <v>1305</v>
      </c>
      <c r="C34" s="140">
        <f ca="1">IF(C33="自定义",F34,C32-C35)</f>
        <v>-1245</v>
      </c>
      <c r="D34" s="808">
        <f ca="1">IF(C33="自定义",ROUND(C34/C32,3),IF(C33="收益比率",SUMIF(INDIRECT("'"&amp;D33&amp;"'"&amp;"!b:b"),"土地收益比率",INDIRECT("'"&amp;D33&amp;"'"&amp;"!c:c")),SUMIF(INDIRECT("'"&amp;D33&amp;"'"&amp;"!b:b"),"土地成本比率",INDIRECT("'"&amp;D33&amp;"'"&amp;"!c:c"))))</f>
        <v>-0.14599999999999991</v>
      </c>
      <c r="E34" s="1648" t="s">
        <v>1306</v>
      </c>
      <c r="F34" s="1243"/>
      <c r="G34" s="121"/>
      <c r="H34" s="121"/>
      <c r="I34" s="121"/>
    </row>
    <row r="35" spans="1:15" ht="15.75" thickBot="1">
      <c r="A35" s="1649"/>
      <c r="B35" s="1650" t="s">
        <v>1307</v>
      </c>
      <c r="C35" s="1090">
        <f ca="1">IF(C33="自定义",F35,ROUND(C32*D35,0))</f>
        <v>9772</v>
      </c>
      <c r="D35" s="1091">
        <f ca="1">IF(C33="自定义",ROUND(C35/C32,3),IF(C33="收益比率",SUMIF(INDIRECT("'"&amp;D33&amp;"'"&amp;"!b:b"),"建筑物收益比率",INDIRECT("'"&amp;D33&amp;"'"&amp;"!c:c")),SUMIF(INDIRECT("'"&amp;D33&amp;"'"&amp;"!b:b"),"建筑物成本比率",INDIRECT("'"&amp;D33&amp;"'"&amp;"!c:c"))))</f>
        <v>1.1459999999999999</v>
      </c>
      <c r="E35" s="1651" t="s">
        <v>1308</v>
      </c>
      <c r="F35" s="146"/>
      <c r="G35" s="121"/>
      <c r="H35" s="121"/>
      <c r="I35" s="121"/>
    </row>
    <row r="36" spans="1:15" ht="15.75" thickBot="1">
      <c r="A36" s="3296" t="s">
        <v>1309</v>
      </c>
      <c r="B36" s="1652" t="s">
        <v>1310</v>
      </c>
      <c r="C36" s="137"/>
      <c r="D36" s="1653"/>
      <c r="E36" s="1567"/>
      <c r="F36" s="1654"/>
      <c r="G36" s="121"/>
      <c r="H36" s="121"/>
      <c r="I36" s="121"/>
    </row>
    <row r="37" spans="1:15" ht="15.75" thickBot="1">
      <c r="A37" s="3297"/>
      <c r="B37" s="1555" t="s">
        <v>1311</v>
      </c>
      <c r="C37" s="139"/>
      <c r="D37" s="1071"/>
      <c r="E37" s="1071"/>
      <c r="F37" s="1654"/>
      <c r="G37" s="121"/>
      <c r="H37" s="121"/>
      <c r="I37" s="121"/>
    </row>
    <row r="38" spans="1:15" ht="15.75" thickBot="1">
      <c r="A38" s="3298"/>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73" t="s">
        <v>1323</v>
      </c>
      <c r="B45" s="3274"/>
      <c r="C45" s="3275"/>
      <c r="D45" s="147">
        <f ca="1">ROUND(H101*F45,0)</f>
        <v>264</v>
      </c>
      <c r="E45" s="148" t="s">
        <v>1324</v>
      </c>
      <c r="F45" s="149">
        <v>1</v>
      </c>
      <c r="G45" s="150" t="s">
        <v>1325</v>
      </c>
      <c r="H45" s="121"/>
      <c r="I45" s="121"/>
      <c r="J45" s="3351" t="s">
        <v>1326</v>
      </c>
      <c r="K45" s="3351"/>
      <c r="L45" s="3351"/>
      <c r="M45" s="3351"/>
      <c r="N45" s="3351"/>
      <c r="O45" s="3351"/>
    </row>
    <row r="46" spans="1:15" ht="14.25" customHeight="1">
      <c r="A46" s="3270" t="s">
        <v>1327</v>
      </c>
      <c r="B46" s="3271"/>
      <c r="C46" s="3271"/>
      <c r="D46" s="3271"/>
      <c r="E46" s="3271"/>
      <c r="F46" s="3271"/>
      <c r="G46" s="3272"/>
      <c r="H46" s="1668"/>
      <c r="I46" s="151"/>
      <c r="J46" s="2310">
        <v>1</v>
      </c>
      <c r="K46" s="3332" t="s">
        <v>1328</v>
      </c>
      <c r="L46" s="3332"/>
      <c r="M46" s="3352"/>
      <c r="N46" s="3352"/>
      <c r="O46" s="3352"/>
    </row>
    <row r="47" spans="1:15" ht="12" customHeight="1">
      <c r="A47" s="152" t="s">
        <v>1329</v>
      </c>
      <c r="B47" s="153"/>
      <c r="C47" s="154"/>
      <c r="D47" s="1024" t="s">
        <v>1330</v>
      </c>
      <c r="E47" s="294" t="s">
        <v>1331</v>
      </c>
      <c r="F47" s="155" t="s">
        <v>1332</v>
      </c>
      <c r="G47" s="2333" t="s">
        <v>1333</v>
      </c>
      <c r="H47" s="2334"/>
      <c r="I47" s="151"/>
      <c r="J47" s="2310">
        <v>2</v>
      </c>
      <c r="K47" s="3332" t="s">
        <v>1334</v>
      </c>
      <c r="L47" s="3332"/>
      <c r="M47" s="3353">
        <f>'数据-取费表'!B2</f>
        <v>45786</v>
      </c>
      <c r="N47" s="3353"/>
      <c r="O47" s="3353"/>
    </row>
    <row r="48" spans="1:15" ht="25.5">
      <c r="A48" s="3301" t="s">
        <v>1335</v>
      </c>
      <c r="B48" s="3284"/>
      <c r="C48" s="328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1336</v>
      </c>
      <c r="H48" s="2337"/>
      <c r="I48" s="1668"/>
      <c r="J48" s="2310">
        <v>3</v>
      </c>
      <c r="K48" s="3332" t="s">
        <v>1337</v>
      </c>
      <c r="L48" s="3332"/>
      <c r="M48" s="3354">
        <f ca="1">H101</f>
        <v>264</v>
      </c>
      <c r="N48" s="3354"/>
      <c r="O48" s="3354"/>
    </row>
    <row r="49" spans="1:35" ht="25.5" customHeight="1">
      <c r="A49" s="2152" t="s">
        <v>1338</v>
      </c>
      <c r="B49" s="3268" t="s">
        <v>1339</v>
      </c>
      <c r="C49" s="3268"/>
      <c r="D49" s="1478">
        <v>0</v>
      </c>
      <c r="E49" s="316" t="s">
        <v>1340</v>
      </c>
      <c r="F49" s="2233" t="s">
        <v>28</v>
      </c>
      <c r="G49" s="3338"/>
      <c r="H49" s="2134" t="s">
        <v>2129</v>
      </c>
      <c r="I49" s="2135"/>
      <c r="J49" s="2310">
        <v>4</v>
      </c>
      <c r="K49" s="3332" t="str">
        <f>IF(项目基本情况!E8="房地产抵押价值","房地产抵押价值","抵押担保权已注销时的房地产抵押价值")</f>
        <v>房地产抵押价值</v>
      </c>
      <c r="L49" s="3332"/>
      <c r="M49" s="3354">
        <f ca="1">IF(项目基本情况!E8="房地产抵押价值",H107,H109)</f>
        <v>264</v>
      </c>
      <c r="N49" s="3354"/>
      <c r="O49" s="3354"/>
    </row>
    <row r="50" spans="1:35" ht="25.5" customHeight="1">
      <c r="A50" s="2338"/>
      <c r="B50" s="3268" t="s">
        <v>1341</v>
      </c>
      <c r="C50" s="3268"/>
      <c r="D50" s="2189"/>
      <c r="E50" s="323"/>
      <c r="F50" s="2233"/>
      <c r="G50" s="3339"/>
      <c r="H50" s="2136" t="s">
        <v>2130</v>
      </c>
      <c r="I50" s="2135"/>
      <c r="J50" s="3351" t="s">
        <v>1342</v>
      </c>
      <c r="K50" s="3351"/>
      <c r="L50" s="3351"/>
      <c r="M50" s="3351"/>
      <c r="N50" s="3351"/>
      <c r="O50" s="3351"/>
    </row>
    <row r="51" spans="1:35" ht="20.45" customHeight="1">
      <c r="A51" s="2339"/>
      <c r="B51" s="3268" t="s">
        <v>1343</v>
      </c>
      <c r="C51" s="3268"/>
      <c r="D51" s="1024"/>
      <c r="E51" s="319"/>
      <c r="F51" s="2233"/>
      <c r="G51" s="3340"/>
      <c r="H51" s="2136" t="s">
        <v>2131</v>
      </c>
      <c r="I51" s="2135"/>
      <c r="J51" s="2311" t="s">
        <v>1344</v>
      </c>
      <c r="K51" s="3332" t="s">
        <v>1345</v>
      </c>
      <c r="L51" s="3332"/>
      <c r="M51" s="2311" t="s">
        <v>1346</v>
      </c>
      <c r="N51" s="2311" t="s">
        <v>1347</v>
      </c>
      <c r="O51" s="2311" t="s">
        <v>1348</v>
      </c>
    </row>
    <row r="52" spans="1:35" ht="24" customHeight="1">
      <c r="A52" s="2153" t="s">
        <v>1349</v>
      </c>
      <c r="B52" s="3268" t="s">
        <v>1350</v>
      </c>
      <c r="C52" s="3268"/>
      <c r="D52" s="1024">
        <f ca="1">ROUND(D45*'数据-取费表'!B41/(1+'数据-取费表'!C42),0)</f>
        <v>14</v>
      </c>
      <c r="E52" s="1256" t="s">
        <v>1351</v>
      </c>
      <c r="F52" s="2340">
        <f>'数据-取费表'!B41</f>
        <v>5.5000000000000007E-2</v>
      </c>
      <c r="G52" s="2341"/>
      <c r="H52" s="2331"/>
      <c r="I52" s="1669"/>
      <c r="J52" s="2310">
        <v>1</v>
      </c>
      <c r="K52" s="3333" t="s">
        <v>1352</v>
      </c>
      <c r="L52" s="3333"/>
      <c r="M52" s="2312" t="b">
        <f>D48</f>
        <v>0</v>
      </c>
      <c r="N52" s="2310" t="str">
        <f>E48</f>
        <v>销售额×税（费）率</v>
      </c>
      <c r="O52" s="2313">
        <f>F48</f>
        <v>5.5000000000000007E-2</v>
      </c>
    </row>
    <row r="53" spans="1:35" ht="12" customHeight="1">
      <c r="A53" s="2153" t="s">
        <v>1353</v>
      </c>
      <c r="B53" s="3294" t="s">
        <v>2286</v>
      </c>
      <c r="C53" s="3295"/>
      <c r="D53" s="1024">
        <f ca="1">ROUND(D45*'数据-取费表'!B41/(1+'数据-取费表'!C42),0)</f>
        <v>14</v>
      </c>
      <c r="E53" s="1256" t="s">
        <v>1351</v>
      </c>
      <c r="F53" s="2340">
        <f>'数据-取费表'!B41</f>
        <v>5.5000000000000007E-2</v>
      </c>
      <c r="G53" s="2341"/>
      <c r="H53" s="2331"/>
      <c r="I53" s="1669"/>
      <c r="J53" s="2310">
        <v>2</v>
      </c>
      <c r="K53" s="3333" t="s">
        <v>1354</v>
      </c>
      <c r="L53" s="3333"/>
      <c r="M53" s="2312">
        <f t="shared" ref="M53:O54" ca="1" si="0">D55</f>
        <v>0</v>
      </c>
      <c r="N53" s="2310" t="str">
        <f t="shared" si="0"/>
        <v>销售额×税（费）率</v>
      </c>
      <c r="O53" s="2313" t="str">
        <f t="shared" si="0"/>
        <v>免征</v>
      </c>
    </row>
    <row r="54" spans="1:35" ht="12" customHeight="1">
      <c r="A54" s="2153" t="s">
        <v>1355</v>
      </c>
      <c r="B54" s="3294" t="s">
        <v>2287</v>
      </c>
      <c r="C54" s="3295"/>
      <c r="D54" s="1024">
        <f ca="1">C68</f>
        <v>14</v>
      </c>
      <c r="E54" s="319" t="s">
        <v>1356</v>
      </c>
      <c r="F54" s="2340">
        <f>'数据-取费表'!B41</f>
        <v>5.5000000000000007E-2</v>
      </c>
      <c r="G54" s="2341"/>
      <c r="H54" s="2342"/>
      <c r="I54" s="1669"/>
      <c r="J54" s="2310">
        <v>3</v>
      </c>
      <c r="K54" s="3333" t="s">
        <v>1357</v>
      </c>
      <c r="L54" s="3333"/>
      <c r="M54" s="2312">
        <f t="shared" ca="1" si="0"/>
        <v>150</v>
      </c>
      <c r="N54" s="2310" t="str">
        <f t="shared" si="0"/>
        <v>增值额×税（费）率</v>
      </c>
      <c r="O54" s="2314" t="str">
        <f t="shared" si="0"/>
        <v>免征</v>
      </c>
    </row>
    <row r="55" spans="1:35" ht="24" customHeight="1">
      <c r="A55" s="3283" t="s">
        <v>1358</v>
      </c>
      <c r="B55" s="3284"/>
      <c r="C55" s="3284"/>
      <c r="D55" s="12">
        <f ca="1">IF(H55="个人住宅",0,ROUND(D45*I55,0))</f>
        <v>0</v>
      </c>
      <c r="E55" s="1256" t="s">
        <v>1359</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f ca="1">D59</f>
        <v>3</v>
      </c>
      <c r="N55" s="1883" t="str">
        <f>E59</f>
        <v>差额计税</v>
      </c>
      <c r="O55" s="2316">
        <f>F59</f>
        <v>0.01</v>
      </c>
    </row>
    <row r="56" spans="1:35" ht="24.75">
      <c r="A56" s="3283" t="s">
        <v>1360</v>
      </c>
      <c r="B56" s="3284"/>
      <c r="C56" s="3284"/>
      <c r="D56" s="12">
        <f ca="1">IF(H56="个人住宅",D57,D58)</f>
        <v>150</v>
      </c>
      <c r="E56" s="1256" t="s">
        <v>1361</v>
      </c>
      <c r="F56" s="2340" t="str">
        <f>IF(H56="正常",F58,"免征")</f>
        <v>免征</v>
      </c>
      <c r="G56" s="2343" t="s">
        <v>1362</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1338</v>
      </c>
      <c r="B57" s="3294" t="s">
        <v>1363</v>
      </c>
      <c r="C57" s="3295"/>
      <c r="D57" s="1478">
        <v>0</v>
      </c>
      <c r="E57" s="316" t="s">
        <v>1340</v>
      </c>
      <c r="F57" s="294"/>
      <c r="G57" s="2341"/>
      <c r="H57" s="2345"/>
      <c r="I57" s="1670"/>
      <c r="J57" s="3333">
        <f>IF(AND(J55="",J56=""),4,IF(项目基本情况!K6="上海银行",结果表!J56+1,结果表!J55+1))</f>
        <v>5</v>
      </c>
      <c r="K57" s="3333" t="s">
        <v>1364</v>
      </c>
      <c r="L57" s="2317" t="s">
        <v>1365</v>
      </c>
      <c r="M57" s="2318"/>
      <c r="N57" s="2319">
        <f ca="1">SUMIF(M52:M56,"&lt;9e307")</f>
        <v>153</v>
      </c>
      <c r="O57" s="2320"/>
      <c r="P57" s="2464">
        <f ca="1">N57/M49</f>
        <v>0.57954545454545459</v>
      </c>
    </row>
    <row r="58" spans="1:35" ht="24.75">
      <c r="A58" s="2153" t="s">
        <v>1349</v>
      </c>
      <c r="B58" s="3294" t="s">
        <v>1366</v>
      </c>
      <c r="C58" s="3268"/>
      <c r="D58" s="12">
        <f ca="1">IF(H58="转让取得",C81,C97)</f>
        <v>150</v>
      </c>
      <c r="E58" s="1256" t="s">
        <v>1361</v>
      </c>
      <c r="F58" s="294" t="s">
        <v>28</v>
      </c>
      <c r="G58" s="2341"/>
      <c r="H58" s="2344"/>
      <c r="I58" s="1670"/>
      <c r="J58" s="3333"/>
      <c r="K58" s="3333"/>
      <c r="L58" s="2317" t="s">
        <v>1367</v>
      </c>
      <c r="M58" s="2321"/>
      <c r="N58" s="2322" t="str">
        <f ca="1">NUMBERSTRING(INT(N57*10000),2)&amp;"元整"</f>
        <v>壹佰伍拾叁万元整</v>
      </c>
      <c r="O58" s="2323"/>
    </row>
    <row r="59" spans="1:35" ht="24.75" thickBot="1">
      <c r="A59" s="3336" t="s">
        <v>1368</v>
      </c>
      <c r="B59" s="3337"/>
      <c r="C59" s="3337"/>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2132</v>
      </c>
      <c r="J59" s="3334">
        <f>J57+1</f>
        <v>6</v>
      </c>
      <c r="K59" s="3333" t="s">
        <v>1369</v>
      </c>
      <c r="L59" s="2310" t="s">
        <v>1365</v>
      </c>
      <c r="M59" s="2324"/>
      <c r="N59" s="2325">
        <f ca="1">M49-N57</f>
        <v>111</v>
      </c>
      <c r="O59" s="2326"/>
    </row>
    <row r="60" spans="1:35" ht="12" customHeight="1">
      <c r="A60" s="1671"/>
      <c r="B60" s="646"/>
      <c r="C60" s="646"/>
      <c r="D60" s="646"/>
      <c r="E60" s="1466"/>
      <c r="F60" s="1670"/>
      <c r="G60" s="1670"/>
      <c r="H60" s="151"/>
      <c r="I60" s="121"/>
      <c r="J60" s="3335"/>
      <c r="K60" s="3333"/>
      <c r="L60" s="2317" t="s">
        <v>1367</v>
      </c>
      <c r="M60" s="2321"/>
      <c r="N60" s="2322" t="str">
        <f ca="1">NUMBERSTRING(INT(N59*10000),2)&amp;"元整"</f>
        <v>壹佰壹拾壹万元整</v>
      </c>
      <c r="O60" s="2323"/>
    </row>
    <row r="61" spans="1:35" ht="13.5" thickBot="1">
      <c r="A61" s="3281" t="s">
        <v>1370</v>
      </c>
      <c r="B61" s="3281"/>
      <c r="C61" s="3281"/>
      <c r="D61" s="3281"/>
      <c r="E61" s="3281"/>
      <c r="F61" s="1670"/>
      <c r="G61" s="1670"/>
      <c r="H61" s="151"/>
      <c r="I61" s="121"/>
      <c r="J61" s="2310">
        <f>J59+1</f>
        <v>7</v>
      </c>
      <c r="K61" s="3333" t="s">
        <v>1371</v>
      </c>
      <c r="L61" s="3333"/>
      <c r="M61" s="2327"/>
      <c r="N61" s="2328">
        <f ca="1">ROUND(N59*10000/'数据-汇总表'!E3,0)</f>
        <v>3587</v>
      </c>
      <c r="O61" s="2329"/>
    </row>
    <row r="62" spans="1:35" ht="12.75">
      <c r="A62" s="3299" t="s">
        <v>1372</v>
      </c>
      <c r="B62" s="3300"/>
      <c r="C62" s="1865"/>
      <c r="D62" s="1865" t="s">
        <v>1373</v>
      </c>
      <c r="E62" s="158" t="s">
        <v>1374</v>
      </c>
      <c r="F62" s="1670"/>
      <c r="G62" s="1670"/>
      <c r="H62" s="151"/>
      <c r="I62" s="121"/>
    </row>
    <row r="63" spans="1:35" ht="12.75">
      <c r="A63" s="165" t="s">
        <v>330</v>
      </c>
      <c r="B63" s="159" t="s">
        <v>1375</v>
      </c>
      <c r="C63" s="2350">
        <f ca="1">ROUND((C64+C65)/(1+'数据-取费表'!C42),0)</f>
        <v>251</v>
      </c>
      <c r="D63" s="159"/>
      <c r="E63" s="160"/>
      <c r="F63" s="1670"/>
      <c r="G63" s="1670"/>
      <c r="H63" s="151"/>
      <c r="I63" s="121"/>
      <c r="J63" s="3358" t="s">
        <v>1376</v>
      </c>
      <c r="K63" s="1245" t="s">
        <v>1377</v>
      </c>
      <c r="L63" s="1245">
        <f ca="1">IF(M49&gt;10000,M49*0.5%,IF(AND(M49&gt;1000,M49&lt;=10000),M49*1%,IF(AND(M49&gt;100,M49&lt;=1000),M49*3%,IF(AND(M49&gt;10,M49&lt;=100),M49*5%,M49*8%))))</f>
        <v>7.92</v>
      </c>
      <c r="M63" s="294">
        <f ca="1">ROUND(L63,1)</f>
        <v>7.9</v>
      </c>
      <c r="N63" s="2330"/>
      <c r="Z63" s="1623"/>
      <c r="AI63" s="1561"/>
    </row>
    <row r="64" spans="1:35" ht="14.25" customHeight="1">
      <c r="A64" s="161" t="s">
        <v>325</v>
      </c>
      <c r="B64" s="162" t="s">
        <v>1378</v>
      </c>
      <c r="C64" s="2351">
        <f ca="1">D45</f>
        <v>264</v>
      </c>
      <c r="D64" s="162" t="s">
        <v>26</v>
      </c>
      <c r="E64" s="164"/>
      <c r="F64" s="1670"/>
      <c r="G64" s="1670"/>
      <c r="H64" s="151"/>
      <c r="I64" s="121"/>
      <c r="J64" s="3358"/>
      <c r="K64" s="1245" t="s">
        <v>1379</v>
      </c>
      <c r="L64" s="1245">
        <f ca="1">IF(M49&gt;2000,M49*0.5%,IF(AND(M49&gt;1000,M49&lt;=2000),M49*0.6%,IF(AND(M49&gt;500,M49&lt;=1000),M49*0.7%,IF(AND(M49&gt;200,M49&lt;=500),M49*0.8%,IF(AND(M49&gt;100,M49&lt;=200),M49*0.9%,IF(AND(M49&gt;50,M49&lt;=100),M49*1%,IF(AND(M49&gt;20,M49&lt;=50),M49*1.5%,IF(AND(M49&gt;10,M49&lt;=20),M49*2%,IF(AND(M49&gt;1,M49&lt;=10),M49*2.5%)))))))))</f>
        <v>2.1120000000000001</v>
      </c>
      <c r="M64" s="294">
        <f t="shared" ref="M64:M65" ca="1" si="1">ROUND(L64,1)</f>
        <v>2.1</v>
      </c>
      <c r="N64" s="2331" t="s">
        <v>1380</v>
      </c>
      <c r="Z64" s="1623"/>
      <c r="AI64" s="1561"/>
    </row>
    <row r="65" spans="1:35" ht="14.25" customHeight="1">
      <c r="A65" s="161" t="s">
        <v>326</v>
      </c>
      <c r="B65" s="162" t="s">
        <v>1381</v>
      </c>
      <c r="C65" s="2352"/>
      <c r="D65" s="162"/>
      <c r="E65" s="164"/>
      <c r="F65" s="1670"/>
      <c r="G65" s="1670"/>
      <c r="H65" s="151"/>
      <c r="I65" s="121"/>
      <c r="J65" s="3358"/>
      <c r="K65" s="1245" t="s">
        <v>1382</v>
      </c>
      <c r="L65" s="1245">
        <f ca="1">IF(M49&gt;1000,M49*0.1%,IF(AND(M49&gt;500,M49&lt;=1000),M49*0.5%,IF(AND(M49&gt;50,M49&lt;=500),M49*1%,IF(AND(M49&gt;1,M49&lt;=50),M49*1.5%))))</f>
        <v>2.64</v>
      </c>
      <c r="M65" s="294">
        <f t="shared" ca="1" si="1"/>
        <v>2.6</v>
      </c>
      <c r="N65" s="2331" t="s">
        <v>1380</v>
      </c>
      <c r="Z65" s="1623"/>
      <c r="AI65" s="1561"/>
    </row>
    <row r="66" spans="1:35" ht="14.25" customHeight="1">
      <c r="A66" s="165" t="s">
        <v>327</v>
      </c>
      <c r="B66" s="166" t="s">
        <v>1383</v>
      </c>
      <c r="C66" s="2353"/>
      <c r="D66" s="166" t="s">
        <v>26</v>
      </c>
      <c r="E66" s="1251" t="s">
        <v>668</v>
      </c>
      <c r="F66" s="1670"/>
      <c r="G66" s="1670"/>
      <c r="H66" s="151"/>
      <c r="I66" s="121"/>
      <c r="J66" s="3358"/>
      <c r="K66" s="1245" t="s">
        <v>1384</v>
      </c>
      <c r="L66" s="1245">
        <f ca="1">M49*0.5%</f>
        <v>1.32</v>
      </c>
      <c r="M66" s="294">
        <f ca="1">IF(L66&gt;0.5,0.5,ROUND(L66,0))</f>
        <v>0.5</v>
      </c>
      <c r="N66" s="2331" t="s">
        <v>1385</v>
      </c>
      <c r="Z66" s="1623"/>
      <c r="AI66" s="1561"/>
    </row>
    <row r="67" spans="1:35" ht="14.25" customHeight="1">
      <c r="A67" s="165" t="s">
        <v>328</v>
      </c>
      <c r="B67" s="166" t="s">
        <v>1386</v>
      </c>
      <c r="C67" s="2354">
        <f ca="1">C63-C66</f>
        <v>251</v>
      </c>
      <c r="D67" s="162" t="s">
        <v>26</v>
      </c>
      <c r="E67" s="164"/>
      <c r="F67" s="1670"/>
      <c r="G67" s="1670"/>
      <c r="H67" s="151"/>
      <c r="I67" s="121"/>
      <c r="J67" s="3358"/>
      <c r="K67" s="1245" t="s">
        <v>1387</v>
      </c>
      <c r="L67" s="1245">
        <f ca="1">IF(M49&gt;=10000,(8.25+(M49-10000)*0.01%),IF(AND(M49&gt;=8000,M49&lt;10000),(7.85+(M49-8000)*0.02%),IF(AND(M49&gt;=5000,M49&lt;8000),(6.65+(M49-5000)*0.04%),IF(AND(M49&gt;=2000,M49&lt;5000),(4.25+(PM49-2000)*0.08%),IF(AND(M49&gt;=1000,M49&lt;2000),(2.75+(M49-1000)*0.15%),IF(AND(M49&gt;=100,M49&lt;1000),(0.5+(M49-100)*0.25%),IF(AND(M49&gt;0,M49&lt;100),M49*0.5%)))))))</f>
        <v>0.91</v>
      </c>
      <c r="M67" s="294">
        <f ca="1">ROUND(L67*0.9,1)</f>
        <v>0.8</v>
      </c>
      <c r="N67" s="2330"/>
      <c r="Z67" s="1623"/>
      <c r="AI67" s="1561"/>
    </row>
    <row r="68" spans="1:35" ht="14.25" customHeight="1" thickBot="1">
      <c r="A68" s="168" t="s">
        <v>329</v>
      </c>
      <c r="B68" s="169" t="s">
        <v>1388</v>
      </c>
      <c r="C68" s="2355">
        <f ca="1">IF(C67&lt;=0,0,ROUND(C67*D68,0))</f>
        <v>14</v>
      </c>
      <c r="D68" s="2356">
        <f>'数据-取费表'!B41</f>
        <v>5.5000000000000007E-2</v>
      </c>
      <c r="E68" s="170"/>
      <c r="F68" s="1670"/>
      <c r="G68" s="1670"/>
      <c r="H68" s="151"/>
      <c r="I68" s="121"/>
      <c r="J68" s="3358"/>
      <c r="K68" s="1245" t="s">
        <v>1389</v>
      </c>
      <c r="L68" s="1245">
        <f ca="1">IF(M49&gt;10000,M49*0.5%,IF(AND(M49&gt;5000,M49&lt;=10000),M49*1%,IF(AND(M49&gt;1000,M49&lt;=5000),M49*2%,IF(AND(M49&gt;200,M49&lt;=1000),M49*3%,M49*5%))))</f>
        <v>7.92</v>
      </c>
      <c r="M68" s="294">
        <f ca="1">ROUND(L68,1)</f>
        <v>7.9</v>
      </c>
      <c r="N68" s="2330"/>
      <c r="Z68" s="1623"/>
      <c r="AI68" s="1561"/>
    </row>
    <row r="69" spans="1:35" ht="16.5" customHeight="1">
      <c r="A69" s="1672"/>
      <c r="B69" s="1673"/>
      <c r="C69" s="1674"/>
      <c r="D69" s="1675"/>
      <c r="E69" s="1676"/>
      <c r="F69" s="1466"/>
      <c r="G69" s="1466"/>
      <c r="H69" s="1467"/>
      <c r="I69" s="646"/>
      <c r="J69" s="3358"/>
      <c r="K69" s="1245" t="s">
        <v>1390</v>
      </c>
      <c r="L69" s="1245"/>
      <c r="M69" s="294">
        <f ca="1">ROUND(SUM(M63:M68),0)</f>
        <v>22</v>
      </c>
      <c r="N69" s="2332">
        <f ca="1">M69/M49</f>
        <v>8.3333333333333329E-2</v>
      </c>
      <c r="Z69" s="1623"/>
      <c r="AI69" s="1561"/>
    </row>
    <row r="70" spans="1:35" s="642" customFormat="1" ht="15" thickBot="1">
      <c r="A70" s="3320" t="s">
        <v>1391</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1372</v>
      </c>
      <c r="B71" s="3300"/>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251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94" t="s">
        <v>1399</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1</v>
      </c>
      <c r="D78" s="2363">
        <f>'数据-取费表'!B43</f>
        <v>5.000000000000001E-3</v>
      </c>
      <c r="E78" s="3278" t="s">
        <v>1403</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1404</v>
      </c>
      <c r="C79" s="2354">
        <f ca="1">C72-C73</f>
        <v>250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250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150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1407</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1372</v>
      </c>
      <c r="B84" s="3300"/>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251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60" t="s">
        <v>2124</v>
      </c>
      <c r="H90" s="3361"/>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78" t="s">
        <v>1416</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78" t="s">
        <v>1419</v>
      </c>
      <c r="F92" s="3279"/>
      <c r="G92" s="3279"/>
      <c r="H92" s="3288"/>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1</v>
      </c>
      <c r="D93" s="2363">
        <f>'数据-取费表'!B43</f>
        <v>5.000000000000001E-3</v>
      </c>
      <c r="E93" s="3278" t="s">
        <v>1403</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89" t="s">
        <v>1423</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1404</v>
      </c>
      <c r="C95" s="2354">
        <f ca="1">ROUND(C85-C86,0)</f>
        <v>250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250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150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62" t="s">
        <v>1425</v>
      </c>
      <c r="B100" s="3263"/>
      <c r="C100" s="3263"/>
      <c r="D100" s="3280"/>
      <c r="E100" s="3263" t="s">
        <v>1426</v>
      </c>
      <c r="F100" s="3263"/>
      <c r="G100" s="3263"/>
      <c r="H100" s="3280"/>
      <c r="I100" s="121"/>
    </row>
    <row r="101" spans="1:35" ht="18.75" customHeight="1">
      <c r="A101" s="3341" t="s">
        <v>1427</v>
      </c>
      <c r="B101" s="3342"/>
      <c r="C101" s="2371" t="str">
        <f>C4</f>
        <v>比较法-工业</v>
      </c>
      <c r="D101" s="2372" t="str">
        <f>D4</f>
        <v>收益法 (元)</v>
      </c>
      <c r="E101" s="3355" t="s">
        <v>1428</v>
      </c>
      <c r="F101" s="3312"/>
      <c r="G101" s="1687" t="s">
        <v>1429</v>
      </c>
      <c r="H101" s="2381">
        <f ca="1">H118</f>
        <v>264</v>
      </c>
      <c r="I101" s="121"/>
    </row>
    <row r="102" spans="1:35" ht="18.75" customHeight="1">
      <c r="A102" s="3314" t="s">
        <v>1430</v>
      </c>
      <c r="B102" s="2370" t="s">
        <v>1429</v>
      </c>
      <c r="C102" s="2371">
        <f ca="1">IF(D32="楼面单价",ROUND(C19,0),C19)</f>
        <v>347</v>
      </c>
      <c r="D102" s="2372">
        <f ca="1">IF(D32="楼面单价",ROUND(D19,0),D19)</f>
        <v>163</v>
      </c>
      <c r="E102" s="3355"/>
      <c r="F102" s="3312"/>
      <c r="G102" s="1687" t="s">
        <v>1431</v>
      </c>
      <c r="H102" s="2341">
        <f ca="1">I118</f>
        <v>8527</v>
      </c>
      <c r="I102" s="121"/>
    </row>
    <row r="103" spans="1:35" ht="42.75" customHeight="1">
      <c r="A103" s="3314"/>
      <c r="B103" s="2370" t="s">
        <v>1431</v>
      </c>
      <c r="C103" s="2373">
        <f ca="1">C20</f>
        <v>11204</v>
      </c>
      <c r="D103" s="2374">
        <f ca="1">D20</f>
        <v>5256</v>
      </c>
      <c r="E103" s="3349" t="s">
        <v>1432</v>
      </c>
      <c r="F103" s="3350"/>
      <c r="G103" s="1688" t="s">
        <v>1433</v>
      </c>
      <c r="H103" s="2381">
        <f>IF(D36="正常操作",H104+H105+H106,H105+H106)</f>
        <v>0</v>
      </c>
      <c r="I103" s="121"/>
    </row>
    <row r="104" spans="1:35" ht="18.75" customHeight="1">
      <c r="A104" s="3314" t="s">
        <v>1434</v>
      </c>
      <c r="B104" s="2375" t="s">
        <v>1429</v>
      </c>
      <c r="C104" s="2376">
        <f ca="1">H118</f>
        <v>264</v>
      </c>
      <c r="D104" s="2377"/>
      <c r="E104" s="1555" t="s">
        <v>1435</v>
      </c>
      <c r="F104" s="1548"/>
      <c r="G104" s="1688" t="s">
        <v>1433</v>
      </c>
      <c r="H104" s="2382">
        <f>IF(D36="同一抵押权人同一抵押物续贷",C36&amp;"（续贷，未扣减，详见特别提示）",C36)</f>
        <v>0</v>
      </c>
      <c r="I104" s="121"/>
    </row>
    <row r="105" spans="1:35" ht="18.75" customHeight="1" thickBot="1">
      <c r="A105" s="3315"/>
      <c r="B105" s="2378" t="s">
        <v>1431</v>
      </c>
      <c r="C105" s="2379">
        <f ca="1">I118</f>
        <v>8527</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311" t="str">
        <f>IF(项目基本情况!E8="已注销","——","3.房地产抵押价值")</f>
        <v>3.房地产抵押价值</v>
      </c>
      <c r="F107" s="3312"/>
      <c r="G107" s="1687" t="s">
        <v>1429</v>
      </c>
      <c r="H107" s="2381">
        <f ca="1">IF(E107="——","——",H101-H103)</f>
        <v>264</v>
      </c>
      <c r="I107" s="121"/>
    </row>
    <row r="108" spans="1:35" ht="18.75" customHeight="1">
      <c r="A108" s="121"/>
      <c r="B108" s="121"/>
      <c r="C108" s="121"/>
      <c r="D108" s="121"/>
      <c r="E108" s="3311"/>
      <c r="F108" s="3312"/>
      <c r="G108" s="1687" t="s">
        <v>1431</v>
      </c>
      <c r="H108" s="2341">
        <f ca="1">IF(H107=H101,H102,ROUND(H107*10000/'数据-汇总表'!E3,0))</f>
        <v>8527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1429</v>
      </c>
      <c r="H109" s="2384" t="str">
        <f>IF(E109="——","——",H101-H105-H106)</f>
        <v>——</v>
      </c>
      <c r="I109" s="121"/>
    </row>
    <row r="110" spans="1:35" ht="18.75" customHeight="1">
      <c r="A110" s="121"/>
      <c r="B110" s="121"/>
      <c r="C110" s="121"/>
      <c r="D110" s="121"/>
      <c r="E110" s="3311"/>
      <c r="F110" s="3312"/>
      <c r="G110" s="1687" t="s">
        <v>1431</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1429</v>
      </c>
      <c r="H111" s="2381" t="str">
        <f>IF(E111="——","——",N59)</f>
        <v>——</v>
      </c>
      <c r="I111" s="121"/>
    </row>
    <row r="112" spans="1:35" ht="18.75" customHeight="1" thickBot="1">
      <c r="A112" s="121"/>
      <c r="B112" s="121"/>
      <c r="C112" s="121"/>
      <c r="D112" s="121"/>
      <c r="E112" s="3344"/>
      <c r="F112" s="3345"/>
      <c r="G112" s="1690" t="s">
        <v>1431</v>
      </c>
      <c r="H112" s="2385" t="str">
        <f>IF(E111="——","——",N61)</f>
        <v>——</v>
      </c>
      <c r="I112" s="121"/>
    </row>
    <row r="113" spans="1:27" ht="18.75" customHeight="1">
      <c r="A113" s="121"/>
      <c r="B113" s="121"/>
      <c r="C113" s="121"/>
      <c r="D113" s="121"/>
      <c r="E113" s="3316" t="s">
        <v>1437</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50" t="s">
        <v>1446</v>
      </c>
      <c r="E117" s="2150" t="s">
        <v>1447</v>
      </c>
      <c r="F117" s="2150" t="s">
        <v>1446</v>
      </c>
      <c r="G117" s="2150" t="s">
        <v>1448</v>
      </c>
      <c r="H117" s="2150" t="s">
        <v>1446</v>
      </c>
      <c r="I117" s="2150" t="s">
        <v>1448</v>
      </c>
    </row>
    <row r="118" spans="1:27" ht="24.75" customHeight="1">
      <c r="A118" s="2386" t="str">
        <f>项目基本情况!S2</f>
        <v>北京市大兴区马朱路长子营段16号院17号楼1层101、2层201、202、203工业用房房地产</v>
      </c>
      <c r="B118" s="2150">
        <f>M18</f>
        <v>309.42</v>
      </c>
      <c r="C118" s="2150">
        <f>M19</f>
        <v>0</v>
      </c>
      <c r="D118" s="2150">
        <f ca="1">ROUND(IF(D32="总价",C34,E118*B118/10000),0)</f>
        <v>-39</v>
      </c>
      <c r="E118" s="2150">
        <f ca="1">ROUND(IF(C33="自定义",IF(D32="楼面单价",C34,D118*10000/B118),I118-G118),0)</f>
        <v>-1245</v>
      </c>
      <c r="F118" s="2150">
        <f ca="1">ROUND(IF(D32="总价",C35,G118*B118/10000),0)</f>
        <v>302</v>
      </c>
      <c r="G118" s="2150">
        <f ca="1">ROUND(IF(D32="楼面单价",C35,F118*10000/B118),0)</f>
        <v>9772</v>
      </c>
      <c r="H118" s="2150">
        <f ca="1">ROUND(IF(D32="总价",C32,I118*B118/10000),0)</f>
        <v>264</v>
      </c>
      <c r="I118" s="2150">
        <f ca="1">ROUND(IF(D32="楼面单价",C32,H118*10000/B118),0)</f>
        <v>8527</v>
      </c>
    </row>
    <row r="119" spans="1:27" ht="18.75" customHeight="1">
      <c r="A119" s="3282" t="s">
        <v>1449</v>
      </c>
      <c r="B119" s="3282"/>
      <c r="C119" s="3282"/>
      <c r="D119" s="3322" t="e">
        <f ca="1">NUMBERSTRING(INT(D118*10000),2)&amp;"元整"</f>
        <v>#NUM!</v>
      </c>
      <c r="E119" s="3324"/>
      <c r="F119" s="3322" t="str">
        <f ca="1">NUMBERSTRING(INT(F118*10000),2)&amp;"元整"</f>
        <v>叁佰零贰万元整</v>
      </c>
      <c r="G119" s="3324"/>
      <c r="H119" s="3322" t="str">
        <f ca="1">NUMBERSTRING(INT(H118*10000),2)&amp;"元整"</f>
        <v>贰佰陆拾肆万元整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1449</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264</v>
      </c>
      <c r="E122" s="3347"/>
      <c r="F122" s="3347"/>
      <c r="G122" s="3347"/>
      <c r="H122" s="3347"/>
      <c r="I122" s="3348"/>
      <c r="AA122" s="684"/>
    </row>
    <row r="123" spans="1:27" ht="18.75" customHeight="1">
      <c r="A123" s="3282" t="s">
        <v>1449</v>
      </c>
      <c r="B123" s="3282"/>
      <c r="C123" s="3282"/>
      <c r="D123" s="3322" t="str">
        <f ca="1">NUMBERSTRING(INT(D122*10000),2)&amp;"元整"</f>
        <v>贰佰陆拾肆万元整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1449</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1449</v>
      </c>
      <c r="B127" s="3282"/>
      <c r="C127" s="3282"/>
      <c r="D127" s="3322" t="e">
        <f>NUMBERSTRING(INT(D126*10000),2)&amp;"元整"</f>
        <v>#VALUE!</v>
      </c>
      <c r="E127" s="3323"/>
      <c r="F127" s="3323"/>
      <c r="G127" s="3323"/>
      <c r="H127" s="3323"/>
      <c r="I127" s="3324"/>
      <c r="AA127" s="684"/>
    </row>
    <row r="128" spans="1:27" ht="21.75" customHeight="1">
      <c r="A128" s="3329" t="s">
        <v>1450</v>
      </c>
      <c r="B128" s="3329"/>
      <c r="C128" s="3329"/>
      <c r="D128" s="3329"/>
      <c r="E128" s="3329"/>
      <c r="F128" s="3329"/>
      <c r="G128" s="3329"/>
      <c r="H128" s="3329"/>
      <c r="I128" s="3329"/>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c r="C1" s="190"/>
      <c r="D1" s="190"/>
      <c r="E1" s="190"/>
      <c r="F1" s="190"/>
      <c r="G1" s="1062">
        <f>MATCH(B1,'数据-取费表'!A6:A16,0)+5</f>
        <v>7</v>
      </c>
    </row>
    <row r="2" spans="1:9" s="192" customFormat="1" ht="18" customHeight="1">
      <c r="A2" s="193" t="s">
        <v>1459</v>
      </c>
      <c r="B2" s="194">
        <f ca="1">IF(D2="——",C52,C52-E2)</f>
        <v>166</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5365</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6.1883999999999997</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6.1883999999999997</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160</v>
      </c>
      <c r="F9" s="213"/>
      <c r="G9" s="1715"/>
      <c r="H9" s="1070"/>
      <c r="I9" s="1716" t="s">
        <v>1476</v>
      </c>
    </row>
    <row r="10" spans="1:9" s="206" customFormat="1" ht="13.5" customHeight="1">
      <c r="A10" s="733" t="s">
        <v>356</v>
      </c>
      <c r="B10" s="216" t="s">
        <v>1477</v>
      </c>
      <c r="C10" s="217">
        <f ca="1">ROUND(D10*E10/10000,0)</f>
        <v>6</v>
      </c>
      <c r="D10" s="795">
        <f ca="1">IF(B1="",'数据-汇总表'!E6,IF(INDIRECT("'数据-取费表'!c"&amp;$G$1)="住宅",INDIRECT("'数据-取费表'!s"&amp;$G$1),INDIRECT("'数据-取费表'!k"&amp;$G$1)+INDIRECT("'数据-取费表'!s"&amp;$G$1)))</f>
        <v>309.42</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6</v>
      </c>
      <c r="D19" s="204">
        <f ca="1">D9+D10</f>
        <v>309.42</v>
      </c>
      <c r="E19" s="203">
        <f>'数据-取费表'!B31</f>
        <v>200</v>
      </c>
      <c r="F19" s="223"/>
      <c r="G19" s="1714"/>
    </row>
    <row r="20" spans="1:7" s="206" customFormat="1" ht="13.5" customHeight="1">
      <c r="A20" s="247" t="s">
        <v>1490</v>
      </c>
      <c r="B20" s="202" t="s">
        <v>1491</v>
      </c>
      <c r="C20" s="224">
        <f ca="1">ROUND((C5+C19)*F20,0)</f>
        <v>0</v>
      </c>
      <c r="D20" s="224"/>
      <c r="E20" s="224"/>
      <c r="F20" s="225">
        <f>'数据-取费表'!B37</f>
        <v>0.03</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0</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0</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0</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4.75">
      <c r="A27" s="247" t="s">
        <v>1509</v>
      </c>
      <c r="B27" s="236" t="s">
        <v>1510</v>
      </c>
      <c r="C27" s="237">
        <f ca="1">C28</f>
        <v>1</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ROUND((C5+C19+C20)*F27*'数据-取费表'!B21/'数据-取费表'!B20,0)</f>
        <v>1</v>
      </c>
      <c r="D28" s="227"/>
      <c r="E28" s="228"/>
      <c r="F28" s="238"/>
      <c r="G28" s="239"/>
    </row>
    <row r="29" spans="1:7" s="206" customFormat="1" ht="13.5" customHeight="1">
      <c r="A29" s="734" t="s">
        <v>347</v>
      </c>
      <c r="B29" s="240" t="s">
        <v>1514</v>
      </c>
      <c r="C29" s="230">
        <f ca="1">ROUND(C21*F27*'数据-取费表'!B21/'数据-取费表'!B20,4)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14</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138</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1523</v>
      </c>
    </row>
    <row r="35" spans="1:7" ht="13.5" customHeight="1">
      <c r="A35" s="734" t="s">
        <v>351</v>
      </c>
      <c r="B35" s="207" t="s">
        <v>1524</v>
      </c>
      <c r="C35" s="212">
        <f ca="1">ROUND(C34*F35,0)</f>
        <v>6</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6</v>
      </c>
      <c r="D37" s="209">
        <f ca="1">D19</f>
        <v>309.42</v>
      </c>
      <c r="E37" s="241">
        <f>'数据-取费表'!B35</f>
        <v>200</v>
      </c>
      <c r="F37" s="251"/>
      <c r="G37" s="253" t="s">
        <v>1529</v>
      </c>
    </row>
    <row r="38" spans="1:7" ht="13.5" customHeight="1">
      <c r="A38" s="734" t="s">
        <v>354</v>
      </c>
      <c r="B38" s="207" t="s">
        <v>1530</v>
      </c>
      <c r="C38" s="212">
        <f ca="1">ROUND(C34*F38,0)</f>
        <v>2</v>
      </c>
      <c r="D38" s="212"/>
      <c r="E38" s="212"/>
      <c r="F38" s="251">
        <f>'数据-取费表'!B36</f>
        <v>0.02</v>
      </c>
      <c r="G38" s="211" t="s">
        <v>1525</v>
      </c>
    </row>
    <row r="39" spans="1:7" s="206" customFormat="1" ht="13.5" customHeight="1">
      <c r="A39" s="247" t="s">
        <v>1531</v>
      </c>
      <c r="B39" s="202" t="s">
        <v>1532</v>
      </c>
      <c r="C39" s="224">
        <f ca="1">ROUND(C33*F20,0)</f>
        <v>4</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4</v>
      </c>
      <c r="D42" s="230"/>
      <c r="E42" s="230"/>
      <c r="F42" s="231"/>
      <c r="G42" s="3362" t="s">
        <v>1541</v>
      </c>
    </row>
    <row r="43" spans="1:7" ht="13.5" customHeight="1">
      <c r="A43" s="734" t="s">
        <v>347</v>
      </c>
      <c r="B43" s="207" t="s">
        <v>1542</v>
      </c>
      <c r="C43" s="230">
        <f ca="1">ROUND(IF('数据-取费表'!B22&lt;=1,C39*F22*'数据-取费表'!B21/2,C39*(POWER((1+F22),'数据-取费表'!B21/2)-1)),0)</f>
        <v>0</v>
      </c>
      <c r="D43" s="230"/>
      <c r="E43" s="230"/>
      <c r="F43" s="231"/>
      <c r="G43" s="3363"/>
    </row>
    <row r="44" spans="1:7" ht="13.5" customHeight="1">
      <c r="A44" s="734" t="s">
        <v>348</v>
      </c>
      <c r="B44" s="207" t="s">
        <v>1543</v>
      </c>
      <c r="C44" s="230">
        <f ca="1">ROUND(IF('数据-取费表'!B22&lt;=1,C40*F22*'数据-取费表'!B21/2,C40*(POWER((1+F22),'数据-取费表'!B21/2)-1)),4)</f>
        <v>5.9999999999999995E-4</v>
      </c>
      <c r="D44" s="230"/>
      <c r="E44" s="230"/>
      <c r="F44" s="231"/>
      <c r="G44" s="3364"/>
    </row>
    <row r="45" spans="1:7" s="206" customFormat="1" ht="13.5" customHeight="1">
      <c r="A45" s="247" t="s">
        <v>1544</v>
      </c>
      <c r="B45" s="236" t="s">
        <v>1510</v>
      </c>
      <c r="C45" s="237">
        <f ca="1">C46</f>
        <v>14</v>
      </c>
      <c r="D45" s="227">
        <f ca="1">C47</f>
        <v>2E-3</v>
      </c>
      <c r="E45" s="228" t="s">
        <v>1536</v>
      </c>
      <c r="F45" s="238">
        <f ca="1">F27</f>
        <v>0.1</v>
      </c>
      <c r="G45" s="239" t="s">
        <v>1545</v>
      </c>
    </row>
    <row r="46" spans="1:7" s="206" customFormat="1" ht="13.5" customHeight="1">
      <c r="A46" s="734" t="s">
        <v>346</v>
      </c>
      <c r="B46" s="240" t="s">
        <v>1546</v>
      </c>
      <c r="C46" s="241">
        <f ca="1">ROUND((C33+C39)*F27,0)</f>
        <v>14</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173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152</v>
      </c>
      <c r="D51" s="224"/>
      <c r="E51" s="224"/>
      <c r="F51" s="256"/>
      <c r="G51" s="226" t="s">
        <v>1557</v>
      </c>
    </row>
    <row r="52" spans="1:7" s="200" customFormat="1" ht="16.5" thickBot="1">
      <c r="A52" s="257" t="s">
        <v>1558</v>
      </c>
      <c r="B52" s="258"/>
      <c r="C52" s="259">
        <f ca="1">C31+C51</f>
        <v>166</v>
      </c>
      <c r="D52" s="258"/>
      <c r="E52" s="258"/>
      <c r="F52" s="258"/>
      <c r="G52" s="260"/>
    </row>
    <row r="55" spans="1:7" ht="15">
      <c r="B55" s="262" t="s">
        <v>1559</v>
      </c>
      <c r="C55" s="263"/>
    </row>
    <row r="56" spans="1:7">
      <c r="B56" s="265" t="s">
        <v>799</v>
      </c>
      <c r="C56" s="267">
        <f ca="1">1-C57</f>
        <v>8.3999999999999964E-2</v>
      </c>
    </row>
    <row r="57" spans="1:7">
      <c r="B57" s="265" t="s">
        <v>800</v>
      </c>
      <c r="C57" s="266">
        <f ca="1">ROUND(C51/C52,3)</f>
        <v>0.91600000000000004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北京市大兴区马朱路长子营段16号院17号楼1层101、2层201、202、203工业用房房地产抵押价值预评估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topLeftCell="A37" zoomScale="90" zoomScaleNormal="60" zoomScaleSheetLayoutView="90" workbookViewId="0">
      <selection activeCell="F110" sqref="F1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t="s">
        <v>3488</v>
      </c>
      <c r="E1" s="3131" t="s">
        <v>3454</v>
      </c>
      <c r="F1" s="1735" t="s">
        <v>3426</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IF(E1="项目模式",IF(C2="——",ROUND(C43*D3/10000,0),ROUND(C43*D3/10000,0)-D2),IF(E1="单套模式",IF(C2="——",ROUND(C43*D3/10000,4),ROUND(C43*D3/10000,4)-D2)))</f>
        <v>346.67419999999998</v>
      </c>
      <c r="C2" s="1737" t="s">
        <v>43</v>
      </c>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11204</v>
      </c>
      <c r="C3" s="344" t="s">
        <v>1765</v>
      </c>
      <c r="D3" s="343">
        <f>IF(D1="",'数据-汇总表'!E3,SUMIF('数据-汇总表'!$C19:$C33,D1,'数据-汇总表'!$E19:$E33))</f>
        <v>309.42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860"/>
      <c r="M4" s="861"/>
      <c r="N4" s="861"/>
      <c r="O4" s="861"/>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ustomHeight="1">
      <c r="A5" s="348"/>
      <c r="B5" s="349"/>
      <c r="C5" s="3396" t="s">
        <v>3483</v>
      </c>
      <c r="D5" s="3397"/>
      <c r="E5" s="3396" t="s">
        <v>3486</v>
      </c>
      <c r="F5" s="3397"/>
      <c r="G5" s="3396" t="s">
        <v>3485</v>
      </c>
      <c r="H5" s="3397"/>
      <c r="I5" s="3396" t="s">
        <v>3483</v>
      </c>
      <c r="J5" s="3397"/>
      <c r="K5" s="537"/>
      <c r="L5" s="860"/>
      <c r="M5" s="861"/>
      <c r="N5" s="861"/>
      <c r="O5" s="861"/>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860"/>
      <c r="M6" s="861"/>
      <c r="N6" s="861"/>
      <c r="O6" s="861"/>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f>C7</f>
        <v>45786</v>
      </c>
      <c r="F7" s="357">
        <f>SUMIF(52:52,YEAR(E7)&amp;"-"&amp;MONTH(E7),53:53)</f>
        <v>100</v>
      </c>
      <c r="G7" s="356">
        <f>C7</f>
        <v>45786</v>
      </c>
      <c r="H7" s="355">
        <f>SUMIF(52:52,YEAR(G7)&amp;"-"&amp;MONTH(G7),53:53)</f>
        <v>100</v>
      </c>
      <c r="I7" s="356">
        <f>C7</f>
        <v>45786</v>
      </c>
      <c r="J7" s="355">
        <f>SUMIF(52:52,YEAR(I7)&amp;"-"&amp;MONTH(I7),53:53)</f>
        <v>100</v>
      </c>
      <c r="K7" s="38"/>
      <c r="L7" s="862"/>
      <c r="M7" s="863"/>
      <c r="N7" s="863"/>
      <c r="O7" s="863"/>
      <c r="P7" s="3398" t="s">
        <v>1677</v>
      </c>
      <c r="Q7" s="3400"/>
      <c r="R7" s="664" t="s">
        <v>14</v>
      </c>
      <c r="S7" s="665">
        <f t="shared" ref="S7:S15" si="0">F7</f>
        <v>100</v>
      </c>
      <c r="T7" s="664" t="s">
        <v>14</v>
      </c>
      <c r="U7" s="665">
        <f t="shared" ref="U7:U15" si="1">H7</f>
        <v>100</v>
      </c>
      <c r="V7" s="664" t="s">
        <v>14</v>
      </c>
      <c r="W7" s="665">
        <f t="shared" ref="W7:W15" si="2">J7</f>
        <v>100</v>
      </c>
      <c r="X7" s="666"/>
      <c r="Y7" s="3398" t="s">
        <v>1677</v>
      </c>
      <c r="Z7" s="3399"/>
      <c r="AA7" s="50">
        <f>D7/F7</f>
        <v>1</v>
      </c>
      <c r="AB7" s="50">
        <f>D7/H7</f>
        <v>1</v>
      </c>
      <c r="AC7" s="50">
        <f>D7/J7</f>
        <v>1</v>
      </c>
    </row>
    <row r="8" spans="1:29" s="102" customFormat="1" ht="15.75" thickBot="1">
      <c r="A8" s="352" t="s">
        <v>1678</v>
      </c>
      <c r="B8" s="353"/>
      <c r="C8" s="358" t="s">
        <v>3452</v>
      </c>
      <c r="D8" s="355">
        <v>100</v>
      </c>
      <c r="E8" s="358" t="s">
        <v>3445</v>
      </c>
      <c r="F8" s="357">
        <f>SUMIF(55:55,E8,56:56)-SUMIF(55:55,C8,56:56)+100</f>
        <v>105</v>
      </c>
      <c r="G8" s="358" t="s">
        <v>3445</v>
      </c>
      <c r="H8" s="355">
        <f>SUMIF(55:55,G8,56:56)-SUMIF(55:55,C8,56:56)+100</f>
        <v>105</v>
      </c>
      <c r="I8" s="358" t="s">
        <v>3445</v>
      </c>
      <c r="J8" s="355">
        <f>SUMIF(55:55,I8,56:56)-SUMIF(55:55,C8,56:56)+100</f>
        <v>105</v>
      </c>
      <c r="K8" s="38"/>
      <c r="L8" s="862"/>
      <c r="M8" s="863"/>
      <c r="N8" s="863"/>
      <c r="O8" s="863"/>
      <c r="P8" s="3398" t="s">
        <v>1680</v>
      </c>
      <c r="Q8" s="3399"/>
      <c r="R8" s="664" t="s">
        <v>14</v>
      </c>
      <c r="S8" s="665">
        <f t="shared" si="0"/>
        <v>105</v>
      </c>
      <c r="T8" s="664" t="s">
        <v>14</v>
      </c>
      <c r="U8" s="665">
        <f t="shared" si="1"/>
        <v>105</v>
      </c>
      <c r="V8" s="664" t="s">
        <v>14</v>
      </c>
      <c r="W8" s="665">
        <f t="shared" si="2"/>
        <v>105</v>
      </c>
      <c r="X8" s="666"/>
      <c r="Y8" s="3398" t="s">
        <v>1680</v>
      </c>
      <c r="Z8" s="3399"/>
      <c r="AA8" s="50">
        <f t="shared" ref="AA8:AA40" si="3">D8/F8</f>
        <v>0.95238095238095233</v>
      </c>
      <c r="AB8" s="50">
        <f t="shared" ref="AB8:AB40" si="4">D8/H8</f>
        <v>0.95238095238095233</v>
      </c>
      <c r="AC8" s="50">
        <f t="shared" ref="AC8:AC40" si="5">D8/J8</f>
        <v>0.95238095238095233</v>
      </c>
    </row>
    <row r="9" spans="1:29" s="102" customFormat="1">
      <c r="A9" s="359" t="s">
        <v>1681</v>
      </c>
      <c r="B9" s="60" t="s">
        <v>1682</v>
      </c>
      <c r="C9" s="3168" t="s">
        <v>3453</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t="str">
        <f>E59</f>
        <v>30（含）~20</v>
      </c>
      <c r="D10" s="119">
        <v>100</v>
      </c>
      <c r="E10" s="3132" t="str">
        <f>D59</f>
        <v>40（含）~30</v>
      </c>
      <c r="F10" s="119">
        <f>SUMIF(59:59,E10,60:60)-SUMIF(59:59,C10,60:60)+100</f>
        <v>103</v>
      </c>
      <c r="G10" s="3133" t="str">
        <f>D59</f>
        <v>40（含）~30</v>
      </c>
      <c r="H10" s="119">
        <f>SUMIF(59:59,G10,60:60)-SUMIF(59:59,C10,60:60)+100</f>
        <v>103</v>
      </c>
      <c r="I10" s="3132" t="str">
        <f>C10</f>
        <v>30（含）~20</v>
      </c>
      <c r="J10" s="119">
        <f>SUMIF(59:59,I10,60:60)-SUMIF(59:59,C10,60:60)+100</f>
        <v>100</v>
      </c>
      <c r="K10" s="38"/>
      <c r="L10" s="865"/>
      <c r="M10" s="866"/>
      <c r="N10" s="866"/>
      <c r="O10" s="867"/>
      <c r="P10" s="3365"/>
      <c r="Q10" s="530" t="str">
        <f t="shared" si="6"/>
        <v>土地使用年限（年）</v>
      </c>
      <c r="R10" s="664" t="s">
        <v>14</v>
      </c>
      <c r="S10" s="665">
        <f t="shared" si="0"/>
        <v>103</v>
      </c>
      <c r="T10" s="664" t="s">
        <v>14</v>
      </c>
      <c r="U10" s="665">
        <f t="shared" si="1"/>
        <v>103</v>
      </c>
      <c r="V10" s="664" t="s">
        <v>14</v>
      </c>
      <c r="W10" s="665">
        <f t="shared" si="2"/>
        <v>100</v>
      </c>
      <c r="X10" s="666"/>
      <c r="Y10" s="3269"/>
      <c r="Z10" s="50" t="str">
        <f t="shared" si="7"/>
        <v>土地使用年限（年）</v>
      </c>
      <c r="AA10" s="50">
        <f t="shared" si="3"/>
        <v>0.970873786407767</v>
      </c>
      <c r="AB10" s="50">
        <f t="shared" si="4"/>
        <v>0.970873786407767</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3178" t="s">
        <v>3497</v>
      </c>
      <c r="C12" s="3179" t="s">
        <v>3494</v>
      </c>
      <c r="D12" s="372">
        <v>100</v>
      </c>
      <c r="E12" s="3179" t="s">
        <v>3494</v>
      </c>
      <c r="F12" s="119">
        <f>SUMIF(64:64,E12,65:65)-SUMIF(64:64,C12,65:65)+100</f>
        <v>100</v>
      </c>
      <c r="G12" s="3179" t="s">
        <v>3495</v>
      </c>
      <c r="H12" s="119">
        <f>SUMIF(64:64,G12,65:65)-SUMIF(64:64,C12,65:65)+100</f>
        <v>105</v>
      </c>
      <c r="I12" s="3179" t="s">
        <v>3494</v>
      </c>
      <c r="J12" s="119">
        <f>SUMIF(64:64,I12,65:65)-SUMIF(64:64,C12,65:65)+100</f>
        <v>100</v>
      </c>
      <c r="K12" s="539"/>
      <c r="L12" s="862"/>
      <c r="M12" s="863"/>
      <c r="N12" s="863"/>
      <c r="O12" s="864"/>
      <c r="P12" s="3365"/>
      <c r="Q12" s="530" t="str">
        <f t="shared" si="6"/>
        <v>销售类型</v>
      </c>
      <c r="R12" s="664" t="s">
        <v>14</v>
      </c>
      <c r="S12" s="665">
        <f t="shared" si="0"/>
        <v>100</v>
      </c>
      <c r="T12" s="664" t="s">
        <v>14</v>
      </c>
      <c r="U12" s="665">
        <f t="shared" si="1"/>
        <v>105</v>
      </c>
      <c r="V12" s="664" t="s">
        <v>14</v>
      </c>
      <c r="W12" s="665">
        <f t="shared" si="2"/>
        <v>100</v>
      </c>
      <c r="X12" s="666"/>
      <c r="Y12" s="3269"/>
      <c r="Z12" s="50" t="str">
        <f t="shared" si="7"/>
        <v>销售类型</v>
      </c>
      <c r="AA12" s="50">
        <f>D12/F12</f>
        <v>1</v>
      </c>
      <c r="AB12" s="50">
        <f>D12/H12</f>
        <v>0.95238095238095233</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8" t="s">
        <v>1824</v>
      </c>
      <c r="C15" s="1819" t="str">
        <f>估价对象房地状况!G3</f>
        <v>估价对象位于XX开发区，园区建设成熟度XX，产业集聚程度XX</v>
      </c>
      <c r="D15" s="380">
        <v>100</v>
      </c>
      <c r="E15" s="381"/>
      <c r="F15" s="382">
        <f>SUMIF(70:70,E16,71:71)-SUMIF(70:70,C16,71:71)+100</f>
        <v>102</v>
      </c>
      <c r="G15" s="383"/>
      <c r="H15" s="380">
        <f>SUMIF(70:70,G16,71:71)-SUMIF(70:70,C16,71:71)+100</f>
        <v>102</v>
      </c>
      <c r="I15" s="381"/>
      <c r="J15" s="380">
        <f>SUMIF(70:70,I16,71:71)-SUMIF(70:70,C16,71:71)+100</f>
        <v>100</v>
      </c>
      <c r="K15" s="540">
        <v>2</v>
      </c>
      <c r="L15" s="870"/>
      <c r="M15" s="861"/>
      <c r="N15" s="861"/>
      <c r="O15" s="869"/>
      <c r="P15" s="3370" t="s">
        <v>1688</v>
      </c>
      <c r="Q15" s="1263" t="str">
        <f t="shared" si="6"/>
        <v>产业集聚程度</v>
      </c>
      <c r="R15" s="667" t="s">
        <v>14</v>
      </c>
      <c r="S15" s="668">
        <f t="shared" si="0"/>
        <v>102</v>
      </c>
      <c r="T15" s="667" t="s">
        <v>14</v>
      </c>
      <c r="U15" s="668">
        <f t="shared" si="1"/>
        <v>102</v>
      </c>
      <c r="V15" s="667" t="s">
        <v>14</v>
      </c>
      <c r="W15" s="668">
        <f t="shared" si="2"/>
        <v>100</v>
      </c>
      <c r="X15" s="1265"/>
      <c r="Y15" s="3370" t="s">
        <v>1688</v>
      </c>
      <c r="Z15" s="1264" t="str">
        <f t="shared" si="7"/>
        <v>产业集聚程度</v>
      </c>
      <c r="AA15" s="1264">
        <f t="shared" si="3"/>
        <v>0.98039215686274506</v>
      </c>
      <c r="AB15" s="1264">
        <f t="shared" si="4"/>
        <v>0.98039215686274506</v>
      </c>
      <c r="AC15" s="1264">
        <f t="shared" si="5"/>
        <v>1</v>
      </c>
    </row>
    <row r="16" spans="1:29" ht="15">
      <c r="A16" s="367"/>
      <c r="B16" s="385"/>
      <c r="C16" s="386" t="s">
        <v>3469</v>
      </c>
      <c r="D16" s="387"/>
      <c r="E16" s="386" t="s">
        <v>3487</v>
      </c>
      <c r="F16" s="388"/>
      <c r="G16" s="386" t="s">
        <v>3487</v>
      </c>
      <c r="H16" s="389"/>
      <c r="I16" s="386" t="s">
        <v>3469</v>
      </c>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3468</v>
      </c>
      <c r="D18" s="389"/>
      <c r="E18" s="1755" t="s">
        <v>3468</v>
      </c>
      <c r="F18" s="392"/>
      <c r="G18" s="1755" t="s">
        <v>3468</v>
      </c>
      <c r="H18" s="387"/>
      <c r="I18" s="1755" t="s">
        <v>3468</v>
      </c>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3470</v>
      </c>
      <c r="D20" s="387"/>
      <c r="E20" s="386" t="s">
        <v>3470</v>
      </c>
      <c r="F20" s="388"/>
      <c r="G20" s="386" t="s">
        <v>3470</v>
      </c>
      <c r="H20" s="387"/>
      <c r="I20" s="386" t="s">
        <v>3470</v>
      </c>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8"/>
      <c r="G22" s="1755" t="s">
        <v>3440</v>
      </c>
      <c r="H22" s="387"/>
      <c r="I22" s="1755" t="s">
        <v>3440</v>
      </c>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t="s">
        <v>3469</v>
      </c>
      <c r="D24" s="387"/>
      <c r="E24" s="386" t="s">
        <v>3469</v>
      </c>
      <c r="F24" s="388"/>
      <c r="G24" s="386" t="s">
        <v>3469</v>
      </c>
      <c r="H24" s="387"/>
      <c r="I24" s="386" t="s">
        <v>3469</v>
      </c>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1691</v>
      </c>
      <c r="B29" s="60" t="s">
        <v>1814</v>
      </c>
      <c r="C29" s="1764" t="s">
        <v>3490</v>
      </c>
      <c r="D29" s="405">
        <v>100</v>
      </c>
      <c r="E29" s="1764" t="s">
        <v>3490</v>
      </c>
      <c r="F29" s="400">
        <f>SUMIF(88:88,E29,89:89)-SUMIF(88:88,C29,89:89)+100</f>
        <v>100</v>
      </c>
      <c r="G29" s="1764" t="s">
        <v>3490</v>
      </c>
      <c r="H29" s="374">
        <f>SUMIF(88:88,G29,89:89)-SUMIF(88:88,C29,89:89)+100</f>
        <v>100</v>
      </c>
      <c r="I29" s="1764" t="s">
        <v>3490</v>
      </c>
      <c r="J29" s="405">
        <f>SUMIF(88:88,I29,89:89)-SUMIF(88:88,C29,89:89)+100</f>
        <v>100</v>
      </c>
      <c r="K29" s="538">
        <v>2</v>
      </c>
      <c r="L29" s="870"/>
      <c r="M29" s="861"/>
      <c r="N29" s="861"/>
      <c r="O29" s="869"/>
      <c r="P29" s="3372" t="s">
        <v>1693</v>
      </c>
      <c r="Q29" s="1263" t="str">
        <f t="shared" si="11"/>
        <v>建筑类型</v>
      </c>
      <c r="R29" s="667" t="s">
        <v>14</v>
      </c>
      <c r="S29" s="668">
        <f t="shared" si="12"/>
        <v>100</v>
      </c>
      <c r="T29" s="667" t="s">
        <v>14</v>
      </c>
      <c r="U29" s="668">
        <f t="shared" si="13"/>
        <v>100</v>
      </c>
      <c r="V29" s="667" t="s">
        <v>14</v>
      </c>
      <c r="W29" s="668">
        <f t="shared" si="14"/>
        <v>100</v>
      </c>
      <c r="X29" s="1265"/>
      <c r="Y29" s="3373" t="s">
        <v>1693</v>
      </c>
      <c r="Z29" s="1264" t="str">
        <f t="shared" si="15"/>
        <v>建筑类型</v>
      </c>
      <c r="AA29" s="1264">
        <f t="shared" si="3"/>
        <v>1</v>
      </c>
      <c r="AB29" s="1264">
        <f t="shared" si="4"/>
        <v>1</v>
      </c>
      <c r="AC29" s="1264">
        <f t="shared" si="5"/>
        <v>1</v>
      </c>
    </row>
    <row r="30" spans="1:29" s="408" customFormat="1" ht="15">
      <c r="A30" s="406"/>
      <c r="B30" s="364" t="s">
        <v>1694</v>
      </c>
      <c r="C30" s="407">
        <f>'数据-汇总表'!F19</f>
        <v>309.42</v>
      </c>
      <c r="D30" s="119">
        <v>100</v>
      </c>
      <c r="E30" s="369">
        <v>630</v>
      </c>
      <c r="F30" s="364">
        <f>LOOKUP(E30,91:91,92:92)-LOOKUP(C30,91:91,92:92)+100</f>
        <v>99</v>
      </c>
      <c r="G30" s="368">
        <v>1336</v>
      </c>
      <c r="H30" s="119">
        <f>LOOKUP(G30,91:91,92:92)-LOOKUP(C30,91:91,92:92)+100</f>
        <v>98</v>
      </c>
      <c r="I30" s="368">
        <v>330</v>
      </c>
      <c r="J30" s="119">
        <f>LOOKUP(I30,91:91,92:92)-LOOKUP(C30,91:91,92:92)+100</f>
        <v>100</v>
      </c>
      <c r="K30" s="539"/>
      <c r="L30" s="868"/>
      <c r="M30" s="871"/>
      <c r="N30" s="871"/>
      <c r="O30" s="872"/>
      <c r="P30" s="3373"/>
      <c r="Q30" s="531" t="str">
        <f t="shared" si="11"/>
        <v>项目建筑规模</v>
      </c>
      <c r="R30" s="669" t="s">
        <v>14</v>
      </c>
      <c r="S30" s="670">
        <f t="shared" si="12"/>
        <v>99</v>
      </c>
      <c r="T30" s="669" t="s">
        <v>14</v>
      </c>
      <c r="U30" s="670">
        <f t="shared" si="13"/>
        <v>98</v>
      </c>
      <c r="V30" s="669" t="s">
        <v>14</v>
      </c>
      <c r="W30" s="670">
        <f t="shared" si="14"/>
        <v>100</v>
      </c>
      <c r="X30" s="671"/>
      <c r="Y30" s="3373"/>
      <c r="Z30" s="672" t="str">
        <f t="shared" si="15"/>
        <v>项目建筑规模</v>
      </c>
      <c r="AA30" s="1264">
        <f t="shared" si="3"/>
        <v>1.0101010101010102</v>
      </c>
      <c r="AB30" s="1264">
        <f t="shared" si="4"/>
        <v>1.0204081632653061</v>
      </c>
      <c r="AC30" s="1264">
        <f t="shared" si="5"/>
        <v>1</v>
      </c>
    </row>
    <row r="31" spans="1:29" ht="15">
      <c r="A31" s="409"/>
      <c r="B31" s="364" t="s">
        <v>1695</v>
      </c>
      <c r="C31" s="399" t="s">
        <v>3420</v>
      </c>
      <c r="D31" s="374">
        <v>100</v>
      </c>
      <c r="E31" s="399" t="s">
        <v>3420</v>
      </c>
      <c r="F31" s="400">
        <f>SUMIF(93:93,E31,94:94)-SUMIF(93:93,C31,94:94)+100</f>
        <v>100</v>
      </c>
      <c r="G31" s="399" t="s">
        <v>3420</v>
      </c>
      <c r="H31" s="374">
        <f>SUMIF(93:93,G31,94:94)-SUMIF(93:93,C31,94:94)+100</f>
        <v>100</v>
      </c>
      <c r="I31" s="399" t="s">
        <v>3420</v>
      </c>
      <c r="J31" s="374">
        <f>SUMIF(93:93,I31,94:94)-SUMIF(93:93,C31,94:94)+100</f>
        <v>100</v>
      </c>
      <c r="K31" s="538">
        <v>1</v>
      </c>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1782</v>
      </c>
      <c r="C32" s="399" t="s">
        <v>3431</v>
      </c>
      <c r="D32" s="374">
        <v>100</v>
      </c>
      <c r="E32" s="399" t="s">
        <v>3431</v>
      </c>
      <c r="F32" s="400">
        <f>SUMIF(95:95,E32,96:96)-SUMIF(95:95,C32,96:96)+100</f>
        <v>100</v>
      </c>
      <c r="G32" s="399" t="s">
        <v>3431</v>
      </c>
      <c r="H32" s="374">
        <f>SUMIF(95:95,G32,96:96)-SUMIF(95:95,C32,96:96)+100</f>
        <v>100</v>
      </c>
      <c r="I32" s="399" t="s">
        <v>3431</v>
      </c>
      <c r="J32" s="374">
        <f>SUMIF(95:95,I32,96:96)-SUMIF(95:95,C32,96:96)+100</f>
        <v>100</v>
      </c>
      <c r="K32" s="538">
        <v>1</v>
      </c>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1783</v>
      </c>
      <c r="C33" s="3163">
        <f>'数据-取费表'!N6</f>
        <v>0.88</v>
      </c>
      <c r="D33" s="374">
        <v>100</v>
      </c>
      <c r="E33" s="411">
        <v>0.78</v>
      </c>
      <c r="F33" s="400">
        <f>LOOKUP(E33,98:98,99:99)-LOOKUP(C33,98:98,99:99)+100</f>
        <v>99</v>
      </c>
      <c r="G33" s="411">
        <v>0.78</v>
      </c>
      <c r="H33" s="400">
        <f>LOOKUP(G33,98:98,99:99)-LOOKUP(C33,98:98,99:99)+100</f>
        <v>99</v>
      </c>
      <c r="I33" s="411">
        <v>0.88</v>
      </c>
      <c r="J33" s="374">
        <f>LOOKUP(I33,98:98,99:99)-LOOKUP(C33,98:98,99:99)+100</f>
        <v>100</v>
      </c>
      <c r="K33" s="538">
        <v>1</v>
      </c>
      <c r="L33" s="870"/>
      <c r="M33" s="861"/>
      <c r="N33" s="861"/>
      <c r="O33" s="869"/>
      <c r="P33" s="3373"/>
      <c r="Q33" s="1263" t="str">
        <f t="shared" si="11"/>
        <v>成新度</v>
      </c>
      <c r="R33" s="667" t="s">
        <v>14</v>
      </c>
      <c r="S33" s="668">
        <f t="shared" si="12"/>
        <v>99</v>
      </c>
      <c r="T33" s="667" t="s">
        <v>14</v>
      </c>
      <c r="U33" s="668">
        <f t="shared" si="13"/>
        <v>99</v>
      </c>
      <c r="V33" s="667" t="s">
        <v>14</v>
      </c>
      <c r="W33" s="668">
        <f t="shared" si="14"/>
        <v>100</v>
      </c>
      <c r="X33" s="1265"/>
      <c r="Y33" s="3373"/>
      <c r="Z33" s="1264" t="str">
        <f t="shared" si="15"/>
        <v>成新度</v>
      </c>
      <c r="AA33" s="1264">
        <f t="shared" si="3"/>
        <v>1.0101010101010102</v>
      </c>
      <c r="AB33" s="1264">
        <f t="shared" si="4"/>
        <v>1.0101010101010102</v>
      </c>
      <c r="AC33" s="1264">
        <f t="shared" si="5"/>
        <v>1</v>
      </c>
    </row>
    <row r="34" spans="1:29" s="102" customFormat="1" ht="15">
      <c r="A34" s="410"/>
      <c r="B34" s="364" t="s">
        <v>1816</v>
      </c>
      <c r="C34" s="399" t="s">
        <v>3437</v>
      </c>
      <c r="D34" s="119">
        <v>100</v>
      </c>
      <c r="E34" s="399" t="s">
        <v>3437</v>
      </c>
      <c r="F34" s="400">
        <f>SUMIF(100:100,E34,101:101)-SUMIF(100:100,C34,101:101)+100</f>
        <v>100</v>
      </c>
      <c r="G34" s="399" t="s">
        <v>3437</v>
      </c>
      <c r="H34" s="374">
        <f>SUMIF(100:100,G34,101:101)-SUMIF(100:100,C34,101:101)+100</f>
        <v>100</v>
      </c>
      <c r="I34" s="399" t="s">
        <v>3437</v>
      </c>
      <c r="J34" s="374">
        <f>SUMIF(100:100,I34,101:101)-SUMIF(100:100,C34,101:101)+100</f>
        <v>100</v>
      </c>
      <c r="K34" s="538">
        <v>1</v>
      </c>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1784</v>
      </c>
      <c r="C35" s="399" t="s">
        <v>3443</v>
      </c>
      <c r="D35" s="374">
        <v>100</v>
      </c>
      <c r="E35" s="399" t="s">
        <v>3443</v>
      </c>
      <c r="F35" s="400">
        <f>SUMIF(102:102,E35,103:103)-SUMIF(102:102,C35,103:103)+100</f>
        <v>100</v>
      </c>
      <c r="G35" s="399" t="s">
        <v>3443</v>
      </c>
      <c r="H35" s="374">
        <f>SUMIF(102:102,G35,103:103)-SUMIF(102:102,C35,103:103)+100</f>
        <v>100</v>
      </c>
      <c r="I35" s="399" t="s">
        <v>3443</v>
      </c>
      <c r="J35" s="374">
        <f>SUMIF(102:102,I35,103:103)-SUMIF(102:102,C35,103:103)+100</f>
        <v>100</v>
      </c>
      <c r="K35" s="538">
        <v>1</v>
      </c>
      <c r="L35" s="870"/>
      <c r="M35" s="861"/>
      <c r="N35" s="861"/>
      <c r="O35" s="869"/>
      <c r="P35" s="3373" t="s">
        <v>1693</v>
      </c>
      <c r="Q35" s="1263" t="str">
        <f t="shared" si="11"/>
        <v>市政基础设施</v>
      </c>
      <c r="R35" s="667" t="s">
        <v>14</v>
      </c>
      <c r="S35" s="668">
        <f t="shared" si="12"/>
        <v>100</v>
      </c>
      <c r="T35" s="667" t="s">
        <v>14</v>
      </c>
      <c r="U35" s="668">
        <f t="shared" si="13"/>
        <v>100</v>
      </c>
      <c r="V35" s="667" t="s">
        <v>14</v>
      </c>
      <c r="W35" s="668">
        <f t="shared" si="14"/>
        <v>100</v>
      </c>
      <c r="X35" s="1265"/>
      <c r="Y35" s="3373" t="s">
        <v>1693</v>
      </c>
      <c r="Z35" s="1264" t="str">
        <f t="shared" si="15"/>
        <v>市政基础设施</v>
      </c>
      <c r="AA35" s="1264">
        <f t="shared" si="3"/>
        <v>1</v>
      </c>
      <c r="AB35" s="1264">
        <f t="shared" si="4"/>
        <v>1</v>
      </c>
      <c r="AC35" s="1264">
        <f t="shared" si="5"/>
        <v>1</v>
      </c>
    </row>
    <row r="36" spans="1:29" ht="15">
      <c r="A36" s="409"/>
      <c r="B36" s="364" t="s">
        <v>1789</v>
      </c>
      <c r="C36" s="399" t="s">
        <v>3431</v>
      </c>
      <c r="D36" s="374">
        <v>100</v>
      </c>
      <c r="E36" s="399" t="s">
        <v>3433</v>
      </c>
      <c r="F36" s="400">
        <f>SUMIF(104:104,E36,105:105)-SUMIF(104:104,C36,105:105)+100</f>
        <v>98</v>
      </c>
      <c r="G36" s="399" t="s">
        <v>3431</v>
      </c>
      <c r="H36" s="374">
        <f>SUMIF(104:104,G36,105:105)-SUMIF(104:104,C36,105:105)+100</f>
        <v>100</v>
      </c>
      <c r="I36" s="399" t="s">
        <v>3433</v>
      </c>
      <c r="J36" s="374">
        <f>SUMIF(104:104,I36,105:105)-SUMIF(104:104,C36,105:105)+100</f>
        <v>98</v>
      </c>
      <c r="K36" s="538">
        <v>2</v>
      </c>
      <c r="L36" s="870"/>
      <c r="M36" s="861"/>
      <c r="N36" s="861"/>
      <c r="O36" s="869"/>
      <c r="P36" s="3373"/>
      <c r="Q36" s="1263" t="str">
        <f t="shared" si="11"/>
        <v>内部装修</v>
      </c>
      <c r="R36" s="667" t="s">
        <v>14</v>
      </c>
      <c r="S36" s="668">
        <f t="shared" si="12"/>
        <v>98</v>
      </c>
      <c r="T36" s="667" t="s">
        <v>14</v>
      </c>
      <c r="U36" s="668">
        <f t="shared" si="13"/>
        <v>100</v>
      </c>
      <c r="V36" s="667" t="s">
        <v>14</v>
      </c>
      <c r="W36" s="668">
        <f t="shared" si="14"/>
        <v>98</v>
      </c>
      <c r="X36" s="1265"/>
      <c r="Y36" s="3373"/>
      <c r="Z36" s="1264" t="str">
        <f t="shared" si="15"/>
        <v>内部装修</v>
      </c>
      <c r="AA36" s="1264">
        <f t="shared" si="3"/>
        <v>1.0204081632653061</v>
      </c>
      <c r="AB36" s="1264">
        <f t="shared" si="4"/>
        <v>1</v>
      </c>
      <c r="AC36" s="1264">
        <f t="shared" si="5"/>
        <v>1.0204081632653061</v>
      </c>
    </row>
    <row r="37" spans="1:29" ht="15">
      <c r="A37" s="409"/>
      <c r="B37" s="364" t="s">
        <v>1825</v>
      </c>
      <c r="C37" s="542" t="s">
        <v>3469</v>
      </c>
      <c r="D37" s="374">
        <v>100</v>
      </c>
      <c r="E37" s="542" t="s">
        <v>3469</v>
      </c>
      <c r="F37" s="400">
        <f>SUMIF(106:106,E37,107:107)-SUMIF(106:106,C37,107:107)+100</f>
        <v>100</v>
      </c>
      <c r="G37" s="542" t="s">
        <v>3469</v>
      </c>
      <c r="H37" s="374">
        <f>SUMIF(106:106,G37,107:107)-SUMIF(106:106,C37,107:107)+100</f>
        <v>100</v>
      </c>
      <c r="I37" s="542" t="s">
        <v>3469</v>
      </c>
      <c r="J37" s="374">
        <f>SUMIF(106:106,I37,107:107)-SUMIF(106:106,C37,107:107)+100</f>
        <v>100</v>
      </c>
      <c r="K37" s="538">
        <v>1</v>
      </c>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3169" t="s">
        <v>3455</v>
      </c>
      <c r="C38" s="3176" t="s">
        <v>3496</v>
      </c>
      <c r="D38" s="374">
        <v>100</v>
      </c>
      <c r="E38" s="3171" t="s">
        <v>3458</v>
      </c>
      <c r="F38" s="400">
        <f>SUMIF(108:108,E38,109:109)-SUMIF(108:108,C38,109:109)+100</f>
        <v>100</v>
      </c>
      <c r="G38" s="3171" t="s">
        <v>3458</v>
      </c>
      <c r="H38" s="374">
        <f>SUMIF(108:108,G38,109:109)-SUMIF(108:108,C38,109:109)+100</f>
        <v>100</v>
      </c>
      <c r="I38" s="3171" t="s">
        <v>3458</v>
      </c>
      <c r="J38" s="374">
        <f>SUMIF(108:108,I38,109:1038)-SUMIF(108:108,C38,109:109)+100</f>
        <v>100</v>
      </c>
      <c r="K38" s="539"/>
      <c r="L38" s="868"/>
      <c r="M38" s="871"/>
      <c r="N38" s="871"/>
      <c r="O38" s="872"/>
      <c r="P38" s="3373"/>
      <c r="Q38" s="531" t="str">
        <f t="shared" si="11"/>
        <v>层高</v>
      </c>
      <c r="R38" s="669" t="s">
        <v>14</v>
      </c>
      <c r="S38" s="670">
        <f t="shared" si="12"/>
        <v>100</v>
      </c>
      <c r="T38" s="669" t="s">
        <v>14</v>
      </c>
      <c r="U38" s="670">
        <f t="shared" si="13"/>
        <v>100</v>
      </c>
      <c r="V38" s="669" t="s">
        <v>14</v>
      </c>
      <c r="W38" s="670">
        <f t="shared" si="14"/>
        <v>100</v>
      </c>
      <c r="X38" s="671"/>
      <c r="Y38" s="3373"/>
      <c r="Z38" s="672" t="str">
        <f t="shared" si="15"/>
        <v>层高</v>
      </c>
      <c r="AA38" s="1264">
        <f t="shared" si="3"/>
        <v>1</v>
      </c>
      <c r="AB38" s="1264">
        <f t="shared" si="4"/>
        <v>1</v>
      </c>
      <c r="AC38" s="1264">
        <f t="shared" si="5"/>
        <v>1</v>
      </c>
    </row>
    <row r="39" spans="1:29" ht="15">
      <c r="A39" s="409"/>
      <c r="B39" s="1066">
        <v>111</v>
      </c>
      <c r="C39" s="407">
        <v>2018</v>
      </c>
      <c r="D39" s="374">
        <v>100</v>
      </c>
      <c r="E39" s="373">
        <v>2012</v>
      </c>
      <c r="F39" s="400">
        <f>SUMIF(110:110,E39,111:111)-SUMIF(110:110,C39,111:111)+100</f>
        <v>100</v>
      </c>
      <c r="G39" s="407">
        <v>2012</v>
      </c>
      <c r="H39" s="374">
        <f>SUMIF(110:110,G39,111:111)-SUMIF(110:110,C39,111:111)+100</f>
        <v>100</v>
      </c>
      <c r="I39" s="407">
        <v>2018</v>
      </c>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1705</v>
      </c>
      <c r="B41" s="417"/>
      <c r="C41" s="1081" t="s">
        <v>0</v>
      </c>
      <c r="D41" s="418"/>
      <c r="E41" s="419">
        <v>11000</v>
      </c>
      <c r="F41" s="420"/>
      <c r="G41" s="421">
        <v>13000</v>
      </c>
      <c r="H41" s="422"/>
      <c r="I41" s="419">
        <v>12000</v>
      </c>
      <c r="J41" s="422"/>
      <c r="K41" s="674"/>
      <c r="L41" s="873"/>
      <c r="M41" s="861"/>
      <c r="N41" s="861"/>
      <c r="O41" s="861"/>
      <c r="P41" s="3365" t="str">
        <f>A41</f>
        <v>成交单价（元/平方米）</v>
      </c>
      <c r="Q41" s="3365"/>
      <c r="R41" s="3366">
        <f>E41</f>
        <v>11000</v>
      </c>
      <c r="S41" s="3366"/>
      <c r="T41" s="3366">
        <f>G41</f>
        <v>13000</v>
      </c>
      <c r="U41" s="3366"/>
      <c r="V41" s="3366">
        <f>I41</f>
        <v>12000</v>
      </c>
      <c r="W41" s="3366"/>
      <c r="X41" s="385"/>
      <c r="Y41" s="673"/>
      <c r="Z41" s="385"/>
      <c r="AA41" s="385"/>
      <c r="AB41" s="385"/>
      <c r="AC41" s="385"/>
    </row>
    <row r="42" spans="1:29" ht="15.75" thickBot="1">
      <c r="A42" s="423" t="s">
        <v>1790</v>
      </c>
      <c r="B42" s="424"/>
      <c r="C42" s="1082">
        <f>R43</f>
        <v>11204</v>
      </c>
      <c r="D42" s="2141" t="s">
        <v>2133</v>
      </c>
      <c r="E42" s="1083">
        <f>R42</f>
        <v>10382</v>
      </c>
      <c r="F42" s="2142"/>
      <c r="G42" s="1082">
        <f>T42</f>
        <v>11568</v>
      </c>
      <c r="H42" s="2142"/>
      <c r="I42" s="1083">
        <f>V42</f>
        <v>11662</v>
      </c>
      <c r="J42" s="2142"/>
      <c r="K42" s="2144">
        <f>F42+H42+J42</f>
        <v>0</v>
      </c>
      <c r="L42" s="873"/>
      <c r="M42" s="861"/>
      <c r="N42" s="861"/>
      <c r="O42" s="861"/>
      <c r="P42" s="3365" t="str">
        <f>A42</f>
        <v>比较价值（元/平方米）</v>
      </c>
      <c r="Q42" s="3365"/>
      <c r="R42" s="3366">
        <f>IF(F1="售价",ROUND(PRODUCT(R41,AA7:AA40),0),ROUND(PRODUCT(R41,AA7:AA40),1))</f>
        <v>10382</v>
      </c>
      <c r="S42" s="3366"/>
      <c r="T42" s="3366">
        <f>IF(F1="售价",ROUND(PRODUCT(T41,AB7:AB40),0),ROUND(PRODUCT(T41,AB7:AB40),1))</f>
        <v>11568</v>
      </c>
      <c r="U42" s="3366"/>
      <c r="V42" s="3366">
        <f>IF(F1="售价",ROUND(PRODUCT(V41,AC7:AC40),0),ROUND(PRODUCT(V41,AC7:AC40),1))</f>
        <v>11662</v>
      </c>
      <c r="W42" s="3366"/>
      <c r="X42" s="385"/>
      <c r="Y42" s="385"/>
      <c r="Z42" s="385"/>
      <c r="AA42" s="385"/>
      <c r="AB42" s="385"/>
      <c r="AC42" s="385"/>
    </row>
    <row r="43" spans="1:29" ht="15.75" thickBot="1">
      <c r="A43" s="427" t="s">
        <v>1791</v>
      </c>
      <c r="B43" s="428"/>
      <c r="C43" s="351">
        <f>R43</f>
        <v>11204</v>
      </c>
      <c r="D43" s="351"/>
      <c r="E43" s="351"/>
      <c r="F43" s="351"/>
      <c r="G43" s="351"/>
      <c r="H43" s="351"/>
      <c r="I43" s="351"/>
      <c r="J43" s="351"/>
      <c r="K43" s="675"/>
      <c r="L43" s="873"/>
      <c r="M43" s="861"/>
      <c r="N43" s="861"/>
      <c r="O43" s="861"/>
      <c r="P43" s="3367" t="str">
        <f>A43</f>
        <v>估价对象XX用房的比较价值（楼面单价，元/平方米）</v>
      </c>
      <c r="Q43" s="3368"/>
      <c r="R43" s="3369">
        <f>IF(F1="售价",ROUND(IF(D42="简单平均",AVERAGE(R42:V42),R42*F42+T42*H42+V42*J42),0),ROUND(IF(D42="简单平均",AVERAGE(R42:V42),R42*F42+T42*H42+V42*J42),1))</f>
        <v>11204</v>
      </c>
      <c r="S43" s="3369"/>
      <c r="T43" s="3369"/>
      <c r="U43" s="3369"/>
      <c r="V43" s="3369"/>
      <c r="W43" s="336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1792</v>
      </c>
      <c r="D46" s="433"/>
      <c r="E46" s="434">
        <f>IF(E41&lt;E42,E42/E41-1,E41/E42-1)</f>
        <v>5.9526102870352426E-2</v>
      </c>
      <c r="F46" s="435" t="str">
        <f>IF(OR(E46&gt;=0.3,E46&lt;=-0.3),"超过30%","")</f>
        <v/>
      </c>
      <c r="G46" s="434">
        <f>IF(G41&lt;G42,G42/G41-1,G41/G42-1)</f>
        <v>0.12378976486860305</v>
      </c>
      <c r="H46" s="435" t="str">
        <f>IF(OR(G46&gt;=0.3,G46&lt;=-0.3),"超过30%","")</f>
        <v/>
      </c>
      <c r="I46" s="434">
        <f>IF(I41&lt;I42,I42/I41-1,I41/I42-1)</f>
        <v>2.8983021780140561E-2</v>
      </c>
      <c r="J46" s="435" t="str">
        <f>IF(OR(I46&gt;=0.3,I46&lt;=-0.3),"超过30%","")</f>
        <v/>
      </c>
      <c r="K46" s="2499"/>
      <c r="L46" s="836"/>
      <c r="M46" s="861"/>
      <c r="N46" s="861"/>
      <c r="O46" s="861"/>
    </row>
    <row r="47" spans="1:29" ht="13.5" customHeight="1">
      <c r="A47" s="2487"/>
      <c r="B47" s="2487"/>
      <c r="C47" s="432" t="s">
        <v>1793</v>
      </c>
      <c r="D47" s="436"/>
      <c r="E47" s="434">
        <f>IF(E42&lt;G42,G42/E42-1,E42/G42-1)</f>
        <v>0.11423617800038532</v>
      </c>
      <c r="F47" s="435" t="str">
        <f>IF(OR(E47&gt;=0.2,E47&lt;=-0.2),"超过20%","")</f>
        <v/>
      </c>
      <c r="G47" s="434">
        <f>IF(G42&lt;I42,I42/G42-1,G42/I42-1)</f>
        <v>8.1258644536652547E-3</v>
      </c>
      <c r="H47" s="435" t="str">
        <f>IF(OR(G47&gt;=0.2,G47&lt;=-0.2),"超过20%","")</f>
        <v/>
      </c>
      <c r="I47" s="434">
        <f>IF(I42&lt;E42,E42/I42-1,I42/E42-1)</f>
        <v>0.1232903101521865</v>
      </c>
      <c r="J47" s="435" t="str">
        <f>IF(OR(I47&gt;=0.2,I47&lt;=-0.2),"超过20%","")</f>
        <v/>
      </c>
      <c r="K47" s="2499"/>
      <c r="L47" s="836"/>
      <c r="M47" s="861"/>
      <c r="N47" s="861"/>
      <c r="O47" s="861"/>
    </row>
    <row r="48" spans="1:29" s="437" customFormat="1" ht="13.5" customHeight="1">
      <c r="A48" s="2497"/>
      <c r="B48" s="2497"/>
      <c r="C48" s="432" t="s">
        <v>1794</v>
      </c>
      <c r="D48" s="436"/>
      <c r="E48" s="434">
        <f>IF(E41&lt;G41,G41/E41-1,E41/G41-1)</f>
        <v>0.18181818181818188</v>
      </c>
      <c r="F48" s="435" t="str">
        <f>IF(OR(E48&gt;=0.3,E48&lt;=-0.3),"超过30%","")</f>
        <v/>
      </c>
      <c r="G48" s="434">
        <f>IF(G41&lt;I41,I41/G41-1,G41/I41-1)</f>
        <v>8.3333333333333259E-2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8"/>
      <c r="O54" s="2539"/>
      <c r="P54" s="439"/>
      <c r="Q54" s="439"/>
    </row>
    <row r="55" spans="1:17" s="102" customFormat="1" ht="15">
      <c r="A55" s="455" t="s">
        <v>1678</v>
      </c>
      <c r="B55" s="444"/>
      <c r="C55" s="456" t="s">
        <v>1773</v>
      </c>
      <c r="D55" s="3167" t="s">
        <v>3446</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1716</v>
      </c>
      <c r="B57" s="460" t="s">
        <v>1682</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1685</v>
      </c>
      <c r="C59" s="513" t="s">
        <v>3447</v>
      </c>
      <c r="D59" s="513" t="s">
        <v>3448</v>
      </c>
      <c r="E59" s="513" t="s">
        <v>3449</v>
      </c>
      <c r="F59" s="513" t="s">
        <v>3450</v>
      </c>
      <c r="G59" s="513" t="s">
        <v>3451</v>
      </c>
      <c r="H59" s="513"/>
      <c r="I59" s="513"/>
      <c r="J59" s="513"/>
      <c r="K59" s="514"/>
      <c r="L59" s="515"/>
      <c r="M59" s="516"/>
      <c r="N59" s="879"/>
      <c r="O59" s="879"/>
      <c r="P59" s="40"/>
      <c r="Q59" s="439"/>
    </row>
    <row r="60" spans="1:17" ht="15.75" thickBot="1">
      <c r="A60" s="367"/>
      <c r="B60" s="474"/>
      <c r="C60" s="467">
        <v>100</v>
      </c>
      <c r="D60" s="467">
        <f>C60-3</f>
        <v>97</v>
      </c>
      <c r="E60" s="467">
        <f t="shared" ref="E60:G60" si="17">D60-3</f>
        <v>94</v>
      </c>
      <c r="F60" s="467">
        <f t="shared" si="17"/>
        <v>91</v>
      </c>
      <c r="G60" s="467">
        <f t="shared" si="17"/>
        <v>88</v>
      </c>
      <c r="H60" s="467"/>
      <c r="I60" s="467"/>
      <c r="J60" s="467"/>
      <c r="K60" s="467"/>
      <c r="L60" s="467"/>
      <c r="M60" s="468"/>
      <c r="N60" s="880"/>
      <c r="O60" s="880"/>
      <c r="P60" s="40"/>
      <c r="Q60" s="439"/>
    </row>
    <row r="61" spans="1:17" ht="15.75" thickTop="1">
      <c r="A61" s="367"/>
      <c r="B61" s="477" t="s">
        <v>1686</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v>3</v>
      </c>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销售类型</v>
      </c>
      <c r="C64" s="3166" t="s">
        <v>3492</v>
      </c>
      <c r="D64" s="3166" t="s">
        <v>3493</v>
      </c>
      <c r="E64" s="485"/>
      <c r="F64" s="485"/>
      <c r="G64" s="485"/>
      <c r="H64" s="486"/>
      <c r="I64" s="486"/>
      <c r="J64" s="486"/>
      <c r="K64" s="486"/>
      <c r="L64" s="487"/>
      <c r="M64" s="488"/>
      <c r="N64" s="881"/>
      <c r="O64" s="881"/>
      <c r="P64" s="489"/>
      <c r="Q64" s="490"/>
    </row>
    <row r="65" spans="1:17" s="408" customFormat="1" ht="15.75" thickBot="1">
      <c r="A65" s="484"/>
      <c r="B65" s="474"/>
      <c r="C65" s="491">
        <v>100</v>
      </c>
      <c r="D65" s="467">
        <v>105</v>
      </c>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3166" t="s">
        <v>3491</v>
      </c>
      <c r="D88" s="3166"/>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1734</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1735</v>
      </c>
      <c r="C93" s="3164" t="s">
        <v>3430</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1737</v>
      </c>
      <c r="C95" s="3164" t="s">
        <v>3432</v>
      </c>
      <c r="D95" s="3164" t="s">
        <v>3434</v>
      </c>
      <c r="E95" s="3164" t="s">
        <v>3435</v>
      </c>
      <c r="F95" s="3165" t="s">
        <v>3436</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1738</v>
      </c>
      <c r="C100" s="3164" t="s">
        <v>3438</v>
      </c>
      <c r="D100" s="3164" t="s">
        <v>3439</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1739</v>
      </c>
      <c r="C102" s="3164" t="s">
        <v>3441</v>
      </c>
      <c r="D102" s="3164" t="s">
        <v>3442</v>
      </c>
      <c r="E102" s="3164" t="s">
        <v>3444</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1741</v>
      </c>
      <c r="C104" s="3164" t="s">
        <v>3432</v>
      </c>
      <c r="D104" s="3164" t="s">
        <v>3434</v>
      </c>
      <c r="E104" s="3164" t="s">
        <v>3435</v>
      </c>
      <c r="F104" s="3165" t="s">
        <v>3436</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64" t="s">
        <v>3498</v>
      </c>
      <c r="D108" s="3164" t="s">
        <v>3458</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80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3488</v>
      </c>
      <c r="D1" s="1271" t="s">
        <v>43</v>
      </c>
      <c r="E1" s="1272" t="s">
        <v>675</v>
      </c>
      <c r="F1" s="999">
        <f ca="1">J53</f>
        <v>26.98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3">
        <f ca="1">ROUND(D2/10000,4)</f>
        <v>162.61930000000001</v>
      </c>
      <c r="C2" s="1289" t="s">
        <v>876</v>
      </c>
      <c r="D2" s="1375">
        <f ca="1">C40+J29+L46</f>
        <v>1626193</v>
      </c>
      <c r="E2" s="1295" t="s">
        <v>877</v>
      </c>
      <c r="F2" s="1296"/>
      <c r="G2" s="2478"/>
      <c r="H2" s="2468"/>
      <c r="I2" s="2468"/>
      <c r="J2" s="2468"/>
      <c r="K2" s="2469"/>
      <c r="L2" s="2468"/>
      <c r="M2" s="2468"/>
    </row>
    <row r="3" spans="1:37" ht="18" customHeight="1" thickBot="1">
      <c r="A3" s="1297" t="s">
        <v>878</v>
      </c>
      <c r="B3" s="1298">
        <f ca="1">IF(ISERROR(D2/F43),0,ROUND(D2/F43,0))</f>
        <v>5256</v>
      </c>
      <c r="C3" s="1289" t="s">
        <v>879</v>
      </c>
      <c r="D3" s="1289"/>
      <c r="E3" s="1295"/>
      <c r="F3" s="1296"/>
      <c r="G3" s="2478"/>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122125</v>
      </c>
      <c r="D5" s="1273" t="s">
        <v>886</v>
      </c>
      <c r="E5" s="1008"/>
      <c r="F5" s="1009"/>
      <c r="G5" s="1292"/>
      <c r="H5" s="291">
        <v>1</v>
      </c>
      <c r="I5" s="292" t="s">
        <v>885</v>
      </c>
      <c r="J5" s="1007">
        <f ca="1">J6+J10+J12</f>
        <v>0</v>
      </c>
      <c r="K5" s="1273" t="s">
        <v>886</v>
      </c>
      <c r="L5" s="1008"/>
      <c r="M5" s="1009"/>
    </row>
    <row r="6" spans="1:37" ht="18" customHeight="1">
      <c r="A6" s="1006" t="s">
        <v>398</v>
      </c>
      <c r="B6" s="3403" t="s">
        <v>691</v>
      </c>
      <c r="C6" s="1011">
        <f ca="1">ROUND(F6*F8*F7*(1-F9),0)</f>
        <v>121973</v>
      </c>
      <c r="D6" s="147" t="s">
        <v>2101</v>
      </c>
      <c r="E6" s="294" t="s">
        <v>693</v>
      </c>
      <c r="F6" s="295">
        <f ca="1">INDIRECT("'数据-取费表'!u"&amp;$G$1)</f>
        <v>1.2</v>
      </c>
      <c r="G6" s="1292"/>
      <c r="H6" s="1006" t="s">
        <v>398</v>
      </c>
      <c r="I6" s="3403" t="s">
        <v>691</v>
      </c>
      <c r="J6" s="293">
        <f ca="1">ROUND(M6*M8*M7*(1-M9),0)</f>
        <v>0</v>
      </c>
      <c r="K6" s="1284" t="s">
        <v>2102</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309.42</v>
      </c>
      <c r="G7" s="1292"/>
      <c r="H7" s="296"/>
      <c r="I7" s="3404"/>
      <c r="J7" s="298"/>
      <c r="K7" s="299"/>
      <c r="L7" s="294" t="s">
        <v>694</v>
      </c>
      <c r="M7" s="295">
        <f ca="1">F7</f>
        <v>309.42</v>
      </c>
    </row>
    <row r="8" spans="1:37" ht="18" customHeight="1">
      <c r="A8" s="296"/>
      <c r="B8" s="3404"/>
      <c r="C8" s="298"/>
      <c r="D8" s="299"/>
      <c r="E8" s="294" t="s">
        <v>695</v>
      </c>
      <c r="F8" s="295">
        <f ca="1">INDIRECT("'数据-取费表'!ai"&amp;$G$1)</f>
        <v>365</v>
      </c>
      <c r="G8" s="1292"/>
      <c r="H8" s="296"/>
      <c r="I8" s="3404"/>
      <c r="J8" s="298"/>
      <c r="K8" s="299"/>
      <c r="L8" s="294" t="s">
        <v>695</v>
      </c>
      <c r="M8" s="295">
        <f ca="1">INDIRECT("'数据-取费表'!ai"&amp;$G$1)</f>
        <v>365</v>
      </c>
    </row>
    <row r="9" spans="1:37" ht="18" customHeight="1">
      <c r="A9" s="296"/>
      <c r="B9" s="3405"/>
      <c r="C9" s="298"/>
      <c r="D9" s="299"/>
      <c r="E9" s="294" t="s">
        <v>696</v>
      </c>
      <c r="F9" s="304">
        <f ca="1">INDIRECT("'数据-取费表'!w"&amp;$G$1)</f>
        <v>0.1</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152</v>
      </c>
      <c r="D10" s="150" t="s">
        <v>2111</v>
      </c>
      <c r="E10" s="305" t="s">
        <v>698</v>
      </c>
      <c r="F10" s="1053" t="s">
        <v>3419</v>
      </c>
      <c r="G10" s="1292"/>
      <c r="H10" s="1006" t="s">
        <v>402</v>
      </c>
      <c r="I10" s="1274" t="s">
        <v>697</v>
      </c>
      <c r="J10" s="293">
        <f ca="1">ROUND(IF(M10="押一",J6/12*M11,IF(M10="押二",J6/12*2*M11,IF(M10="押三",J6/12*3*M11,J11*M11))),0)</f>
        <v>0</v>
      </c>
      <c r="K10" s="1285" t="s">
        <v>2113</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1536269</v>
      </c>
      <c r="D13" s="1018" t="s">
        <v>702</v>
      </c>
      <c r="E13" s="1018" t="s">
        <v>703</v>
      </c>
      <c r="F13" s="1019">
        <f ca="1">INDIRECT("'数据-取费表'!y"&amp;$G$1)</f>
        <v>0.88</v>
      </c>
      <c r="G13" s="1292"/>
      <c r="H13" s="1016">
        <v>2</v>
      </c>
      <c r="I13" s="1017" t="s">
        <v>701</v>
      </c>
      <c r="J13" s="1005">
        <f ca="1">ROUND(J14*J15,0)</f>
        <v>0</v>
      </c>
      <c r="K13" s="1024" t="s">
        <v>702</v>
      </c>
      <c r="L13" s="1299"/>
      <c r="M13" s="1300"/>
    </row>
    <row r="14" spans="1:37" ht="18" customHeight="1">
      <c r="A14" s="928" t="s">
        <v>397</v>
      </c>
      <c r="B14" s="294" t="s">
        <v>704</v>
      </c>
      <c r="C14" s="310">
        <f ca="1">ROUND(INDIRECT("'数据-取费表'!l"&amp;$G$1)*F43+'数据-取费表'!L14*INDIRECT("'数据-取费表'!S"&amp;$G$1),0)</f>
        <v>1237680</v>
      </c>
      <c r="D14" s="1257" t="s">
        <v>705</v>
      </c>
      <c r="E14" s="1255"/>
      <c r="F14" s="311"/>
      <c r="G14" s="1292"/>
      <c r="H14" s="928" t="s">
        <v>398</v>
      </c>
      <c r="I14" s="294" t="s">
        <v>706</v>
      </c>
      <c r="J14" s="21">
        <f ca="1">C29</f>
        <v>1745760</v>
      </c>
      <c r="K14" s="12"/>
      <c r="L14" s="759"/>
      <c r="M14" s="760"/>
    </row>
    <row r="15" spans="1:37" s="1304" customFormat="1" ht="18" customHeight="1" thickBot="1">
      <c r="A15" s="928" t="s">
        <v>399</v>
      </c>
      <c r="B15" s="294" t="s">
        <v>707</v>
      </c>
      <c r="C15" s="21">
        <f ca="1">ROUND(C14*F15,0)</f>
        <v>61884</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f ca="1">ROUND(J17+J22+J23+J24,0)</f>
        <v>5237</v>
      </c>
      <c r="K16" s="1024" t="s">
        <v>712</v>
      </c>
      <c r="L16" s="1025"/>
      <c r="M16" s="1009"/>
    </row>
    <row r="17" spans="1:37" s="1304" customFormat="1" ht="18" customHeight="1">
      <c r="A17" s="928" t="s">
        <v>678</v>
      </c>
      <c r="B17" s="294" t="s">
        <v>713</v>
      </c>
      <c r="C17" s="21">
        <f ca="1">ROUND(F17*(F43+INDIRECT("'数据-取费表'!S"&amp;$G$1)),0)</f>
        <v>61884</v>
      </c>
      <c r="D17" s="294" t="s">
        <v>714</v>
      </c>
      <c r="E17" s="294" t="s">
        <v>715</v>
      </c>
      <c r="F17" s="23">
        <f>'数据-取费表'!B35</f>
        <v>200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24754</v>
      </c>
      <c r="D18" s="294" t="s">
        <v>708</v>
      </c>
      <c r="E18" s="294" t="s">
        <v>709</v>
      </c>
      <c r="F18" s="314">
        <f>'数据-取费表'!B36</f>
        <v>0.02</v>
      </c>
      <c r="G18" s="1303"/>
      <c r="H18" s="928" t="s">
        <v>397</v>
      </c>
      <c r="I18" s="294" t="s">
        <v>720</v>
      </c>
      <c r="J18" s="21">
        <f ca="1">ROUND(J6*M18/(1+'数据-取费表'!C42),0)</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1386202</v>
      </c>
      <c r="D19" s="123" t="s">
        <v>723</v>
      </c>
      <c r="E19" s="1269"/>
      <c r="F19" s="23"/>
      <c r="G19" s="1292"/>
      <c r="H19" s="928" t="s">
        <v>399</v>
      </c>
      <c r="I19" s="294" t="s">
        <v>724</v>
      </c>
      <c r="J19" s="21">
        <f ca="1">IF(K19="按租金收入计税",ROUND(J6*M19/(1+'数据-取费表'!C42),0),ROUND(C29*M19*0.7,0))</f>
        <v>0</v>
      </c>
      <c r="K19" s="1278" t="s">
        <v>3331</v>
      </c>
      <c r="L19" s="294" t="s">
        <v>709</v>
      </c>
      <c r="M19" s="314">
        <f>IF(K19="按租金收入计税",'数据-取费表'!B51,'数据-取费表'!B50)</f>
        <v>0.12</v>
      </c>
    </row>
    <row r="20" spans="1:37" s="1304" customFormat="1" ht="18" customHeight="1">
      <c r="A20" s="928" t="s">
        <v>402</v>
      </c>
      <c r="B20" s="294" t="s">
        <v>725</v>
      </c>
      <c r="C20" s="21">
        <f ca="1">ROUND(C19*F20,0)</f>
        <v>41586</v>
      </c>
      <c r="D20" s="315" t="s">
        <v>726</v>
      </c>
      <c r="E20" s="294" t="s">
        <v>709</v>
      </c>
      <c r="F20" s="314">
        <f>'数据-取费表'!B37</f>
        <v>0.03</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ROUND(J14*M22,0)</f>
        <v>5237</v>
      </c>
      <c r="K22" s="1256" t="s">
        <v>736</v>
      </c>
      <c r="L22" s="294" t="s">
        <v>709</v>
      </c>
      <c r="M22" s="320">
        <f ca="1">INDIRECT("'数据-取费表'!Ak"&amp;$G$1)</f>
        <v>3.0000000000000001E-3</v>
      </c>
    </row>
    <row r="23" spans="1:37" s="1304" customFormat="1" ht="18" customHeight="1">
      <c r="A23" s="928" t="s">
        <v>397</v>
      </c>
      <c r="B23" s="294" t="s">
        <v>737</v>
      </c>
      <c r="C23" s="21">
        <f ca="1">IF('数据-取费表'!B22&lt;=1,ROUND(C19*F24*F23/2,0)+ROUND(C20*F24*F23/2,0),ROUND(C19*(POWER((1+F24),F23/2)-1),0)+ROUND(C20*(POWER((1+F24),F23/2)-1),0))</f>
        <v>44261</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ROUND(J13*M23,0)</f>
        <v>0</v>
      </c>
      <c r="K23" s="1256" t="s">
        <v>740</v>
      </c>
      <c r="L23" s="294" t="s">
        <v>741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ROUND(J5*M24,0)</f>
        <v>0</v>
      </c>
      <c r="K24" s="1029" t="s">
        <v>745</v>
      </c>
      <c r="L24" s="1027" t="s">
        <v>741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f ca="1">J5-J16</f>
        <v>-5237</v>
      </c>
      <c r="K25" s="1032" t="s">
        <v>750</v>
      </c>
      <c r="L25" s="1033"/>
      <c r="M25" s="1034"/>
    </row>
    <row r="26" spans="1:37" ht="18" customHeight="1">
      <c r="A26" s="928" t="s">
        <v>397</v>
      </c>
      <c r="B26" s="294" t="s">
        <v>751</v>
      </c>
      <c r="C26" s="21">
        <f ca="1">ROUND((C19+C20)*F26,0)</f>
        <v>142779</v>
      </c>
      <c r="D26" s="315" t="s">
        <v>752</v>
      </c>
      <c r="E26" s="305" t="s">
        <v>753</v>
      </c>
      <c r="F26" s="304">
        <f ca="1">INDIRECT("'数据-取费表'!q"&amp;$G$1)</f>
        <v>0.1</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2E-3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1745760</v>
      </c>
      <c r="D29" s="1029"/>
      <c r="E29" s="1027"/>
      <c r="F29" s="1030"/>
      <c r="G29" s="1303"/>
      <c r="H29" s="325" t="s">
        <v>396</v>
      </c>
      <c r="I29" s="326" t="s">
        <v>765</v>
      </c>
      <c r="J29" s="327">
        <f ca="1">ROUND(J26/(1+F40)^F41,0)</f>
        <v>0</v>
      </c>
      <c r="K29" s="328" t="s">
        <v>766</v>
      </c>
      <c r="L29" s="329"/>
      <c r="M29" s="330">
        <f ca="1">INDIRECT("'数据-取费表'!k"&amp;$G$1)</f>
        <v>309.42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28323</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ROUND(IF(AND(项目基本情况!B11="自然人",项目基本情况!B10="北京市"),C6*F31/(1+'数据-取费表'!C42),C32+C33+C34),0)</f>
        <v>20329</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IF(项目基本情况!B11="自然人","——",ROUND(C6*F32/(1+'数据-取费表'!C42),0))</f>
        <v>6389</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IF(项目基本情况!B11="自然人","——",IF(D33="按租金收入计税",ROUND(C6*F33/(1+'数据-取费表'!C42),0),IF(D33="按房产原值计税",ROUND(C29*F33*0.7,0),INDIRECT("'数据-取费表'!Aj"&amp;$G$1))))</f>
        <v>13940</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IF(项目基本情况!B11="自然人","——",ROUND(F34*F35,0))</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ROUND(C29*F36,0)</f>
        <v>5237</v>
      </c>
      <c r="D36" s="1256" t="s">
        <v>768</v>
      </c>
      <c r="E36" s="294" t="s">
        <v>709</v>
      </c>
      <c r="F36" s="320">
        <f ca="1">INDIRECT("'数据-取费表'!Ak"&amp;$G$1)</f>
        <v>3.0000000000000001E-3</v>
      </c>
      <c r="G36" s="1292"/>
      <c r="H36" s="2473"/>
      <c r="I36" s="1305"/>
      <c r="J36" s="1306"/>
      <c r="K36" s="2331"/>
      <c r="L36" s="2473"/>
      <c r="M36" s="2473"/>
    </row>
    <row r="37" spans="1:18" ht="18" customHeight="1">
      <c r="A37" s="928" t="s">
        <v>437</v>
      </c>
      <c r="B37" s="294" t="s">
        <v>739</v>
      </c>
      <c r="C37" s="21">
        <f ca="1">ROUND(C13*F37,0)</f>
        <v>1536</v>
      </c>
      <c r="D37" s="1256" t="s">
        <v>740</v>
      </c>
      <c r="E37" s="294" t="s">
        <v>741</v>
      </c>
      <c r="F37" s="321">
        <f ca="1">INDIRECT("'数据-取费表'!Al"&amp;$G$1)</f>
        <v>1E-3</v>
      </c>
      <c r="G37" s="1292"/>
      <c r="H37" s="2473"/>
      <c r="I37" s="1305"/>
      <c r="J37" s="1306"/>
      <c r="K37" s="2331"/>
      <c r="L37" s="2473"/>
      <c r="M37" s="2473"/>
    </row>
    <row r="38" spans="1:18" ht="18" customHeight="1" thickBot="1">
      <c r="A38" s="1026" t="s">
        <v>681</v>
      </c>
      <c r="B38" s="1027" t="s">
        <v>725</v>
      </c>
      <c r="C38" s="1028">
        <f ca="1">ROUND(C5*F38,0)</f>
        <v>1221</v>
      </c>
      <c r="D38" s="1029" t="s">
        <v>745</v>
      </c>
      <c r="E38" s="1027" t="s">
        <v>741</v>
      </c>
      <c r="F38" s="1023">
        <f ca="1">INDIRECT("'数据-取费表'!Am"&amp;$G$1)</f>
        <v>0.01</v>
      </c>
      <c r="G38" s="1292"/>
      <c r="H38" s="2473"/>
      <c r="I38" s="1305"/>
      <c r="J38" s="1306"/>
      <c r="K38" s="2471"/>
      <c r="L38" s="2473"/>
      <c r="M38" s="2473"/>
    </row>
    <row r="39" spans="1:18" ht="24.6" customHeight="1" thickTop="1">
      <c r="A39" s="1016" t="s">
        <v>394</v>
      </c>
      <c r="B39" s="1031" t="s">
        <v>769</v>
      </c>
      <c r="C39" s="302">
        <f ca="1">C5-C30</f>
        <v>93802</v>
      </c>
      <c r="D39" s="1032" t="s">
        <v>770</v>
      </c>
      <c r="E39" s="1033"/>
      <c r="F39" s="1034"/>
      <c r="G39" s="1292"/>
      <c r="H39" s="2473"/>
      <c r="I39" s="1305"/>
      <c r="J39" s="1306"/>
      <c r="K39" s="2471"/>
      <c r="L39" s="2473"/>
      <c r="M39" s="2473"/>
    </row>
    <row r="40" spans="1:18" ht="18" customHeight="1">
      <c r="A40" s="291" t="s">
        <v>395</v>
      </c>
      <c r="B40" s="292" t="s">
        <v>771</v>
      </c>
      <c r="C40" s="293">
        <f ca="1">ROUND(C39*(1-((1+F42)/(1+F40))^F41)/(F40-F42),0)</f>
        <v>1518528</v>
      </c>
      <c r="D40" s="316" t="s">
        <v>755</v>
      </c>
      <c r="E40" s="294" t="s">
        <v>756</v>
      </c>
      <c r="F40" s="304">
        <f ca="1">INDIRECT("'数据-取费表'!I"&amp;$G$1)</f>
        <v>5.5E-2</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26.98</v>
      </c>
      <c r="G41" s="1292"/>
      <c r="H41" s="121"/>
      <c r="I41" s="1305"/>
      <c r="J41" s="1306"/>
      <c r="K41" s="2331"/>
      <c r="L41" s="121"/>
      <c r="M41" s="121"/>
    </row>
    <row r="42" spans="1:18" ht="18" customHeight="1">
      <c r="A42" s="300"/>
      <c r="B42" s="301"/>
      <c r="C42" s="302"/>
      <c r="D42" s="319"/>
      <c r="E42" s="294" t="s">
        <v>763</v>
      </c>
      <c r="F42" s="304">
        <f ca="1">INDIRECT("'数据-取费表'!v"&amp;$G$1)</f>
        <v>1.4999999999999999E-2</v>
      </c>
      <c r="G42" s="1292"/>
      <c r="H42" s="121"/>
      <c r="I42" s="1305"/>
      <c r="J42" s="1306"/>
      <c r="K42" s="2331"/>
      <c r="L42" s="121"/>
      <c r="M42" s="121"/>
    </row>
    <row r="43" spans="1:18" ht="18" customHeight="1" thickBot="1">
      <c r="A43" s="325" t="s">
        <v>396</v>
      </c>
      <c r="B43" s="326" t="s">
        <v>773</v>
      </c>
      <c r="C43" s="327">
        <f ca="1">ROUND(C40/F43,0)</f>
        <v>4908</v>
      </c>
      <c r="D43" s="328" t="s">
        <v>774</v>
      </c>
      <c r="E43" s="329" t="s">
        <v>775</v>
      </c>
      <c r="F43" s="330">
        <f ca="1">INDIRECT("'数据-取费表'!k"&amp;$G$1)</f>
        <v>309.42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-161.2629</v>
      </c>
      <c r="D45" s="3130" t="s">
        <v>3348</v>
      </c>
      <c r="E45" s="1307"/>
      <c r="F45" s="1307"/>
      <c r="O45" s="1310" t="s">
        <v>805</v>
      </c>
      <c r="P45" s="1366"/>
      <c r="Q45" s="1366"/>
      <c r="R45" s="1366"/>
    </row>
    <row r="46" spans="1:18" s="1292" customFormat="1" ht="13.5" thickBot="1">
      <c r="A46" s="1311" t="s">
        <v>806</v>
      </c>
      <c r="C46" s="1312">
        <f ca="1">ROUND(C45,0)</f>
        <v>-161</v>
      </c>
      <c r="D46" s="1313" t="str">
        <f>C2</f>
        <v>万元</v>
      </c>
      <c r="I46" s="1314" t="s">
        <v>807</v>
      </c>
      <c r="J46" s="1315"/>
      <c r="K46" s="1316"/>
      <c r="L46" s="1317">
        <f ca="1">IF(M47="住宅",0,IF(L48&gt;J51,L60,J60))</f>
        <v>107665</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t="s">
        <v>3420</v>
      </c>
      <c r="K47" s="1323" t="s">
        <v>813</v>
      </c>
      <c r="L47" s="1324">
        <f ca="1">INDIRECT("'数据-取费表'!d"&amp;$G$1)</f>
        <v>50</v>
      </c>
      <c r="M47" s="1288" t="str">
        <f>IF(ISNUMBER(FIND("住宅",C1)),"住宅","非住宅")</f>
        <v>非住宅</v>
      </c>
      <c r="O47" s="1325" t="s">
        <v>403</v>
      </c>
      <c r="P47" s="1326" t="s">
        <v>814</v>
      </c>
      <c r="Q47" s="1327">
        <f ca="1">C40+J29</f>
        <v>1518528</v>
      </c>
      <c r="R47" s="1327" t="s">
        <v>815</v>
      </c>
    </row>
    <row r="48" spans="1:18" s="1292" customFormat="1" ht="28.5" thickBot="1">
      <c r="A48" s="1047" t="s">
        <v>438</v>
      </c>
      <c r="B48" s="292" t="s">
        <v>689</v>
      </c>
      <c r="C48" s="1268">
        <f ca="1">C49+C53+C55</f>
        <v>0</v>
      </c>
      <c r="D48" s="1049"/>
      <c r="E48" s="1050"/>
      <c r="F48" s="908"/>
      <c r="G48" s="681"/>
      <c r="H48" s="682"/>
      <c r="I48" s="1328" t="s">
        <v>816</v>
      </c>
      <c r="J48" s="1329" t="s">
        <v>3421</v>
      </c>
      <c r="K48" s="1330" t="s">
        <v>817</v>
      </c>
      <c r="L48" s="1331">
        <f ca="1">INDIRECT("'数据-取费表'!f"&amp;$G$1)</f>
        <v>26.98</v>
      </c>
      <c r="O48" s="1325" t="s">
        <v>404</v>
      </c>
      <c r="P48" s="1326" t="s">
        <v>818</v>
      </c>
      <c r="Q48" s="1327">
        <f ca="1">J60</f>
        <v>107665</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f>'数据-取费表'!N19</f>
        <v>2018</v>
      </c>
      <c r="K49" s="1330" t="s">
        <v>821</v>
      </c>
      <c r="L49" s="1333"/>
      <c r="O49" s="1334" t="s">
        <v>405</v>
      </c>
      <c r="P49" s="1326" t="s">
        <v>822</v>
      </c>
      <c r="Q49" s="1327">
        <f ca="1">C29</f>
        <v>1745760</v>
      </c>
      <c r="R49" s="1327" t="s">
        <v>815</v>
      </c>
    </row>
    <row r="50" spans="1:18" s="1292" customFormat="1" ht="13.5" thickBot="1">
      <c r="A50" s="922"/>
      <c r="B50" s="925"/>
      <c r="C50" s="926"/>
      <c r="D50" s="899"/>
      <c r="E50" s="993" t="s">
        <v>694</v>
      </c>
      <c r="F50" s="994">
        <f ca="1">F7</f>
        <v>309.42</v>
      </c>
      <c r="H50" s="682"/>
      <c r="I50" s="1328" t="s">
        <v>823</v>
      </c>
      <c r="J50" s="1335">
        <f>SUMPRODUCT((I63:I65=J47)*(J62:L62=J48)*(J63:L65))</f>
        <v>60</v>
      </c>
      <c r="K50" s="1330" t="s">
        <v>824</v>
      </c>
      <c r="L50" s="1333"/>
      <c r="M50" s="1336"/>
      <c r="O50" s="1334" t="s">
        <v>406</v>
      </c>
      <c r="P50" s="1326" t="s">
        <v>825</v>
      </c>
      <c r="Q50" s="1337">
        <f ca="1">J58</f>
        <v>0.434</v>
      </c>
      <c r="R50" s="1327"/>
    </row>
    <row r="51" spans="1:18" s="1292" customFormat="1" ht="13.5" thickBot="1">
      <c r="A51" s="923"/>
      <c r="B51" s="925"/>
      <c r="C51" s="926"/>
      <c r="D51" s="899"/>
      <c r="E51" s="927" t="s">
        <v>695</v>
      </c>
      <c r="F51" s="295">
        <f ca="1">F8</f>
        <v>365</v>
      </c>
      <c r="I51" s="1338" t="s">
        <v>826</v>
      </c>
      <c r="J51" s="1331">
        <f>IF(J49="",J50,J49+J50-YEAR('数据-取费表'!B2))</f>
        <v>53</v>
      </c>
      <c r="K51" s="1339" t="s">
        <v>827</v>
      </c>
      <c r="L51" s="1340">
        <f ca="1">ROUND(-PV(INDIRECT("'数据-取费表'!h"&amp;$G$1),J51,(C39-C13*C76),0),0)</f>
        <v>-254041</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26.98</v>
      </c>
      <c r="R52" s="1327" t="s">
        <v>832</v>
      </c>
    </row>
    <row r="53" spans="1:18" s="1292" customFormat="1" ht="30.75" customHeight="1" thickBot="1">
      <c r="A53" s="1048" t="s">
        <v>440</v>
      </c>
      <c r="B53" s="315" t="s">
        <v>697</v>
      </c>
      <c r="C53" s="308">
        <f ca="1">ROUND(IF(F53="押一",C49/12*F11,IF(F53="押二",C49/12*2*F11,IF(F53="押三",C49/12*3*F11,C54*F11))),0)</f>
        <v>0</v>
      </c>
      <c r="D53" s="150" t="s">
        <v>2114</v>
      </c>
      <c r="E53" s="305" t="s">
        <v>698</v>
      </c>
      <c r="F53" s="1053"/>
      <c r="I53" s="1344" t="s">
        <v>833</v>
      </c>
      <c r="J53" s="2006">
        <f ca="1">IF(M47="住宅",IF(D1="——",MAX(J51,L48),MAX(J51,L48-'数据-取费表'!B24)),IF(D1="——",MIN(J51,L48),MIN(J51,L48-'数据-取费表'!B24)))</f>
        <v>26.98</v>
      </c>
      <c r="K53" s="3406" t="s">
        <v>834</v>
      </c>
      <c r="L53" s="3407"/>
      <c r="O53" s="1325" t="s">
        <v>409</v>
      </c>
      <c r="P53" s="1326" t="s">
        <v>835</v>
      </c>
      <c r="Q53" s="1327">
        <f ca="1">Q47+Q48</f>
        <v>1626193</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0.434</v>
      </c>
      <c r="K55" s="1350" t="s">
        <v>838</v>
      </c>
      <c r="L55" s="1351"/>
      <c r="O55" s="1318" t="s">
        <v>808</v>
      </c>
      <c r="P55" s="1319" t="s">
        <v>809</v>
      </c>
      <c r="Q55" s="1320" t="s">
        <v>810</v>
      </c>
      <c r="R55" s="1320" t="s">
        <v>811</v>
      </c>
    </row>
    <row r="56" spans="1:18" s="1292" customFormat="1" ht="36" customHeight="1" thickTop="1" thickBot="1">
      <c r="A56" s="903">
        <v>2</v>
      </c>
      <c r="B56" s="904" t="s">
        <v>701</v>
      </c>
      <c r="C56" s="224">
        <f ca="1">C13</f>
        <v>1536269</v>
      </c>
      <c r="D56" s="1352"/>
      <c r="E56" s="1353"/>
      <c r="F56" s="1345"/>
      <c r="I56" s="1354" t="s">
        <v>839</v>
      </c>
      <c r="J56" s="1355" t="s">
        <v>3413</v>
      </c>
      <c r="K56" s="1328" t="s">
        <v>840</v>
      </c>
      <c r="L56" s="1331" t="str">
        <f ca="1">IF(L48&lt;J51,"——",L48-J51)</f>
        <v>——</v>
      </c>
      <c r="O56" s="1325" t="s">
        <v>403</v>
      </c>
      <c r="P56" s="1326" t="s">
        <v>814</v>
      </c>
      <c r="Q56" s="1327">
        <f ca="1">C40+J29</f>
        <v>1518528</v>
      </c>
      <c r="R56" s="1327" t="s">
        <v>815</v>
      </c>
    </row>
    <row r="57" spans="1:18" s="1292" customFormat="1" ht="24.75" thickBot="1">
      <c r="A57" s="1356"/>
      <c r="B57" s="896" t="s">
        <v>764</v>
      </c>
      <c r="C57" s="230">
        <f ca="1">C29</f>
        <v>1745760</v>
      </c>
      <c r="D57" s="1357"/>
      <c r="E57" s="1358"/>
      <c r="F57" s="1359"/>
      <c r="I57" s="1360" t="s">
        <v>841</v>
      </c>
      <c r="J57" s="1361">
        <f ca="1">IF(OR(M47="住宅",J51&lt;L48,J56="是"),"——",J51-L48)</f>
        <v>26.02</v>
      </c>
      <c r="K57" s="1328" t="s">
        <v>889</v>
      </c>
      <c r="L57" s="1331" t="str">
        <f ca="1">IF(L48&lt;J51,"——",IF(L55="比较法",L49,IF(L55="基准地价",L50,L51)))</f>
        <v>——</v>
      </c>
      <c r="O57" s="1325" t="s">
        <v>404</v>
      </c>
      <c r="P57" s="1326" t="s">
        <v>890</v>
      </c>
      <c r="Q57" s="1327">
        <f ca="1">L60</f>
        <v>0</v>
      </c>
      <c r="R57" s="1327" t="s">
        <v>891</v>
      </c>
    </row>
    <row r="58" spans="1:18" s="1292" customFormat="1" ht="24.75" thickBot="1">
      <c r="A58" s="307" t="s">
        <v>393</v>
      </c>
      <c r="B58" s="904" t="s">
        <v>711</v>
      </c>
      <c r="C58" s="308">
        <f ca="1">ROUND(C59+C64+C65+C66,0)</f>
        <v>6773</v>
      </c>
      <c r="D58" s="906" t="s">
        <v>712</v>
      </c>
      <c r="E58" s="907"/>
      <c r="F58" s="908"/>
      <c r="I58" s="1360" t="s">
        <v>845</v>
      </c>
      <c r="J58" s="1362">
        <f ca="1">IF(J55&lt;0.4,0.4,J55)</f>
        <v>0.434</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757660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IF(项目基本情况!B11="自然人","——",ROUND(C48*F60/(1+'数据-取费表'!C42),0))</f>
        <v>0</v>
      </c>
      <c r="D60" s="910" t="s">
        <v>721</v>
      </c>
      <c r="E60" s="896" t="s">
        <v>709</v>
      </c>
      <c r="F60" s="322">
        <f t="shared" ref="F60:F66" si="0">F32</f>
        <v>5.5000000000000007E-2</v>
      </c>
      <c r="I60" s="1363" t="s">
        <v>850</v>
      </c>
      <c r="J60" s="1364">
        <f ca="1">IF(OR(M47="住宅",J51&lt;L48,J56="是"),"0",ROUND(J59/(1+J52)^J53,0))</f>
        <v>107665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f ca="1">Q56+Q57</f>
        <v>1518528</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ROUND(C57*F64,0)</f>
        <v>5237</v>
      </c>
      <c r="D64" s="910" t="s">
        <v>788</v>
      </c>
      <c r="E64" s="896" t="s">
        <v>780</v>
      </c>
      <c r="F64" s="320">
        <f t="shared" ca="1" si="0"/>
        <v>3.0000000000000001E-3</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ROUND(C56*F65,0)</f>
        <v>1536</v>
      </c>
      <c r="D65" s="910" t="s">
        <v>740</v>
      </c>
      <c r="E65" s="896" t="s">
        <v>741</v>
      </c>
      <c r="F65" s="321">
        <f t="shared" ca="1" si="0"/>
        <v>1E-3</v>
      </c>
      <c r="I65" s="1367" t="s">
        <v>864</v>
      </c>
      <c r="J65" s="610">
        <v>40</v>
      </c>
      <c r="K65" s="610">
        <v>30</v>
      </c>
      <c r="L65" s="610">
        <v>50</v>
      </c>
      <c r="M65" s="1369">
        <v>0.02</v>
      </c>
      <c r="O65" s="1325" t="s">
        <v>403</v>
      </c>
      <c r="P65" s="1326" t="s">
        <v>865</v>
      </c>
      <c r="Q65" s="1327">
        <f ca="1">C40+J29</f>
        <v>1518528</v>
      </c>
      <c r="R65" s="1327" t="s">
        <v>815</v>
      </c>
    </row>
    <row r="66" spans="1:18" s="1292" customFormat="1" ht="16.5" thickBot="1">
      <c r="A66" s="928" t="s">
        <v>790</v>
      </c>
      <c r="B66" s="896" t="s">
        <v>725</v>
      </c>
      <c r="C66" s="21">
        <f ca="1">ROUND(C48*F66,0)</f>
        <v>0</v>
      </c>
      <c r="D66" s="910" t="s">
        <v>791</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-6773</v>
      </c>
      <c r="D67" s="909" t="s">
        <v>750</v>
      </c>
      <c r="E67" s="914"/>
      <c r="F67" s="915"/>
      <c r="O67" s="1334" t="s">
        <v>405</v>
      </c>
      <c r="P67" s="1326" t="s">
        <v>847</v>
      </c>
      <c r="Q67" s="1370">
        <f ca="1">L51</f>
        <v>-254041</v>
      </c>
      <c r="R67" s="1327" t="s">
        <v>867</v>
      </c>
    </row>
    <row r="68" spans="1:18" s="1292" customFormat="1" ht="16.5" thickBot="1">
      <c r="A68" s="893" t="s">
        <v>395</v>
      </c>
      <c r="B68" s="894" t="s">
        <v>771</v>
      </c>
      <c r="C68" s="293">
        <f ca="1">ROUND(C67*(1-((1+F70)/(1+F68))^F69)/(F68-F70),0)</f>
        <v>-94101</v>
      </c>
      <c r="D68" s="911" t="s">
        <v>755</v>
      </c>
      <c r="E68" s="896" t="s">
        <v>756</v>
      </c>
      <c r="F68" s="304">
        <f ca="1">F40</f>
        <v>5.5E-2</v>
      </c>
      <c r="O68" s="1334" t="s">
        <v>406</v>
      </c>
      <c r="P68" s="1371" t="s">
        <v>868</v>
      </c>
      <c r="Q68" s="1327">
        <f ca="1">ROUND(Q69-Q70*Q71,0)</f>
        <v>-13737</v>
      </c>
      <c r="R68" s="1327" t="s">
        <v>414</v>
      </c>
    </row>
    <row r="69" spans="1:18" s="1292" customFormat="1" ht="13.5" thickBot="1">
      <c r="A69" s="897"/>
      <c r="B69" s="898"/>
      <c r="C69" s="298"/>
      <c r="D69" s="916" t="s">
        <v>759</v>
      </c>
      <c r="E69" s="896" t="s">
        <v>760</v>
      </c>
      <c r="F69" s="324">
        <f ca="1">F41</f>
        <v>26.98</v>
      </c>
      <c r="O69" s="1334" t="s">
        <v>411</v>
      </c>
      <c r="P69" s="1371" t="s">
        <v>869</v>
      </c>
      <c r="Q69" s="1327">
        <f ca="1">C39</f>
        <v>93802</v>
      </c>
      <c r="R69" s="1327" t="s">
        <v>815</v>
      </c>
    </row>
    <row r="70" spans="1:18" s="1292" customFormat="1" ht="13.5" thickBot="1">
      <c r="A70" s="900"/>
      <c r="B70" s="901"/>
      <c r="C70" s="302"/>
      <c r="D70" s="912"/>
      <c r="E70" s="896" t="s">
        <v>763</v>
      </c>
      <c r="F70" s="991"/>
      <c r="O70" s="1334" t="s">
        <v>412</v>
      </c>
      <c r="P70" s="1371" t="s">
        <v>870</v>
      </c>
      <c r="Q70" s="1327">
        <f ca="1">C13</f>
        <v>1536269</v>
      </c>
      <c r="R70" s="1327" t="s">
        <v>815</v>
      </c>
    </row>
    <row r="71" spans="1:18" s="1292" customFormat="1" ht="13.5" thickBot="1">
      <c r="A71" s="917" t="s">
        <v>396</v>
      </c>
      <c r="B71" s="918" t="s">
        <v>773</v>
      </c>
      <c r="C71" s="327">
        <f ca="1">ROUND(C68/F71,0)</f>
        <v>-304</v>
      </c>
      <c r="D71" s="919" t="s">
        <v>774</v>
      </c>
      <c r="E71" s="920" t="s">
        <v>775</v>
      </c>
      <c r="F71" s="330">
        <f ca="1">F43</f>
        <v>309.42</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107539</v>
      </c>
      <c r="D75" s="1292"/>
      <c r="E75" s="1292"/>
      <c r="F75" s="1292"/>
      <c r="K75" s="1309"/>
      <c r="L75" s="1292"/>
      <c r="O75" s="1325" t="s">
        <v>409</v>
      </c>
      <c r="P75" s="1326" t="s">
        <v>835</v>
      </c>
      <c r="Q75" s="1327">
        <f ca="1">Q65+Q66</f>
        <v>1518528</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-0.14599999999999991</v>
      </c>
    </row>
    <row r="80" spans="1:18">
      <c r="B80" s="331" t="s">
        <v>797</v>
      </c>
      <c r="C80" s="266">
        <f ca="1">ROUND(C75/C39,3)</f>
        <v>1.1459999999999999</v>
      </c>
    </row>
    <row r="81" spans="2:3">
      <c r="B81" s="262" t="s">
        <v>798</v>
      </c>
      <c r="C81" s="230"/>
    </row>
    <row r="82" spans="2:3">
      <c r="B82" s="265" t="s">
        <v>799</v>
      </c>
      <c r="C82" s="267">
        <f ca="1">1-C83</f>
        <v>-1.2000000000000011E-2</v>
      </c>
    </row>
    <row r="83" spans="2:3">
      <c r="B83" s="265" t="s">
        <v>800</v>
      </c>
      <c r="C83" s="266">
        <f ca="1">ROUND(C13/C40,3)</f>
        <v>1.012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7</v>
      </c>
      <c r="H1" s="998" t="str">
        <f>IF(ISERROR(FIND("住宅",B1)),"非住宅","住宅")</f>
        <v>非住宅</v>
      </c>
    </row>
    <row r="2" spans="1:8" s="192" customFormat="1" ht="18" customHeight="1">
      <c r="A2" s="193" t="s">
        <v>1459</v>
      </c>
      <c r="B2" s="3122">
        <f ca="1">ROUND(IF(D2="——",C52/10000,C52/10000-E2),4)</f>
        <v>191.17509999999999</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6178</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290185.71999999997</v>
      </c>
      <c r="D5" s="203" t="s">
        <v>1466</v>
      </c>
      <c r="E5" s="204" t="s">
        <v>1467</v>
      </c>
      <c r="F5" s="204" t="s">
        <v>1468</v>
      </c>
      <c r="G5" s="205"/>
    </row>
    <row r="6" spans="1:8" s="206" customFormat="1" ht="13.5" customHeight="1">
      <c r="A6" s="732" t="s">
        <v>1469</v>
      </c>
      <c r="B6" s="207" t="s">
        <v>1470</v>
      </c>
      <c r="C6" s="208">
        <f ca="1">基准地价修正!C33*'成本法 (元)'!D10</f>
        <v>221544.72</v>
      </c>
      <c r="D6" s="209"/>
      <c r="E6" s="210"/>
      <c r="F6" s="210"/>
      <c r="G6" s="211"/>
    </row>
    <row r="7" spans="1:8" s="206" customFormat="1" ht="13.5" customHeight="1">
      <c r="A7" s="732" t="s">
        <v>1471</v>
      </c>
      <c r="B7" s="207" t="s">
        <v>1472</v>
      </c>
      <c r="C7" s="212">
        <f ca="1">ROUND(C6*F7,0)</f>
        <v>6757</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61884</v>
      </c>
      <c r="D8" s="214"/>
      <c r="E8" s="212"/>
      <c r="F8" s="213"/>
      <c r="G8" s="1714" t="s">
        <v>3471</v>
      </c>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1477</v>
      </c>
      <c r="C10" s="217">
        <f ca="1">ROUND(D10*E10,0)</f>
        <v>61884</v>
      </c>
      <c r="D10" s="795">
        <f ca="1">IF(B1="",'数据-汇总表'!E6,IF(INDIRECT("'数据-取费表'!c"&amp;$G$1)="住宅",INDIRECT("'数据-取费表'!s"&amp;$G$1),INDIRECT("'数据-取费表'!k"&amp;$G$1)+INDIRECT("'数据-取费表'!s"&amp;$G$1)))</f>
        <v>309.42</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309.42</v>
      </c>
      <c r="E19" s="203">
        <f>'数据-取费表'!B31</f>
        <v>200</v>
      </c>
      <c r="F19" s="223"/>
      <c r="G19" s="1714" t="s">
        <v>3472</v>
      </c>
    </row>
    <row r="20" spans="1:7" s="206" customFormat="1" ht="13.5" customHeight="1">
      <c r="A20" s="247" t="s">
        <v>1571</v>
      </c>
      <c r="B20" s="202" t="s">
        <v>1572</v>
      </c>
      <c r="C20" s="224">
        <f ca="1">ROUND((C5+C19)*F20,0)</f>
        <v>8706</v>
      </c>
      <c r="D20" s="224"/>
      <c r="E20" s="224"/>
      <c r="F20" s="225">
        <f>'数据-取费表'!B37</f>
        <v>0.03</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18540</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18270</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4" t="s">
        <v>1473</v>
      </c>
      <c r="B25" s="207" t="s">
        <v>1584</v>
      </c>
      <c r="C25" s="230">
        <f ca="1">ROUND(IF('数据-取费表'!B22&lt;=1,C20*F22*'数据-取费表'!B22/2,C20*(POWER((1+F22),'数据-取费表'!B22/2)-1)),0)</f>
        <v>270</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4.75">
      <c r="A27" s="247" t="s">
        <v>1509</v>
      </c>
      <c r="B27" s="236" t="s">
        <v>1510</v>
      </c>
      <c r="C27" s="237">
        <f ca="1">C28</f>
        <v>29889</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ROUND((C5+C19+C20)*F27,0)</f>
        <v>29889</v>
      </c>
      <c r="D28" s="227"/>
      <c r="E28" s="228"/>
      <c r="F28" s="238"/>
      <c r="G28" s="239"/>
    </row>
    <row r="29" spans="1:7" s="206" customFormat="1" ht="13.5" customHeight="1">
      <c r="A29" s="734" t="s">
        <v>347</v>
      </c>
      <c r="B29" s="240" t="s">
        <v>1514</v>
      </c>
      <c r="C29" s="230">
        <f ca="1">ROUND(C21*F27,4)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375482</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1386202</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1237680</v>
      </c>
      <c r="D34" s="209"/>
      <c r="E34" s="212"/>
      <c r="F34" s="249"/>
      <c r="G34" s="211"/>
    </row>
    <row r="35" spans="1:7" ht="13.5" customHeight="1">
      <c r="A35" s="734" t="s">
        <v>351</v>
      </c>
      <c r="B35" s="207" t="s">
        <v>1524</v>
      </c>
      <c r="C35" s="212">
        <f ca="1">ROUND(C34*F35,0)</f>
        <v>61884</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61884</v>
      </c>
      <c r="D37" s="209">
        <f ca="1">D19</f>
        <v>309.42</v>
      </c>
      <c r="E37" s="241">
        <f>'数据-取费表'!B35</f>
        <v>200</v>
      </c>
      <c r="F37" s="251"/>
      <c r="G37" s="253"/>
    </row>
    <row r="38" spans="1:7" ht="13.5" customHeight="1">
      <c r="A38" s="734" t="s">
        <v>354</v>
      </c>
      <c r="B38" s="207" t="s">
        <v>1530</v>
      </c>
      <c r="C38" s="212">
        <f ca="1">ROUND(C34*F38,0)</f>
        <v>24754</v>
      </c>
      <c r="D38" s="212"/>
      <c r="E38" s="212"/>
      <c r="F38" s="251">
        <f>'数据-取费表'!B36</f>
        <v>0.02</v>
      </c>
      <c r="G38" s="211" t="s">
        <v>1525</v>
      </c>
    </row>
    <row r="39" spans="1:7" s="206" customFormat="1" ht="13.5" customHeight="1">
      <c r="A39" s="247" t="s">
        <v>1531</v>
      </c>
      <c r="B39" s="202" t="s">
        <v>1532</v>
      </c>
      <c r="C39" s="224">
        <f ca="1">ROUND(C33*F20,0)</f>
        <v>41586</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44261</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42972</v>
      </c>
      <c r="D42" s="230"/>
      <c r="E42" s="230"/>
      <c r="F42" s="231"/>
      <c r="G42" s="3362" t="s">
        <v>1588</v>
      </c>
    </row>
    <row r="43" spans="1:7" ht="13.5" customHeight="1">
      <c r="A43" s="734" t="s">
        <v>347</v>
      </c>
      <c r="B43" s="207" t="s">
        <v>1542</v>
      </c>
      <c r="C43" s="230">
        <f ca="1">ROUND(IF('数据-取费表'!B22&lt;=1,C39*F22*'数据-取费表'!B20/2,C39*(POWER((1+F22),'数据-取费表'!B20/2)-1)),0)</f>
        <v>1289</v>
      </c>
      <c r="D43" s="230"/>
      <c r="E43" s="230"/>
      <c r="F43" s="231"/>
      <c r="G43" s="3363"/>
    </row>
    <row r="44" spans="1:7" ht="13.5" customHeight="1">
      <c r="A44" s="734" t="s">
        <v>348</v>
      </c>
      <c r="B44" s="207" t="s">
        <v>1543</v>
      </c>
      <c r="C44" s="230">
        <f ca="1">ROUND(IF('数据-取费表'!B22&lt;=1,C40*F22*'数据-取费表'!B20/2,C40*(POWER((1+F22),'数据-取费表'!B20/2)-1)),4)</f>
        <v>5.9999999999999995E-4</v>
      </c>
      <c r="D44" s="230"/>
      <c r="E44" s="230"/>
      <c r="F44" s="231"/>
      <c r="G44" s="3364"/>
    </row>
    <row r="45" spans="1:7" s="206" customFormat="1" ht="13.5" customHeight="1">
      <c r="A45" s="247" t="s">
        <v>1544</v>
      </c>
      <c r="B45" s="236" t="s">
        <v>1510</v>
      </c>
      <c r="C45" s="237">
        <f ca="1">C46</f>
        <v>142779</v>
      </c>
      <c r="D45" s="227">
        <f ca="1">C47</f>
        <v>2E-3</v>
      </c>
      <c r="E45" s="228" t="s">
        <v>1536</v>
      </c>
      <c r="F45" s="238">
        <f ca="1">F27</f>
        <v>0.1</v>
      </c>
      <c r="G45" s="239" t="s">
        <v>1545</v>
      </c>
    </row>
    <row r="46" spans="1:7" s="206" customFormat="1" ht="13.5" customHeight="1">
      <c r="A46" s="734" t="s">
        <v>346</v>
      </c>
      <c r="B46" s="240" t="s">
        <v>1546</v>
      </c>
      <c r="C46" s="241">
        <f ca="1">ROUND((C33+C39)*F27,0)</f>
        <v>142779</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1745760</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1536269</v>
      </c>
      <c r="D51" s="224"/>
      <c r="E51" s="224"/>
      <c r="F51" s="256"/>
      <c r="G51" s="226" t="s">
        <v>1557</v>
      </c>
    </row>
    <row r="52" spans="1:7" s="200" customFormat="1" ht="16.5" thickBot="1">
      <c r="A52" s="257" t="s">
        <v>1558</v>
      </c>
      <c r="B52" s="258"/>
      <c r="C52" s="259">
        <f ca="1">C31+C51</f>
        <v>1911751</v>
      </c>
      <c r="D52" s="258"/>
      <c r="E52" s="258"/>
      <c r="F52" s="258"/>
      <c r="G52" s="260"/>
    </row>
    <row r="55" spans="1:7" ht="15">
      <c r="B55" s="262" t="s">
        <v>1559</v>
      </c>
      <c r="C55" s="263"/>
    </row>
    <row r="56" spans="1:7">
      <c r="B56" s="265" t="s">
        <v>799</v>
      </c>
      <c r="C56" s="267">
        <f ca="1">1-C57</f>
        <v>0.19599999999999995</v>
      </c>
    </row>
    <row r="57" spans="1:7">
      <c r="B57" s="265" t="s">
        <v>800</v>
      </c>
      <c r="C57" s="266">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7"/>
      <c r="F1" s="2567"/>
      <c r="G1" s="2448"/>
      <c r="H1" s="2567"/>
      <c r="I1" s="2567"/>
      <c r="J1" s="2567"/>
      <c r="K1" s="2568">
        <f>MATCH(C1,'数据-取费表'!A6:A16,0)+5</f>
        <v>7</v>
      </c>
    </row>
    <row r="2" spans="1:33" ht="18" customHeight="1">
      <c r="A2" s="193" t="s">
        <v>1459</v>
      </c>
      <c r="B2" s="196">
        <f ca="1">C32</f>
        <v>0</v>
      </c>
      <c r="C2" s="268" t="s">
        <v>1592</v>
      </c>
      <c r="D2" s="268"/>
      <c r="E2" s="2567"/>
      <c r="F2" s="2567"/>
      <c r="G2" s="2567"/>
      <c r="H2" s="2567"/>
      <c r="I2" s="2567"/>
      <c r="J2" s="2567"/>
      <c r="K2" s="2567"/>
    </row>
    <row r="3" spans="1:33" ht="18" customHeight="1" thickBot="1">
      <c r="A3" s="195" t="s">
        <v>1461</v>
      </c>
      <c r="B3" s="196">
        <f ca="1">ROUND(B2*10000/IF(C1="",'数据-汇总表'!E3,INDIRECT("'数据-取费表'!K"&amp;$K$1)),0)</f>
        <v>0</v>
      </c>
      <c r="C3" s="268" t="s">
        <v>1593</v>
      </c>
      <c r="D3" s="268"/>
      <c r="E3" s="2567"/>
      <c r="F3" s="2567"/>
      <c r="G3" s="2567"/>
      <c r="H3" s="2567"/>
      <c r="I3" s="2567"/>
      <c r="J3" s="2567"/>
      <c r="K3" s="2567"/>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309.42</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309.42</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-0.18839999999999968</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1624</v>
      </c>
      <c r="C20" s="21">
        <f ca="1">ROUND(D20*E20/10000,0)</f>
        <v>6</v>
      </c>
      <c r="D20" s="796">
        <f ca="1">IF(C1="",'数据-汇总表'!E6,IF(INDIRECT("'数据-取费表'!c"&amp;$K$1)="住宅",INDIRECT("'数据-取费表'!s"&amp;$K$1),INDIRECT("'数据-取费表'!k"&amp;$K$1)+INDIRECT("'数据-取费表'!s"&amp;$K$1)))</f>
        <v>309.42</v>
      </c>
      <c r="E20" s="21">
        <f>'数据-取费表'!B28</f>
        <v>200</v>
      </c>
      <c r="F20" s="756"/>
      <c r="G20" s="12"/>
      <c r="H20" s="761"/>
      <c r="I20" s="761"/>
      <c r="J20" s="761"/>
      <c r="K20" s="762"/>
    </row>
    <row r="21" spans="1:33" s="755" customFormat="1" ht="13.5" customHeight="1">
      <c r="A21" s="744" t="s">
        <v>357</v>
      </c>
      <c r="B21" s="765" t="s">
        <v>1625</v>
      </c>
      <c r="C21" s="766">
        <f ca="1">C16+C17+C18</f>
        <v>-0.18839999999999968</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0.03</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5.5000000000000007E-2</v>
      </c>
      <c r="G31" s="788" t="s">
        <v>1645</v>
      </c>
      <c r="H31" s="789"/>
      <c r="I31" s="789"/>
      <c r="J31" s="789"/>
      <c r="K31" s="790"/>
    </row>
    <row r="32" spans="1:33" s="751" customFormat="1" ht="13.5" customHeight="1" thickBot="1">
      <c r="A32" s="449" t="s">
        <v>1646</v>
      </c>
      <c r="B32" s="779"/>
      <c r="C32" s="780">
        <f ca="1">ROUND((C4-C21-C22-C23-C25-C28-C31)/(1+C24+D25+D28),0)</f>
        <v>0</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#DIV/0!</v>
      </c>
      <c r="C2" s="1289" t="s">
        <v>802</v>
      </c>
      <c r="D2" s="1289"/>
      <c r="E2" s="1295"/>
      <c r="F2" s="1296"/>
      <c r="G2" s="2478"/>
      <c r="H2" s="2468"/>
      <c r="I2" s="2468"/>
      <c r="J2" s="2468"/>
      <c r="K2" s="2469"/>
      <c r="L2" s="2468"/>
      <c r="M2" s="2468"/>
    </row>
    <row r="3" spans="1:37" ht="18" customHeight="1" thickBot="1">
      <c r="A3" s="1297" t="s">
        <v>803</v>
      </c>
      <c r="B3" s="1298">
        <f ca="1">IF(ISERROR(B2*10000/F43),0,ROUND(B2*10000/F43,0))</f>
        <v>0</v>
      </c>
      <c r="C3" s="1289" t="s">
        <v>804</v>
      </c>
      <c r="D3" s="1289"/>
      <c r="E3" s="1295"/>
      <c r="F3" s="1296"/>
      <c r="G3" s="2478"/>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403" t="s">
        <v>691</v>
      </c>
      <c r="C6" s="1011">
        <f ca="1">ROUND(F6*F8*F7*(1-F9)/10000,0)</f>
        <v>0</v>
      </c>
      <c r="D6" s="147" t="s">
        <v>2104</v>
      </c>
      <c r="E6" s="294" t="s">
        <v>693</v>
      </c>
      <c r="F6" s="295">
        <f ca="1">INDIRECT("'数据-取费表'!u"&amp;$G$1)</f>
        <v>0</v>
      </c>
      <c r="G6" s="1292"/>
      <c r="H6" s="1006" t="s">
        <v>398</v>
      </c>
      <c r="I6" s="3403" t="s">
        <v>691</v>
      </c>
      <c r="J6" s="293">
        <f ca="1">ROUND(M6*M8*M7*(1-M9)/10000,0)</f>
        <v>0</v>
      </c>
      <c r="K6" s="147" t="s">
        <v>2103</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0</v>
      </c>
      <c r="G7" s="1292"/>
      <c r="H7" s="296"/>
      <c r="I7" s="3404"/>
      <c r="J7" s="298"/>
      <c r="K7" s="299"/>
      <c r="L7" s="294" t="s">
        <v>694</v>
      </c>
      <c r="M7" s="295">
        <f ca="1">F7</f>
        <v>0</v>
      </c>
    </row>
    <row r="8" spans="1:37" ht="18" customHeight="1">
      <c r="A8" s="296"/>
      <c r="B8" s="3404"/>
      <c r="C8" s="298"/>
      <c r="D8" s="299"/>
      <c r="E8" s="294" t="s">
        <v>695</v>
      </c>
      <c r="F8" s="295">
        <f ca="1">INDIRECT("'数据-取费表'!ai"&amp;$G$1)</f>
        <v>0</v>
      </c>
      <c r="G8" s="1292"/>
      <c r="H8" s="296"/>
      <c r="I8" s="3404"/>
      <c r="J8" s="298"/>
      <c r="K8" s="299"/>
      <c r="L8" s="294" t="s">
        <v>695</v>
      </c>
      <c r="M8" s="295">
        <f ca="1">INDIRECT("'数据-取费表'!ai"&amp;$G$1)</f>
        <v>0</v>
      </c>
    </row>
    <row r="9" spans="1:37" ht="18" customHeight="1">
      <c r="A9" s="296"/>
      <c r="B9" s="3405"/>
      <c r="C9" s="298"/>
      <c r="D9" s="299"/>
      <c r="E9" s="294" t="s">
        <v>696</v>
      </c>
      <c r="F9" s="304">
        <f ca="1">INDIRECT("'数据-取费表'!w"&amp;$G$1)</f>
        <v>0</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2112</v>
      </c>
      <c r="E10" s="305" t="s">
        <v>698</v>
      </c>
      <c r="F10" s="1053"/>
      <c r="G10" s="1292"/>
      <c r="H10" s="1006" t="s">
        <v>402</v>
      </c>
      <c r="I10" s="1274" t="s">
        <v>697</v>
      </c>
      <c r="J10" s="293">
        <f ca="1">ROUND(IF(M10="押一",J6/12*M11,IF(M10="押二",J6/12*2*M11,IF(M10="押三",J6/12*3*M11,J11*M11))),0)</f>
        <v>0</v>
      </c>
      <c r="K10" s="150" t="s">
        <v>2111</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0</v>
      </c>
      <c r="D13" s="1018" t="s">
        <v>702</v>
      </c>
      <c r="E13" s="1018" t="s">
        <v>703</v>
      </c>
      <c r="F13" s="1019">
        <f ca="1">INDIRECT("'数据-取费表'!y"&amp;$G$1)</f>
        <v>0</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f ca="1">C29</f>
        <v>0</v>
      </c>
      <c r="K14" s="12"/>
      <c r="L14" s="759"/>
      <c r="M14" s="760"/>
    </row>
    <row r="15" spans="1:37" s="1304" customFormat="1" ht="18" customHeight="1" thickBot="1">
      <c r="A15" s="928" t="s">
        <v>399</v>
      </c>
      <c r="B15" s="294" t="s">
        <v>707</v>
      </c>
      <c r="C15" s="21">
        <f ca="1">ROUND(C14*F15,0)</f>
        <v>0</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0</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200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3331</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0.03</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0</v>
      </c>
      <c r="K22" s="1256" t="s">
        <v>736</v>
      </c>
      <c r="L22" s="294" t="s">
        <v>709</v>
      </c>
      <c r="M22" s="320">
        <f ca="1">INDIRECT("'数据-取费表'!Ak"&amp;$G$1)</f>
        <v>0</v>
      </c>
    </row>
    <row r="23" spans="1:37" s="1304" customFormat="1" ht="18" customHeight="1">
      <c r="A23" s="928"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0</v>
      </c>
      <c r="K25" s="1032" t="s">
        <v>750</v>
      </c>
      <c r="L25" s="1033"/>
      <c r="M25" s="1034"/>
    </row>
    <row r="26" spans="1:37">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0</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0</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IF(项目基本情况!B11="自然人","——",ROUND(C6*F32/(1+'数据-取费表'!C42),2))</f>
        <v>0</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IF(项目基本情况!B11="自然人","——",ROUND(F34*F35/10000,2))</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ROUND(C29*F36,2)</f>
        <v>0</v>
      </c>
      <c r="D36" s="1256" t="s">
        <v>768</v>
      </c>
      <c r="E36" s="294" t="s">
        <v>709</v>
      </c>
      <c r="F36" s="320">
        <f ca="1">INDIRECT("'数据-取费表'!Ak"&amp;$G$1)</f>
        <v>0</v>
      </c>
      <c r="G36" s="1292"/>
      <c r="H36" s="2473"/>
      <c r="I36" s="1305"/>
      <c r="J36" s="1306"/>
      <c r="K36" s="2331"/>
      <c r="L36" s="2473"/>
      <c r="M36" s="2473"/>
    </row>
    <row r="37" spans="1:18" ht="18" customHeight="1">
      <c r="A37" s="928" t="s">
        <v>437</v>
      </c>
      <c r="B37" s="294" t="s">
        <v>739</v>
      </c>
      <c r="C37" s="21">
        <f ca="1">ROUND(C13*F37,2)</f>
        <v>0</v>
      </c>
      <c r="D37" s="1256" t="s">
        <v>740</v>
      </c>
      <c r="E37" s="294" t="s">
        <v>741</v>
      </c>
      <c r="F37" s="321">
        <f ca="1">INDIRECT("'数据-取费表'!Al"&amp;$G$1)</f>
        <v>0</v>
      </c>
      <c r="G37" s="1292"/>
      <c r="H37" s="2473"/>
      <c r="I37" s="1305"/>
      <c r="J37" s="1306"/>
      <c r="K37" s="2331"/>
      <c r="L37" s="2473"/>
      <c r="M37" s="2473"/>
    </row>
    <row r="38" spans="1:18" ht="18" customHeight="1" thickBot="1">
      <c r="A38" s="1026" t="s">
        <v>681</v>
      </c>
      <c r="B38" s="1027" t="s">
        <v>725</v>
      </c>
      <c r="C38" s="1028">
        <f ca="1">ROUND(C5*F38,2)</f>
        <v>0</v>
      </c>
      <c r="D38" s="1029" t="s">
        <v>745</v>
      </c>
      <c r="E38" s="1027" t="s">
        <v>741</v>
      </c>
      <c r="F38" s="1023">
        <f ca="1">INDIRECT("'数据-取费表'!Am"&amp;$G$1)</f>
        <v>0</v>
      </c>
      <c r="G38" s="1292"/>
      <c r="H38" s="2473"/>
      <c r="I38" s="1305"/>
      <c r="J38" s="1306"/>
      <c r="K38" s="2471"/>
      <c r="L38" s="2473"/>
      <c r="M38" s="2473"/>
    </row>
    <row r="39" spans="1:18" ht="24.6" customHeight="1" thickTop="1">
      <c r="A39" s="1016" t="s">
        <v>394</v>
      </c>
      <c r="B39" s="1031" t="s">
        <v>769</v>
      </c>
      <c r="C39" s="302">
        <f ca="1">C5-C30</f>
        <v>0</v>
      </c>
      <c r="D39" s="1032" t="s">
        <v>770</v>
      </c>
      <c r="E39" s="1033"/>
      <c r="F39" s="1034"/>
      <c r="G39" s="1292"/>
      <c r="H39" s="2473"/>
      <c r="I39" s="1305"/>
      <c r="J39" s="1306"/>
      <c r="K39" s="2471"/>
      <c r="L39" s="2473"/>
      <c r="M39" s="2473"/>
    </row>
    <row r="40" spans="1:18" ht="18" customHeight="1">
      <c r="A40" s="291" t="s">
        <v>395</v>
      </c>
      <c r="B40" s="292" t="s">
        <v>771</v>
      </c>
      <c r="C40" s="293" t="e">
        <f ca="1">ROUND(C39*(1-((1+F42)/(1+F40))^F41)/(F40-F42),0)</f>
        <v>#DIV/0!</v>
      </c>
      <c r="D40" s="316" t="s">
        <v>755</v>
      </c>
      <c r="E40" s="294" t="s">
        <v>756</v>
      </c>
      <c r="F40" s="304">
        <f ca="1">INDIRECT("'数据-取费表'!I"&amp;$G$1)</f>
        <v>0</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763</v>
      </c>
      <c r="F42" s="304">
        <f ca="1">INDIRECT("'数据-取费表'!v"&amp;$G$1)</f>
        <v>0</v>
      </c>
      <c r="G42" s="1292"/>
      <c r="H42" s="121"/>
      <c r="I42" s="1305"/>
      <c r="J42" s="1306"/>
      <c r="K42" s="2331"/>
      <c r="L42" s="121"/>
      <c r="M42" s="121"/>
    </row>
    <row r="43" spans="1:18" ht="18" customHeight="1" thickBot="1">
      <c r="A43" s="325" t="s">
        <v>396</v>
      </c>
      <c r="B43" s="326" t="s">
        <v>773</v>
      </c>
      <c r="C43" s="327" t="e">
        <f ca="1">ROUND(C40*10000/F43,0)</f>
        <v>#DIV/0!</v>
      </c>
      <c r="D43" s="328" t="s">
        <v>774</v>
      </c>
      <c r="E43" s="329" t="s">
        <v>775</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805</v>
      </c>
      <c r="P45" s="1366"/>
      <c r="Q45" s="1366"/>
      <c r="R45" s="1366"/>
    </row>
    <row r="46" spans="1:18" s="1292" customFormat="1" ht="13.5" thickBot="1">
      <c r="A46" s="1311" t="s">
        <v>806</v>
      </c>
      <c r="C46" s="1312" t="e">
        <f ca="1">C68-C40</f>
        <v>#DIV/0!</v>
      </c>
      <c r="D46" s="1313" t="str">
        <f>C2</f>
        <v>万元</v>
      </c>
      <c r="E46" s="1307"/>
      <c r="F46" s="1307"/>
      <c r="I46" s="1314" t="s">
        <v>807</v>
      </c>
      <c r="J46" s="1315"/>
      <c r="K46" s="1316"/>
      <c r="L46" s="1317" t="e">
        <f ca="1">IF(M47="住宅",0,IF(L48&gt;J51,L60,J60))</f>
        <v>#DIV/0!</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#DIV/0!</v>
      </c>
      <c r="R47" s="1327" t="s">
        <v>815</v>
      </c>
    </row>
    <row r="48" spans="1:18" s="1292" customFormat="1" ht="28.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#DIV/0!</v>
      </c>
      <c r="R48" s="1327" t="s">
        <v>819</v>
      </c>
    </row>
    <row r="49" spans="1:18" s="1292" customFormat="1" ht="13.5" thickBot="1">
      <c r="A49" s="921" t="s">
        <v>439</v>
      </c>
      <c r="B49" s="1279" t="s">
        <v>776</v>
      </c>
      <c r="C49" s="1051">
        <f ca="1">ROUND(F49*F51*F50*(1-F52)/10000,0)</f>
        <v>0</v>
      </c>
      <c r="D49" s="992" t="s">
        <v>2105</v>
      </c>
      <c r="E49" s="1280" t="s">
        <v>777</v>
      </c>
      <c r="F49" s="997"/>
      <c r="H49" s="682"/>
      <c r="I49" s="1328" t="s">
        <v>820</v>
      </c>
      <c r="J49" s="1332"/>
      <c r="K49" s="1330" t="s">
        <v>821</v>
      </c>
      <c r="L49" s="1333"/>
      <c r="O49" s="1334" t="s">
        <v>405</v>
      </c>
      <c r="P49" s="1326" t="s">
        <v>822</v>
      </c>
      <c r="Q49" s="1327">
        <f ca="1">C29</f>
        <v>0</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f ca="1">ROUND(-PV(INDIRECT("'数据-取费表'!h"&amp;$G$1),J51,(C39-C13*C76),0),0)</f>
        <v>0</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4.75" thickBot="1">
      <c r="A53" s="1079" t="s">
        <v>440</v>
      </c>
      <c r="B53" s="1281" t="s">
        <v>697</v>
      </c>
      <c r="C53" s="308">
        <f ca="1">ROUND(IF(F53="押一",C49/12*F11,IF(F53="押二",C49/12*2*F11,IF(F53="押三",C49/12*3*F11,C54*F11))),0)</f>
        <v>0</v>
      </c>
      <c r="D53" s="150" t="s">
        <v>2111</v>
      </c>
      <c r="E53" s="305" t="s">
        <v>698</v>
      </c>
      <c r="F53" s="1053"/>
      <c r="I53" s="1344" t="s">
        <v>833</v>
      </c>
      <c r="J53" s="2006">
        <f ca="1">IF(M47="住宅",IF(D1="——",MAX(J51,L48),MAX(J51,L48-'数据-取费表'!B24)),IF(D1="——",MIN(J51,L48),MIN(J51,L48-'数据-取费表'!B24)))</f>
        <v>0</v>
      </c>
      <c r="K53" s="3406" t="s">
        <v>834</v>
      </c>
      <c r="L53" s="3407"/>
      <c r="O53" s="1325" t="s">
        <v>409</v>
      </c>
      <c r="P53" s="1326" t="s">
        <v>835</v>
      </c>
      <c r="Q53" s="1327" t="e">
        <f ca="1">Q47+Q48</f>
        <v>#DIV/0!</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25.5" thickTop="1" thickBot="1">
      <c r="A56" s="903">
        <v>2</v>
      </c>
      <c r="B56" s="904" t="s">
        <v>701</v>
      </c>
      <c r="C56" s="224">
        <f ca="1">C13</f>
        <v>0</v>
      </c>
      <c r="D56" s="1352"/>
      <c r="E56" s="1353"/>
      <c r="F56" s="1345"/>
      <c r="I56" s="1354" t="s">
        <v>839</v>
      </c>
      <c r="J56" s="1355"/>
      <c r="K56" s="1328" t="s">
        <v>840</v>
      </c>
      <c r="L56" s="1331">
        <f ca="1">IF(L48&lt;J51,"——",L48-J53)</f>
        <v>0</v>
      </c>
      <c r="O56" s="1325" t="s">
        <v>403</v>
      </c>
      <c r="P56" s="1326" t="s">
        <v>814</v>
      </c>
      <c r="Q56" s="1327" t="e">
        <f ca="1">C40+J29</f>
        <v>#DIV/0!</v>
      </c>
      <c r="R56" s="1327" t="s">
        <v>815</v>
      </c>
    </row>
    <row r="57" spans="1:18" s="1292" customFormat="1" ht="24.75" thickBot="1">
      <c r="A57" s="1356"/>
      <c r="B57" s="896" t="s">
        <v>764</v>
      </c>
      <c r="C57" s="230">
        <f ca="1">C29</f>
        <v>0</v>
      </c>
      <c r="D57" s="1357"/>
      <c r="E57" s="1358"/>
      <c r="F57" s="1359"/>
      <c r="I57" s="1360" t="s">
        <v>841</v>
      </c>
      <c r="J57" s="1361">
        <f ca="1">IF(OR(M47="住宅",J51&lt;L48,J56="是"),"——",J51-L48)</f>
        <v>0</v>
      </c>
      <c r="K57" s="1328" t="s">
        <v>842</v>
      </c>
      <c r="L57" s="1331">
        <f ca="1">IF(L48&lt;J51,"——",IF(L55="比较法",L49,IF(L55="基准地价",L50,L51)))</f>
        <v>0</v>
      </c>
      <c r="O57" s="1325" t="s">
        <v>404</v>
      </c>
      <c r="P57" s="1326" t="s">
        <v>843</v>
      </c>
      <c r="Q57" s="1327" t="e">
        <f ca="1">L60</f>
        <v>#DIV/0!</v>
      </c>
      <c r="R57" s="1327" t="s">
        <v>844</v>
      </c>
    </row>
    <row r="58" spans="1:18" s="1292" customFormat="1" ht="24.75" thickBot="1">
      <c r="A58" s="307" t="s">
        <v>393</v>
      </c>
      <c r="B58" s="904" t="s">
        <v>711</v>
      </c>
      <c r="C58" s="308">
        <f ca="1">ROUND(C59+C64+C65+C66,0)</f>
        <v>0</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5.5000000000000007E-2</v>
      </c>
      <c r="I60" s="1363" t="s">
        <v>850</v>
      </c>
      <c r="J60" s="1364" t="e">
        <f ca="1">IF(OR(M47="住宅",J51&lt;L48,J56="是"),"0",ROUND(J59/(1+J52)^J53,0))</f>
        <v>#DIV/0!</v>
      </c>
      <c r="K60" s="1365" t="s">
        <v>851</v>
      </c>
      <c r="L60" s="1364" t="e">
        <f ca="1">IF(OR(M47="住宅",L48&lt;J51),0,ROUND(L57*(L58/L59-1),0))</f>
        <v>#DIV/0!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#DIV/0!</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ROUND(C57*F64,2)</f>
        <v>0</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0</v>
      </c>
      <c r="D65" s="910" t="s">
        <v>740</v>
      </c>
      <c r="E65" s="896" t="s">
        <v>741</v>
      </c>
      <c r="F65" s="321">
        <f t="shared" ca="1" si="0"/>
        <v>0</v>
      </c>
      <c r="I65" s="1367" t="s">
        <v>864</v>
      </c>
      <c r="J65" s="610">
        <v>40</v>
      </c>
      <c r="K65" s="610">
        <v>30</v>
      </c>
      <c r="L65" s="610">
        <v>50</v>
      </c>
      <c r="M65" s="1369">
        <v>0.02</v>
      </c>
      <c r="O65" s="1325" t="s">
        <v>403</v>
      </c>
      <c r="P65" s="1326" t="s">
        <v>865</v>
      </c>
      <c r="Q65" s="1327" t="e">
        <f ca="1">C40+J29</f>
        <v>#DIV/0!</v>
      </c>
      <c r="R65" s="1327" t="s">
        <v>815</v>
      </c>
    </row>
    <row r="66" spans="1:18" s="1292" customFormat="1" ht="16.5" thickBot="1">
      <c r="A66" s="928" t="s">
        <v>790</v>
      </c>
      <c r="B66" s="896" t="s">
        <v>725</v>
      </c>
      <c r="C66" s="21">
        <f ca="1">ROUND(C48*F66,2)</f>
        <v>0</v>
      </c>
      <c r="D66" s="910" t="s">
        <v>791</v>
      </c>
      <c r="E66" s="896" t="s">
        <v>709</v>
      </c>
      <c r="F66" s="304">
        <f t="shared" ca="1" si="0"/>
        <v>0</v>
      </c>
      <c r="O66" s="1325" t="s">
        <v>404</v>
      </c>
      <c r="P66" s="1326" t="s">
        <v>843</v>
      </c>
      <c r="Q66" s="1327" t="e">
        <f ca="1">L60</f>
        <v>#DIV/0!</v>
      </c>
      <c r="R66" s="1327" t="s">
        <v>866</v>
      </c>
    </row>
    <row r="67" spans="1:18" s="1292" customFormat="1" ht="16.5" thickBot="1">
      <c r="A67" s="903" t="s">
        <v>394</v>
      </c>
      <c r="B67" s="913" t="s">
        <v>749</v>
      </c>
      <c r="C67" s="308">
        <f ca="1">C48-C58</f>
        <v>0</v>
      </c>
      <c r="D67" s="909" t="s">
        <v>750</v>
      </c>
      <c r="E67" s="914"/>
      <c r="F67" s="915"/>
      <c r="O67" s="1334" t="s">
        <v>405</v>
      </c>
      <c r="P67" s="1326" t="s">
        <v>847</v>
      </c>
      <c r="Q67" s="1370">
        <f ca="1">L51</f>
        <v>0</v>
      </c>
      <c r="R67" s="1327" t="s">
        <v>867</v>
      </c>
    </row>
    <row r="68" spans="1:18" s="1292" customFormat="1" ht="16.5" thickBot="1">
      <c r="A68" s="893" t="s">
        <v>395</v>
      </c>
      <c r="B68" s="894" t="s">
        <v>771</v>
      </c>
      <c r="C68" s="293" t="e">
        <f ca="1">ROUND(C67*(1-((1+F70)/(1+F68))^F69)/(F68-F70),0)</f>
        <v>#DIV/0!</v>
      </c>
      <c r="D68" s="911" t="s">
        <v>755</v>
      </c>
      <c r="E68" s="896" t="s">
        <v>756</v>
      </c>
      <c r="F68" s="304">
        <f ca="1">F40</f>
        <v>0</v>
      </c>
      <c r="O68" s="1334" t="s">
        <v>406</v>
      </c>
      <c r="P68" s="1371" t="s">
        <v>868</v>
      </c>
      <c r="Q68" s="1327">
        <f ca="1">ROUND(Q69-Q70*Q71,0)</f>
        <v>0</v>
      </c>
      <c r="R68" s="1327" t="s">
        <v>414</v>
      </c>
    </row>
    <row r="69" spans="1:18" s="1292" customFormat="1" ht="13.5" thickBot="1">
      <c r="A69" s="897"/>
      <c r="B69" s="898"/>
      <c r="C69" s="298"/>
      <c r="D69" s="916" t="s">
        <v>759</v>
      </c>
      <c r="E69" s="896" t="s">
        <v>760</v>
      </c>
      <c r="F69" s="324">
        <f ca="1">F41</f>
        <v>0</v>
      </c>
      <c r="O69" s="1334" t="s">
        <v>411</v>
      </c>
      <c r="P69" s="1371" t="s">
        <v>869</v>
      </c>
      <c r="Q69" s="1327">
        <f ca="1">C39</f>
        <v>0</v>
      </c>
      <c r="R69" s="1327" t="s">
        <v>815</v>
      </c>
    </row>
    <row r="70" spans="1:18" s="1292" customFormat="1" ht="13.5" thickBot="1">
      <c r="A70" s="900"/>
      <c r="B70" s="901"/>
      <c r="C70" s="302"/>
      <c r="D70" s="912"/>
      <c r="E70" s="896" t="s">
        <v>763</v>
      </c>
      <c r="F70" s="991"/>
      <c r="O70" s="1334" t="s">
        <v>412</v>
      </c>
      <c r="P70" s="1371" t="s">
        <v>870</v>
      </c>
      <c r="Q70" s="1327">
        <f ca="1">C13</f>
        <v>0</v>
      </c>
      <c r="R70" s="1327" t="s">
        <v>815</v>
      </c>
    </row>
    <row r="71" spans="1:18" s="1292" customFormat="1" ht="13.5" thickBot="1">
      <c r="A71" s="917" t="s">
        <v>396</v>
      </c>
      <c r="B71" s="918" t="s">
        <v>773</v>
      </c>
      <c r="C71" s="327" t="e">
        <f ca="1">ROUND(C68*10000/F71,0)</f>
        <v>#DIV/0!</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0</v>
      </c>
      <c r="D75" s="1292"/>
      <c r="E75" s="1292"/>
      <c r="F75" s="1292"/>
      <c r="K75" s="1309"/>
      <c r="L75" s="1292"/>
      <c r="O75" s="1325" t="s">
        <v>409</v>
      </c>
      <c r="P75" s="1326" t="s">
        <v>835</v>
      </c>
      <c r="Q75" s="1327" t="e">
        <f ca="1">Q65+Q66</f>
        <v>#DIV/0!</v>
      </c>
      <c r="R75" s="1327" t="s">
        <v>410</v>
      </c>
    </row>
    <row r="76" spans="1:18">
      <c r="B76" s="333" t="s">
        <v>793</v>
      </c>
      <c r="C76" s="334">
        <f ca="1">INDIRECT("'数据-取费表'!j"&amp;$G$1)</f>
        <v>0</v>
      </c>
      <c r="I76" s="1292"/>
      <c r="J76" s="1292"/>
      <c r="K76" s="1309"/>
      <c r="L76" s="1292"/>
    </row>
    <row r="77" spans="1:18">
      <c r="B77" s="335" t="s">
        <v>794</v>
      </c>
      <c r="C77" s="336"/>
      <c r="I77" s="1292"/>
      <c r="J77" s="1292"/>
      <c r="K77" s="1309"/>
      <c r="L77" s="1292"/>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C87" sqref="C8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309.42</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22</v>
      </c>
      <c r="C2" s="1846" t="s">
        <v>1932</v>
      </c>
      <c r="D2" s="162" t="s">
        <v>1933</v>
      </c>
      <c r="E2" s="3120" t="s">
        <v>3</v>
      </c>
      <c r="F2" s="162" t="s">
        <v>1934</v>
      </c>
      <c r="G2" s="163" t="str">
        <f>IF(E2="商业",项目基本情况!B37,IF(E2="办公",项目基本情况!C37,IF(E2="住宅",项目基本情况!D37,IF(E2="工业",项目基本情况!E37,项目基本情况!F37))))</f>
        <v>九级</v>
      </c>
      <c r="H2" s="162" t="s">
        <v>1935</v>
      </c>
      <c r="I2" s="163" t="str">
        <f>IF(E2="商业",项目基本情况!B38,IF(E2="办公",项目基本情况!C38,IF(E2="住宅",项目基本情况!D38,IF(E2="工业",项目基本情况!E38,项目基本情况!F38))))</f>
        <v>Ⅸ-亦2</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1104</v>
      </c>
      <c r="U2" s="1130"/>
      <c r="V2" s="3063">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711</v>
      </c>
      <c r="C3" s="1846" t="s">
        <v>1938</v>
      </c>
      <c r="D3" s="162" t="s">
        <v>1939</v>
      </c>
      <c r="E3" s="3118" t="s">
        <v>2474</v>
      </c>
      <c r="F3" s="1848" t="s">
        <v>3459</v>
      </c>
      <c r="G3" s="708">
        <f>IF(F3="宗地容积率",'数据-汇总表'!I4,IF(F3="估价对象容积率",'数据-汇总表'!I6,'数据-汇总表'!I7))</f>
        <v>1</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851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15"/>
      <c r="B4" s="3416"/>
      <c r="C4" s="3416"/>
      <c r="D4" s="3417"/>
      <c r="E4" s="3417"/>
      <c r="F4" s="3417"/>
      <c r="G4" s="3417"/>
      <c r="H4" s="3417"/>
      <c r="I4" s="3417"/>
      <c r="J4" s="3418"/>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694</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800</v>
      </c>
      <c r="D5" s="1252">
        <f>ROUND(C6*C17+C20,0)</f>
        <v>800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589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800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537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3232</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1952</v>
      </c>
      <c r="X7" s="1131" t="str">
        <f>G2</f>
        <v>九级</v>
      </c>
      <c r="Y7" s="1131" t="s">
        <v>1953</v>
      </c>
      <c r="Z7" s="1132">
        <f>G3</f>
        <v>1</v>
      </c>
      <c r="AA7" s="1133"/>
      <c r="AB7" s="1133"/>
      <c r="AC7" s="1134"/>
      <c r="AD7" s="1135"/>
      <c r="AE7" s="1135"/>
      <c r="AF7" s="1135"/>
      <c r="AG7" s="1135"/>
      <c r="AH7" s="1135"/>
      <c r="AI7" s="1135"/>
      <c r="AJ7" s="1136"/>
    </row>
    <row r="8" spans="1:36" ht="25.5">
      <c r="A8" s="3009"/>
      <c r="B8" s="162" t="s">
        <v>1954</v>
      </c>
      <c r="C8" s="1870" t="s">
        <v>3460</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12" t="s">
        <v>1957</v>
      </c>
      <c r="X8" s="3413"/>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09"/>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3">
        <f t="shared" si="0"/>
        <v>0</v>
      </c>
      <c r="U9" s="1130"/>
      <c r="V9" s="3063">
        <f t="shared" si="1"/>
        <v>0</v>
      </c>
      <c r="W9" s="3414"/>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1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1979</v>
      </c>
      <c r="C13" s="711">
        <f>ROUND(C16*D16*E16*F16*G16*H16*I16*J16,4)</f>
        <v>0</v>
      </c>
      <c r="D13" s="1879" t="s">
        <v>1980</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1982</v>
      </c>
      <c r="C14" s="1884" t="s">
        <v>1983</v>
      </c>
      <c r="D14" s="1261" t="s">
        <v>1984</v>
      </c>
      <c r="E14" s="27" t="s">
        <v>1985</v>
      </c>
      <c r="F14" s="3020" t="s">
        <v>3238</v>
      </c>
      <c r="G14" s="3020" t="s">
        <v>3238</v>
      </c>
      <c r="H14" s="3020" t="s">
        <v>3238</v>
      </c>
      <c r="I14" s="3020" t="s">
        <v>3238</v>
      </c>
      <c r="J14" s="3020" t="s">
        <v>3238</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1986</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f>ROUND(G18/I18,2)</f>
        <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3243</v>
      </c>
      <c r="E18" s="2357"/>
      <c r="F18" s="3030" t="s">
        <v>3246</v>
      </c>
      <c r="G18" s="3034">
        <f>ROUND(1-(1/(POWER(1+G24,E18))),4)</f>
        <v>0</v>
      </c>
      <c r="H18" s="3030" t="s">
        <v>3248</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19" t="s">
        <v>3249</v>
      </c>
      <c r="B20" s="159" t="s">
        <v>1991</v>
      </c>
      <c r="C20" s="3031">
        <f>ROUND(IF(F21="与级别开发程度一致",0,(G21-E21)/C21),0)</f>
        <v>0</v>
      </c>
      <c r="D20" s="3046" t="s">
        <v>1995</v>
      </c>
      <c r="E20" s="3047"/>
      <c r="F20" s="3425" t="s">
        <v>1992</v>
      </c>
      <c r="G20" s="3426"/>
      <c r="H20" s="3032" t="s">
        <v>3462</v>
      </c>
      <c r="I20" s="3032" t="s">
        <v>3463</v>
      </c>
      <c r="J20" s="3033" t="s">
        <v>3464</v>
      </c>
      <c r="K20" s="1889" t="s">
        <v>3465</v>
      </c>
      <c r="L20" s="1889" t="s">
        <v>3466</v>
      </c>
      <c r="M20" s="1889" t="s">
        <v>3467</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20"/>
      <c r="B21" s="2002" t="s">
        <v>1994</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3461</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1997</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1999</v>
      </c>
      <c r="E23" s="717">
        <v>44197</v>
      </c>
      <c r="F23" s="1896" t="s">
        <v>2000</v>
      </c>
      <c r="G23" s="718">
        <f>'数据-取费表'!B2</f>
        <v>45786</v>
      </c>
      <c r="H23" s="3048" t="s">
        <v>3251</v>
      </c>
      <c r="I23" s="3049" t="str">
        <f>IF(H23="季度增幅（自定义）",SUMIF(N25:N28,E2,O25:O28),"")</f>
        <v/>
      </c>
      <c r="J23" s="3141" t="s">
        <v>3250</v>
      </c>
      <c r="K23" s="1061"/>
      <c r="L23" s="1897" t="s">
        <v>2001</v>
      </c>
      <c r="M23" s="1241">
        <f>ROUND(SUMIF(地价!B2:G2,E2,地价!B16:G16),0)</f>
        <v>318</v>
      </c>
      <c r="N23" s="1898" t="s">
        <v>2002</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0.80179999999999996</v>
      </c>
      <c r="D24" s="1902" t="s">
        <v>2004</v>
      </c>
      <c r="E24" s="1248">
        <f>存贷款利率!E27/100</f>
        <v>4.3499999999999997E-2</v>
      </c>
      <c r="F24" s="1902" t="s">
        <v>1996</v>
      </c>
      <c r="G24" s="724">
        <f>SUMIF(M30:Q30,E2,M33:Q33)</f>
        <v>0.05</v>
      </c>
      <c r="H24" s="1902" t="s">
        <v>2005</v>
      </c>
      <c r="I24" s="725">
        <f>SUMIF('数据-取费表'!C6:C15,E2,'数据-取费表'!F6:F15)/COUNTIF('数据-取费表'!C6:C15,E2)</f>
        <v>26.98</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1</v>
      </c>
      <c r="D25" s="1909"/>
      <c r="E25" s="1909"/>
      <c r="F25" s="1909"/>
      <c r="G25" s="1909"/>
      <c r="H25" s="1909"/>
      <c r="I25" s="1909"/>
      <c r="J25" s="1910"/>
      <c r="K25" s="1061"/>
      <c r="L25" s="2552"/>
      <c r="M25" s="2552"/>
      <c r="N25" s="1911" t="s">
        <v>2010</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3252</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3253</v>
      </c>
      <c r="J26" s="374" t="str">
        <f>IF(G3&gt;=10,D115,"——")</f>
        <v>——</v>
      </c>
      <c r="K26" s="1061"/>
      <c r="L26" s="2552"/>
      <c r="M26" s="2552"/>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1.0266999999999999</v>
      </c>
      <c r="D28" s="1894"/>
      <c r="E28" s="1919"/>
      <c r="F28" s="1919"/>
      <c r="G28" s="1919"/>
      <c r="H28" s="1919"/>
      <c r="I28" s="1919"/>
      <c r="J28" s="1920"/>
      <c r="K28" s="1061"/>
      <c r="L28" s="2552"/>
      <c r="M28" s="2552"/>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49" t="s">
        <v>2020</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22</v>
      </c>
      <c r="D30" s="1925"/>
      <c r="E30" s="1842"/>
      <c r="F30" s="1926"/>
      <c r="G30" s="1842"/>
      <c r="H30" s="1842"/>
      <c r="I30" s="1842"/>
      <c r="J30" s="1927"/>
      <c r="K30" s="1056"/>
      <c r="L30" s="3055" t="s">
        <v>1933</v>
      </c>
      <c r="M30" s="3056" t="s">
        <v>1987</v>
      </c>
      <c r="N30" s="3056" t="s">
        <v>1988</v>
      </c>
      <c r="O30" s="3056" t="s">
        <v>1989</v>
      </c>
      <c r="P30" s="3056" t="s">
        <v>1990</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0</v>
      </c>
      <c r="D31" s="1929"/>
      <c r="E31" s="1930"/>
      <c r="F31" s="1931"/>
      <c r="G31" s="1930"/>
      <c r="H31" s="1930"/>
      <c r="I31" s="1930"/>
      <c r="J31" s="1932"/>
      <c r="K31" s="1056"/>
      <c r="L31" s="3057" t="s">
        <v>1993</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8" t="s">
        <v>1996</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716</v>
      </c>
      <c r="D33" s="1940">
        <f>'数据-汇总表'!F19</f>
        <v>309.42</v>
      </c>
      <c r="E33" s="727">
        <f>ROUND(C33*D33/10000,0)</f>
        <v>22</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107</v>
      </c>
      <c r="D34" s="1945"/>
      <c r="E34" s="727">
        <f>ROUND(IF(B25="楼层修正",SUM(V2:V16)*M40,C34*D34/10000),0)</f>
        <v>0</v>
      </c>
      <c r="F34" s="1946" t="s">
        <v>2029</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1" t="s">
        <v>3256</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3260</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3"/>
      <c r="B37" s="1955" t="s">
        <v>2033</v>
      </c>
      <c r="C37" s="167">
        <f>ROUND(D5*C22*C23*C24*C28*F37,0)</f>
        <v>358</v>
      </c>
      <c r="D37" s="1940"/>
      <c r="E37" s="163">
        <f>ROUND(C37*D37/10000,0)</f>
        <v>0</v>
      </c>
      <c r="F37" s="163">
        <f>SUMIF(修正!A57:A68,G2,修正!B57:B68)</f>
        <v>0.5</v>
      </c>
      <c r="G37" s="163">
        <f>ROUND(IF(E2="工业",C37*$M$42,C37*$M$41),0)</f>
        <v>54</v>
      </c>
      <c r="H37" s="163">
        <f>D37</f>
        <v>0</v>
      </c>
      <c r="I37" s="163">
        <f>ROUND(G37*H37/10000,0)</f>
        <v>0</v>
      </c>
      <c r="J37" s="2754"/>
      <c r="K37" s="3061" t="s">
        <v>3261</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4"/>
      <c r="B38" s="1884" t="s">
        <v>2034</v>
      </c>
      <c r="C38" s="167">
        <f>ROUND(D5*C22*C23*C24*C28*F38,0)</f>
        <v>143</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4"/>
      <c r="B39" s="1884" t="s">
        <v>3254</v>
      </c>
      <c r="C39" s="167">
        <f>ROUND(D5*C22*C23*C24*C28*F39,0)</f>
        <v>143</v>
      </c>
      <c r="D39" s="1940"/>
      <c r="E39" s="163">
        <f t="shared" si="4"/>
        <v>0</v>
      </c>
      <c r="F39" s="163">
        <f>SUMIF(修正!A57:A68,G2,修正!D57:D68)</f>
        <v>0.2</v>
      </c>
      <c r="G39" s="163">
        <f>ROUND(IF(E2="工业",C39*$M$42,C39*$M$41),0)</f>
        <v>21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143</v>
      </c>
      <c r="D40" s="1940"/>
      <c r="E40" s="163">
        <f t="shared" si="4"/>
        <v>0</v>
      </c>
      <c r="F40" s="167">
        <f>SUMIF(修正!A57:A68,G2,修正!E57:E68)</f>
        <v>0.2</v>
      </c>
      <c r="G40" s="163">
        <f>ROUND(IF(E2="工业",C40*$M$42,C40*$M$41),0)</f>
        <v>21</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143</v>
      </c>
      <c r="D41" s="1940"/>
      <c r="E41" s="163">
        <f t="shared" si="4"/>
        <v>0</v>
      </c>
      <c r="F41" s="167">
        <f>SUMIF(修正!A57:A68,G2,修正!F57:F68)</f>
        <v>0.2</v>
      </c>
      <c r="G41" s="163">
        <f>ROUND(IF(E2="工业",C41*$M$42,C41*$M$41),0)</f>
        <v>21</v>
      </c>
      <c r="H41" s="163">
        <f t="shared" si="5"/>
        <v>0</v>
      </c>
      <c r="I41" s="163">
        <f t="shared" si="6"/>
        <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72</v>
      </c>
      <c r="D42" s="1945"/>
      <c r="E42" s="179">
        <f t="shared" si="4"/>
        <v>0</v>
      </c>
      <c r="F42" s="723">
        <f>SUMIF(修正!A57:A68,G2,修正!G57:G68)</f>
        <v>0.1</v>
      </c>
      <c r="G42" s="179">
        <f>ROUND(IF(E2="工业",C42*$M$42,C42*$M$41),0)</f>
        <v>11</v>
      </c>
      <c r="H42" s="179">
        <f t="shared" si="5"/>
        <v>0</v>
      </c>
      <c r="I42" s="179">
        <f t="shared" si="6"/>
        <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2117</v>
      </c>
      <c r="C44" s="333">
        <f>ROUND(POWER(1+E44,H44-G44)*(POWER(1+E44,G44)-1)/(POWER(1+E44,H44)-1),4)</f>
        <v>0.80179999999999996</v>
      </c>
      <c r="D44" s="163" t="s">
        <v>1996</v>
      </c>
      <c r="E44" s="1991">
        <f>G24</f>
        <v>0.05</v>
      </c>
      <c r="F44" s="163" t="s">
        <v>2005</v>
      </c>
      <c r="G44" s="175">
        <f>项目基本情况!H15</f>
        <v>26.98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38.25">
      <c r="A50" s="1970" t="s">
        <v>2049</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2050</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2051</v>
      </c>
      <c r="B53" s="1974" t="s">
        <v>2052</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2054</v>
      </c>
      <c r="B55" s="1975" t="s">
        <v>2055</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2056</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2057</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2058</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38.25">
      <c r="A61" s="1970" t="s">
        <v>2061</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2050</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2051</v>
      </c>
      <c r="B64" s="1974" t="s">
        <v>2052</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2054</v>
      </c>
      <c r="B66" s="1975" t="s">
        <v>2055</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2056</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2057</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2058</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1">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2050</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2064</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2056</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2057</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2054</v>
      </c>
      <c r="B78" s="1975" t="s">
        <v>2055</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2058</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2065</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2066</v>
      </c>
      <c r="B81" s="1968">
        <f>1+E83</f>
        <v>1.0266999999999999</v>
      </c>
      <c r="C81" s="699"/>
      <c r="D81" s="699"/>
      <c r="E81" s="700"/>
      <c r="F81" s="1969"/>
      <c r="G81" s="3"/>
      <c r="H81" s="3"/>
      <c r="I81" s="3"/>
      <c r="J81" s="4"/>
      <c r="K81" s="4"/>
      <c r="L81" s="4"/>
      <c r="M81" s="4"/>
      <c r="N81" s="4"/>
      <c r="Z81" s="1845"/>
      <c r="AA81" s="1895"/>
      <c r="AG81" s="1058"/>
      <c r="AK81" s="1895"/>
    </row>
    <row r="82" spans="1:37" ht="24.75">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8.25">
      <c r="A83" s="1970" t="s">
        <v>2067</v>
      </c>
      <c r="B83" s="1262" t="str">
        <f>估价对象房地状况!G15</f>
        <v>估价对象位于XX开发区，园区建设成熟度XX，产业集聚程度XX</v>
      </c>
      <c r="C83" s="1887" t="s">
        <v>3469</v>
      </c>
      <c r="D83" s="1002">
        <f t="shared" ref="D83:D90" si="22">SUMIF($J$82:$N$82,C83,J83:N83)</f>
        <v>1.9300000000000001E-2</v>
      </c>
      <c r="E83" s="702">
        <f>ROUND(SUM(D83:D90),4)</f>
        <v>2.6700000000000002E-2</v>
      </c>
      <c r="F83" s="1675">
        <f>IF(E2="工业",SUMIF(L1:L12,G2,N1:N12),"——")</f>
        <v>0.14899999999999999</v>
      </c>
      <c r="G83" s="1000">
        <f>H83</f>
        <v>1.9300000000000001E-2</v>
      </c>
      <c r="H83" s="1003">
        <f t="shared" ref="H83:H90" si="23">IFERROR(ROUNDDOWN($F$83*I83/2,4),"——")</f>
        <v>1.9300000000000001E-2</v>
      </c>
      <c r="I83" s="3068">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38.25">
      <c r="A84" s="1970" t="s">
        <v>2050</v>
      </c>
      <c r="B84" s="1262" t="str">
        <f>估价对象房地状况!G16</f>
        <v>估价对象周边道路状况、公共交通通达情况、停车便捷程度，综合评价交通便捷度较好</v>
      </c>
      <c r="C84" s="1887" t="s">
        <v>3468</v>
      </c>
      <c r="D84" s="1002">
        <f t="shared" si="22"/>
        <v>0</v>
      </c>
      <c r="E84" s="705"/>
      <c r="F84" s="1675"/>
      <c r="G84" s="1000">
        <f t="shared" ref="G84:G90" si="27">H84</f>
        <v>2.23E-2</v>
      </c>
      <c r="H84" s="1003">
        <f t="shared" si="23"/>
        <v>2.23E-2</v>
      </c>
      <c r="I84" s="3068">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6">
      <c r="A85" s="3070" t="s">
        <v>3265</v>
      </c>
      <c r="B85" s="1262">
        <f>估价对象房地状况!G17</f>
        <v>0</v>
      </c>
      <c r="C85" s="1887" t="s">
        <v>3469</v>
      </c>
      <c r="D85" s="1002">
        <f t="shared" si="22"/>
        <v>7.4000000000000003E-3</v>
      </c>
      <c r="E85" s="705"/>
      <c r="F85" s="1675"/>
      <c r="G85" s="1000">
        <f t="shared" si="27"/>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2064</v>
      </c>
      <c r="B86" s="1262">
        <f>估价对象房地状况!G22</f>
        <v>0</v>
      </c>
      <c r="C86" s="1887" t="s">
        <v>3470</v>
      </c>
      <c r="D86" s="1002">
        <f t="shared" si="22"/>
        <v>-3.7000000000000002E-3</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2056</v>
      </c>
      <c r="B87" s="1240" t="str">
        <f>估价对象房地状况!G19</f>
        <v>估价对象所在区域公共配套设施齐备情况</v>
      </c>
      <c r="C87" s="1887" t="s">
        <v>3470</v>
      </c>
      <c r="D87" s="1002">
        <f t="shared" si="22"/>
        <v>-4.4000000000000003E-3</v>
      </c>
      <c r="E87" s="705"/>
      <c r="F87" s="1675"/>
      <c r="G87" s="1000">
        <f t="shared" si="27"/>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2057</v>
      </c>
      <c r="B88" s="1240" t="str">
        <f>估价对象房地状况!G20</f>
        <v>估价对象所在区域基础设施水平</v>
      </c>
      <c r="C88" s="1887" t="s">
        <v>3468</v>
      </c>
      <c r="D88" s="1002">
        <f t="shared" si="22"/>
        <v>0</v>
      </c>
      <c r="E88" s="705"/>
      <c r="F88" s="1675"/>
      <c r="G88" s="1000">
        <f t="shared" si="27"/>
        <v>8.8999999999999999E-3</v>
      </c>
      <c r="H88" s="1003">
        <f t="shared" si="23"/>
        <v>8.8999999999999999E-3</v>
      </c>
      <c r="I88" s="3068">
        <v>0.12</v>
      </c>
      <c r="J88" s="1001">
        <f t="shared" si="24"/>
        <v>1.78E-2</v>
      </c>
      <c r="K88" s="1001">
        <f t="shared" si="25"/>
        <v>8.8999999999999999E-3</v>
      </c>
      <c r="L88" s="1001">
        <v>0</v>
      </c>
      <c r="M88" s="1001">
        <f t="shared" si="26"/>
        <v>-8.8999999999999999E-3</v>
      </c>
      <c r="N88" s="1001">
        <f t="shared" si="26"/>
        <v>-1.78E-2</v>
      </c>
    </row>
    <row r="89" spans="1:37" ht="24">
      <c r="A89" s="1970" t="s">
        <v>2054</v>
      </c>
      <c r="B89" s="1975" t="s">
        <v>2068</v>
      </c>
      <c r="C89" s="1887" t="s">
        <v>3469</v>
      </c>
      <c r="D89" s="1002">
        <f t="shared" si="22"/>
        <v>4.4000000000000003E-3</v>
      </c>
      <c r="E89" s="705"/>
      <c r="F89" s="1675"/>
      <c r="G89" s="1000">
        <f t="shared" si="27"/>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2069</v>
      </c>
      <c r="B90" s="1982" t="str">
        <f>估价对象房地状况!G18</f>
        <v>该园区内是否有污染型企业，绿化情况，卫生条件，整体环境状况判断</v>
      </c>
      <c r="C90" s="1887" t="s">
        <v>3469</v>
      </c>
      <c r="D90" s="1002">
        <f t="shared" si="22"/>
        <v>3.7000000000000002E-3</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4">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3268</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3264</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3269</v>
      </c>
      <c r="B96" s="3086" t="s">
        <v>3280</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3270</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3271</v>
      </c>
      <c r="B98" s="3087" t="s">
        <v>3281</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3272</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3273</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3274</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21" t="s">
        <v>3289</v>
      </c>
      <c r="B103" s="3421"/>
      <c r="C103" s="3421"/>
      <c r="D103" s="3421"/>
      <c r="E103" s="3421"/>
      <c r="F103" s="3421"/>
      <c r="G103" s="3421"/>
      <c r="H103" s="3421"/>
      <c r="I103" s="3421"/>
      <c r="J103" s="3421"/>
      <c r="K103" s="1667"/>
      <c r="L103" s="1667"/>
      <c r="M103" s="1667"/>
      <c r="N103" s="1667"/>
    </row>
    <row r="104" spans="1:14">
      <c r="A104" s="3422" t="s">
        <v>3290</v>
      </c>
      <c r="B104" s="3422" t="s">
        <v>3291</v>
      </c>
      <c r="C104" s="3090" t="s">
        <v>3292</v>
      </c>
      <c r="D104" s="3091"/>
      <c r="E104" s="3091"/>
      <c r="F104" s="3091"/>
      <c r="G104" s="3091"/>
      <c r="H104" s="3091"/>
      <c r="I104" s="3091"/>
      <c r="J104" s="3092"/>
      <c r="K104" s="3093"/>
      <c r="L104" s="3093"/>
      <c r="M104" s="3093"/>
      <c r="N104" s="3093"/>
    </row>
    <row r="105" spans="1:14">
      <c r="A105" s="3422"/>
      <c r="B105" s="3422"/>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08"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9"/>
      <c r="B111" s="3094" t="s">
        <v>3263</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1" t="s">
        <v>3306</v>
      </c>
      <c r="B113" s="3411"/>
      <c r="C113" s="3411"/>
      <c r="D113" s="3411"/>
      <c r="E113" s="3411"/>
      <c r="F113" s="3411"/>
      <c r="G113" s="3411"/>
      <c r="H113" s="3411"/>
      <c r="I113" s="3411"/>
      <c r="J113" s="341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1</v>
      </c>
      <c r="C116" s="3099" t="s">
        <v>3308</v>
      </c>
      <c r="D116" s="3100">
        <f>SUMPRODUCT((A118:A122=F116)*(B117:M117=H116)*B118:M122)</f>
        <v>0.57150000000000001</v>
      </c>
      <c r="E116" s="162" t="s">
        <v>3309</v>
      </c>
      <c r="F116" s="3101" t="str">
        <f>E2</f>
        <v>工业</v>
      </c>
      <c r="G116" s="162" t="s">
        <v>3310</v>
      </c>
      <c r="H116" s="3101" t="str">
        <f>G2</f>
        <v>九级</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3324</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3325</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3326</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2607</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76:Q346"/>
  <sheetViews>
    <sheetView topLeftCell="A347" workbookViewId="0">
      <selection activeCell="A277" sqref="A277:XFD298"/>
    </sheetView>
  </sheetViews>
  <sheetFormatPr defaultRowHeight="13.5"/>
  <sheetData>
    <row r="176" spans="14:14">
      <c r="N176" s="1405" t="s">
        <v>3427</v>
      </c>
    </row>
    <row r="178" spans="14:14">
      <c r="N178" s="1405" t="s">
        <v>3428</v>
      </c>
    </row>
    <row r="309" spans="13:13">
      <c r="M309" s="1405" t="s">
        <v>3429</v>
      </c>
    </row>
    <row r="314" spans="13:13">
      <c r="M314" s="1405"/>
    </row>
    <row r="346" spans="17:17">
      <c r="Q346"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S58" sqref="S58"/>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I23" sqref="I23"/>
    </sheetView>
  </sheetViews>
  <sheetFormatPr defaultRowHeight="13.5"/>
  <cols>
    <col min="3" max="3" width="12" customWidth="1"/>
    <col min="4" max="4" width="13" customWidth="1"/>
    <col min="5" max="5" width="11.5" customWidth="1"/>
    <col min="6" max="6" width="12.5" customWidth="1"/>
    <col min="7" max="7" width="29.5" customWidth="1"/>
  </cols>
  <sheetData>
    <row r="2" spans="2:9">
      <c r="C2" s="1405" t="s">
        <v>3474</v>
      </c>
      <c r="D2" s="1405" t="s">
        <v>3475</v>
      </c>
      <c r="E2" s="1405" t="s">
        <v>3477</v>
      </c>
      <c r="F2" s="1405" t="s">
        <v>3476</v>
      </c>
      <c r="G2" s="1405" t="s">
        <v>3478</v>
      </c>
      <c r="H2" s="1405" t="s">
        <v>3479</v>
      </c>
      <c r="I2" s="1405" t="s">
        <v>3480</v>
      </c>
    </row>
    <row r="3" spans="2:9">
      <c r="B3">
        <v>101</v>
      </c>
      <c r="C3">
        <v>491.32</v>
      </c>
      <c r="D3">
        <v>491.32</v>
      </c>
      <c r="E3" s="3172">
        <v>43831</v>
      </c>
      <c r="F3" s="3172">
        <v>47848</v>
      </c>
      <c r="G3">
        <v>9863249</v>
      </c>
      <c r="H3" s="3173">
        <f>G3/D3/I3</f>
        <v>4.9975105800348523</v>
      </c>
      <c r="I3">
        <f>F3-E3</f>
        <v>4017</v>
      </c>
    </row>
    <row r="4" spans="2:9">
      <c r="B4">
        <v>201</v>
      </c>
      <c r="C4">
        <v>309.42</v>
      </c>
      <c r="D4">
        <v>309.42</v>
      </c>
      <c r="E4" s="3172">
        <v>43831</v>
      </c>
      <c r="F4" s="3172">
        <v>47848</v>
      </c>
      <c r="G4">
        <v>3388149</v>
      </c>
      <c r="H4" s="3173">
        <f>G4/D4/I4</f>
        <v>2.7259148618371918</v>
      </c>
      <c r="I4">
        <f>F4-E4</f>
        <v>4017</v>
      </c>
    </row>
    <row r="5" spans="2:9">
      <c r="D5">
        <f>D3+D4</f>
        <v>800.74</v>
      </c>
      <c r="G5">
        <f>G3+G4</f>
        <v>13251398</v>
      </c>
      <c r="H5" s="3173">
        <f>G5/D5/I4</f>
        <v>4.1197260967759668</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895</v>
      </c>
    </row>
    <row r="3" spans="1:1" ht="18">
      <c r="A3" s="1381" t="str">
        <f>项目基本情况!B5&amp;"："</f>
        <v>：</v>
      </c>
    </row>
    <row r="4" spans="1:1" ht="36">
      <c r="A4" s="1382" t="str">
        <f>"受贵公司委托，我公司对"&amp;项目基本情况!S1&amp;"进行了预评估。"</f>
        <v>受贵公司委托，我公司对北京市大兴区马朱路长子营段16号院17号楼1层101、2层201、202、203工业用房房地产抵押价值进行了预评估。</v>
      </c>
    </row>
    <row r="5" spans="1:1" ht="18.75">
      <c r="A5" s="1383" t="s">
        <v>896</v>
      </c>
    </row>
    <row r="6" spans="1:1" ht="18.75">
      <c r="A6" s="1384" t="s">
        <v>897</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1层101、2层201、202、203工业用房房地产，为所有。根据《国有土地使用证》[]，估价对象（分摊）出让国有建设用地使用权面积为0平方米，建筑面积为309.42平方米。</v>
      </c>
    </row>
    <row r="8" spans="1:1" ht="57.75">
      <c r="A8" s="1385" t="s">
        <v>898</v>
      </c>
    </row>
    <row r="9" spans="1:1" ht="18.75">
      <c r="A9" s="1384" t="s">
        <v>899</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309.42平方米。</v>
      </c>
    </row>
    <row r="11" spans="1:1" ht="76.5">
      <c r="A11" s="1385" t="s">
        <v>900</v>
      </c>
    </row>
    <row r="12" spans="1:1" ht="18.75">
      <c r="A12" s="1383" t="s">
        <v>901</v>
      </c>
    </row>
    <row r="13" spans="1:1" ht="38.25" customHeight="1">
      <c r="A13" s="1382" t="str">
        <f>IF(项目基本情况!B8="抵押",IF(项目基本情况!B5=项目基本情况!B6,定义!C51,定义!B51),定义!D51)</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902</v>
      </c>
    </row>
    <row r="15" spans="1:1" ht="18">
      <c r="A15" s="1386" t="str">
        <f>TEXT(项目基本情况!D3,"yyyy年m月d日;;")&amp;IF(项目基本情况!D3=项目基本情况!B3,"（评估专业人员实地查勘之日）","")</f>
        <v>2025年5月9日（评估专业人员实地查勘之日）</v>
      </c>
    </row>
    <row r="16" spans="1:1" ht="18.75">
      <c r="A16" s="1381" t="s">
        <v>903</v>
      </c>
    </row>
    <row r="17" spans="1:1" ht="75">
      <c r="A17" s="1382" t="s">
        <v>904</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893</v>
      </c>
    </row>
    <row r="24" spans="1:1" ht="18">
      <c r="A24" s="1387" t="str">
        <f>"本次评估采用的主估价方法为"&amp;结果表!K4&amp;"和"&amp;结果表!L4&amp;"。"</f>
        <v>本次评估采用的主估价方法为比较法和收益法。</v>
      </c>
    </row>
    <row r="25" spans="1:1" ht="18">
      <c r="A25" s="1387"/>
    </row>
    <row r="26" spans="1:1" ht="18.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33" t="s">
        <v>2312</v>
      </c>
      <c r="K2" s="3434"/>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35" t="s">
        <v>2322</v>
      </c>
      <c r="K3" s="3436"/>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35" t="s">
        <v>2324</v>
      </c>
      <c r="K4" s="3436"/>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41" t="s">
        <v>2328</v>
      </c>
      <c r="B6" s="3442"/>
      <c r="C6" s="3443"/>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44" t="s">
        <v>2342</v>
      </c>
      <c r="C8" s="3445"/>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44" t="s">
        <v>2348</v>
      </c>
      <c r="C9" s="3445"/>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44" t="s">
        <v>2351</v>
      </c>
      <c r="C10" s="3445"/>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44" t="s">
        <v>2354</v>
      </c>
      <c r="C11" s="3445"/>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7" t="s">
        <v>2357</v>
      </c>
      <c r="C12" s="3438"/>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7" t="s">
        <v>2363</v>
      </c>
      <c r="C14" s="3438"/>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7" t="s">
        <v>2367</v>
      </c>
      <c r="C15" s="3438"/>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7" t="s">
        <v>2376</v>
      </c>
      <c r="C16" s="3438"/>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2379</v>
      </c>
      <c r="C17" s="3440"/>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1">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33" t="s">
        <v>2312</v>
      </c>
      <c r="K32" s="3434"/>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35" t="s">
        <v>2322</v>
      </c>
      <c r="K33" s="3436"/>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35" t="s">
        <v>2324</v>
      </c>
      <c r="K34" s="34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1">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79"/>
      <c r="G1" s="459"/>
      <c r="H1" s="459"/>
      <c r="I1" s="459"/>
      <c r="J1" s="459"/>
      <c r="K1" s="459"/>
      <c r="L1" s="459"/>
      <c r="M1" s="459"/>
      <c r="N1" s="459"/>
      <c r="O1" s="459"/>
      <c r="P1" s="459"/>
      <c r="Q1" s="459"/>
      <c r="R1" s="459"/>
      <c r="S1" s="459"/>
    </row>
    <row r="2" spans="1:22" ht="15.75">
      <c r="A2" s="1728" t="s">
        <v>1459</v>
      </c>
      <c r="B2" s="811">
        <f ca="1">SUMIF(B6:B13,"&lt;&gt;#ref!",B6:B13)</f>
        <v>162.61930000000001</v>
      </c>
      <c r="C2" s="1729" t="s">
        <v>1648</v>
      </c>
      <c r="D2" s="1730" t="s">
        <v>1649</v>
      </c>
      <c r="E2" s="2393">
        <f>SUM(E6:E13)</f>
        <v>309.42</v>
      </c>
      <c r="F2" s="2479"/>
      <c r="G2" s="459"/>
      <c r="H2" s="459"/>
      <c r="I2" s="459"/>
      <c r="J2" s="459"/>
      <c r="K2" s="459"/>
      <c r="L2" s="459"/>
      <c r="M2" s="459"/>
      <c r="N2" s="459"/>
      <c r="O2" s="459"/>
      <c r="P2" s="459"/>
      <c r="Q2" s="459"/>
      <c r="R2" s="459"/>
      <c r="S2" s="459"/>
    </row>
    <row r="3" spans="1:22" ht="15.75">
      <c r="A3" s="1728" t="s">
        <v>683</v>
      </c>
      <c r="B3" s="2387">
        <f ca="1">ROUND(B2*10000/E2,0)</f>
        <v>5256</v>
      </c>
      <c r="C3" s="1729" t="s">
        <v>1656</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1650</v>
      </c>
      <c r="B5" s="3446" t="s">
        <v>1651</v>
      </c>
      <c r="C5" s="3447"/>
      <c r="D5" s="2480"/>
      <c r="E5" s="1731" t="s">
        <v>1652</v>
      </c>
      <c r="F5" s="129" t="s">
        <v>1653</v>
      </c>
      <c r="G5" s="459"/>
      <c r="H5" s="459"/>
      <c r="I5" s="459"/>
      <c r="J5" s="459"/>
      <c r="K5" s="459"/>
      <c r="L5" s="459"/>
      <c r="M5" s="459"/>
      <c r="N5" s="459"/>
      <c r="O5" s="459"/>
      <c r="P5" s="459"/>
      <c r="Q5" s="459"/>
      <c r="R5" s="459"/>
      <c r="S5" s="459"/>
    </row>
    <row r="6" spans="1:22">
      <c r="A6" s="2390" t="str">
        <f>'数据-取费表'!AN6</f>
        <v>收益法 (元)</v>
      </c>
      <c r="B6" s="2388">
        <f ca="1">IF(F6="是",'数据-取费表'!AO6,0)</f>
        <v>162.61930000000001</v>
      </c>
      <c r="C6" s="1729" t="s">
        <v>1648</v>
      </c>
      <c r="D6" s="2479"/>
      <c r="E6" s="2392">
        <f>IF(OR(A6=0,F6="否"),0,'数据-取费表'!K6+'数据-取费表'!S6)</f>
        <v>309.42</v>
      </c>
      <c r="F6" s="1732" t="s">
        <v>1654</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1648</v>
      </c>
      <c r="D7" s="2479"/>
      <c r="E7" s="2392">
        <f>IF(OR(A7=0,F7="否"),0,'数据-取费表'!K7+'数据-取费表'!S7)</f>
        <v>0</v>
      </c>
      <c r="F7" s="1732" t="s">
        <v>1654</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1648</v>
      </c>
      <c r="D8" s="2479"/>
      <c r="E8" s="2392">
        <f>IF(OR(A8=0,F8="否"),0,'数据-取费表'!K8+'数据-取费表'!S8)</f>
        <v>0</v>
      </c>
      <c r="F8" s="1732" t="s">
        <v>1654</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1648</v>
      </c>
      <c r="D9" s="2479"/>
      <c r="E9" s="2392">
        <f>IF(OR(A9=0,F9="否"),0,'数据-取费表'!K9+'数据-取费表'!S9)</f>
        <v>0</v>
      </c>
      <c r="F9" s="1732" t="s">
        <v>1654</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1648</v>
      </c>
      <c r="D10" s="2479"/>
      <c r="E10" s="2392">
        <f>IF(OR(A10=0,F10="否"),0,'数据-取费表'!K10+'数据-取费表'!S10)</f>
        <v>0</v>
      </c>
      <c r="F10" s="1732" t="s">
        <v>1654</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1648</v>
      </c>
      <c r="D11" s="2479"/>
      <c r="E11" s="2392">
        <f>IF(OR(A11=0,F11="否"),0,'数据-取费表'!K11+'数据-取费表'!S11)</f>
        <v>0</v>
      </c>
      <c r="F11" s="1732" t="s">
        <v>1654</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1648</v>
      </c>
      <c r="D12" s="2479"/>
      <c r="E12" s="2392">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1648</v>
      </c>
      <c r="D13" s="2481"/>
      <c r="E13" s="2392">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4"/>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309.42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1663</v>
      </c>
      <c r="B4" s="346"/>
      <c r="C4" s="3378" t="s">
        <v>1664</v>
      </c>
      <c r="D4" s="3379"/>
      <c r="E4" s="3380" t="s">
        <v>1665</v>
      </c>
      <c r="F4" s="3381"/>
      <c r="G4" s="3378" t="s">
        <v>1666</v>
      </c>
      <c r="H4" s="3379"/>
      <c r="I4" s="3378" t="s">
        <v>1667</v>
      </c>
      <c r="J4" s="3379"/>
      <c r="K4" s="1744" t="s">
        <v>1668</v>
      </c>
      <c r="L4" s="2486"/>
      <c r="M4" s="2487"/>
      <c r="N4" s="2487"/>
      <c r="O4" s="2487"/>
      <c r="P4" s="3382" t="s">
        <v>1669</v>
      </c>
      <c r="Q4" s="3383"/>
      <c r="R4" s="3388" t="s">
        <v>1665</v>
      </c>
      <c r="S4" s="3389"/>
      <c r="T4" s="3388" t="s">
        <v>1666</v>
      </c>
      <c r="U4" s="3389"/>
      <c r="V4" s="3366" t="s">
        <v>1667</v>
      </c>
      <c r="W4" s="3366"/>
      <c r="X4" s="1265"/>
      <c r="Y4" s="3388" t="s">
        <v>1669</v>
      </c>
      <c r="Z4" s="3389"/>
      <c r="AA4" s="3375" t="s">
        <v>1665</v>
      </c>
      <c r="AB4" s="3375" t="s">
        <v>1666</v>
      </c>
      <c r="AC4" s="3375" t="s">
        <v>1667</v>
      </c>
    </row>
    <row r="5" spans="1:29" ht="15">
      <c r="A5" s="348"/>
      <c r="B5" s="349"/>
      <c r="C5" s="3454" t="s">
        <v>1670</v>
      </c>
      <c r="D5" s="3397"/>
      <c r="E5" s="3455" t="s">
        <v>1671</v>
      </c>
      <c r="F5" s="3456"/>
      <c r="G5" s="3454" t="s">
        <v>1672</v>
      </c>
      <c r="H5" s="3397"/>
      <c r="I5" s="3454" t="s">
        <v>1673</v>
      </c>
      <c r="J5" s="3397"/>
      <c r="K5" s="1745"/>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1745"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8" t="s">
        <v>1677</v>
      </c>
      <c r="Q7" s="3400"/>
      <c r="R7" s="664" t="s">
        <v>20</v>
      </c>
      <c r="S7" s="665">
        <f t="shared" ref="S7:S15" si="0">F7</f>
        <v>0</v>
      </c>
      <c r="T7" s="664" t="s">
        <v>20</v>
      </c>
      <c r="U7" s="665">
        <f t="shared" ref="U7:U15" si="1">H7</f>
        <v>0</v>
      </c>
      <c r="V7" s="664" t="s">
        <v>20</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8" t="s">
        <v>1680</v>
      </c>
      <c r="Q8" s="3399"/>
      <c r="R8" s="664" t="s">
        <v>20</v>
      </c>
      <c r="S8" s="665">
        <f t="shared" si="0"/>
        <v>100</v>
      </c>
      <c r="T8" s="664" t="s">
        <v>20</v>
      </c>
      <c r="U8" s="665">
        <f t="shared" si="1"/>
        <v>100</v>
      </c>
      <c r="V8" s="664" t="s">
        <v>20</v>
      </c>
      <c r="W8" s="665">
        <f t="shared" si="2"/>
        <v>100</v>
      </c>
      <c r="X8" s="666"/>
      <c r="Y8" s="3398" t="s">
        <v>1680</v>
      </c>
      <c r="Z8" s="3399"/>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3"/>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3"/>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3"/>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3"/>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1" t="s">
        <v>1688</v>
      </c>
      <c r="Q15" s="1263" t="str">
        <f t="shared" si="6"/>
        <v>居住社区成熟度</v>
      </c>
      <c r="R15" s="667" t="s">
        <v>18</v>
      </c>
      <c r="S15" s="668">
        <f t="shared" si="0"/>
        <v>100</v>
      </c>
      <c r="T15" s="667" t="s">
        <v>18</v>
      </c>
      <c r="U15" s="668">
        <f t="shared" si="1"/>
        <v>100</v>
      </c>
      <c r="V15" s="667" t="s">
        <v>18</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2"/>
      <c r="Q16" s="1263"/>
      <c r="R16" s="667"/>
      <c r="S16" s="668"/>
      <c r="T16" s="667"/>
      <c r="U16" s="668"/>
      <c r="V16" s="667"/>
      <c r="W16" s="668"/>
      <c r="X16" s="1265"/>
      <c r="Y16" s="3371"/>
      <c r="Z16" s="1264"/>
      <c r="AA16" s="1264">
        <v>1</v>
      </c>
      <c r="AB16" s="1264">
        <v>1</v>
      </c>
      <c r="AC16" s="1264">
        <v>1</v>
      </c>
    </row>
    <row r="17" spans="1:29" ht="71.25">
      <c r="A17" s="367"/>
      <c r="B17" s="390" t="s">
        <v>1256</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2"/>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1255</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2"/>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1257</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2"/>
      <c r="Q22" s="1263"/>
      <c r="R22" s="667"/>
      <c r="S22" s="668"/>
      <c r="T22" s="667"/>
      <c r="U22" s="668"/>
      <c r="V22" s="667"/>
      <c r="W22" s="668"/>
      <c r="X22" s="1265"/>
      <c r="Y22" s="3371"/>
      <c r="Z22" s="1264"/>
      <c r="AA22" s="1264">
        <v>1</v>
      </c>
      <c r="AB22" s="1264">
        <v>1</v>
      </c>
      <c r="AC22" s="1264">
        <v>1</v>
      </c>
    </row>
    <row r="23" spans="1:29" ht="42.75">
      <c r="A23" s="367"/>
      <c r="B23" s="390" t="s">
        <v>1258</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2"/>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2"/>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2"/>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2"/>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2"/>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2"/>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8" t="s">
        <v>1693</v>
      </c>
      <c r="Q32" s="1263" t="str">
        <f t="shared" si="11"/>
        <v>建筑类型</v>
      </c>
      <c r="R32" s="667" t="s">
        <v>18</v>
      </c>
      <c r="S32" s="668">
        <f t="shared" si="12"/>
        <v>100</v>
      </c>
      <c r="T32" s="667" t="s">
        <v>18</v>
      </c>
      <c r="U32" s="668">
        <f t="shared" si="13"/>
        <v>100</v>
      </c>
      <c r="V32" s="667" t="s">
        <v>18</v>
      </c>
      <c r="W32" s="668">
        <f t="shared" si="14"/>
        <v>100</v>
      </c>
      <c r="X32" s="1265"/>
      <c r="Y32" s="3373"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9"/>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9"/>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9"/>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9"/>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49"/>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9" t="s">
        <v>1693</v>
      </c>
      <c r="Q38" s="1263" t="str">
        <f t="shared" si="11"/>
        <v>物业管理</v>
      </c>
      <c r="R38" s="667" t="s">
        <v>18</v>
      </c>
      <c r="S38" s="668">
        <f t="shared" si="12"/>
        <v>100</v>
      </c>
      <c r="T38" s="667" t="s">
        <v>18</v>
      </c>
      <c r="U38" s="668">
        <f t="shared" si="13"/>
        <v>100</v>
      </c>
      <c r="V38" s="667" t="s">
        <v>18</v>
      </c>
      <c r="W38" s="668">
        <f t="shared" si="14"/>
        <v>100</v>
      </c>
      <c r="X38" s="1265"/>
      <c r="Y38" s="3373"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9"/>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9"/>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9"/>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9"/>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9"/>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49"/>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9"/>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0"/>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1706</v>
      </c>
      <c r="B48" s="424"/>
      <c r="C48" s="1082" t="e">
        <f>R49</f>
        <v>#DIV/0!</v>
      </c>
      <c r="D48" s="2141" t="s">
        <v>2133</v>
      </c>
      <c r="E48" s="1083" t="e">
        <f>R48</f>
        <v>#DIV/0!</v>
      </c>
      <c r="F48" s="2142"/>
      <c r="G48" s="1082" t="e">
        <f>T48</f>
        <v>#DIV/0!</v>
      </c>
      <c r="H48" s="2142"/>
      <c r="I48" s="1083" t="e">
        <f>V48</f>
        <v>#DIV/0!</v>
      </c>
      <c r="J48" s="2142"/>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c r="E1" s="3124"/>
      <c r="F1" s="1735"/>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0</v>
      </c>
      <c r="C3" s="344" t="s">
        <v>1765</v>
      </c>
      <c r="D3" s="343">
        <f>IF(D1="",'数据-汇总表'!E3,SUMIF('数据-汇总表'!$C19:$C33,D1,'数据-汇总表'!$E19:$E33))</f>
        <v>309.42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6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6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66"/>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46" si="3">D8/F8</f>
        <v>1</v>
      </c>
      <c r="AB8" s="50">
        <f t="shared" ref="AB8:AB46" si="4">D8/H8</f>
        <v>1</v>
      </c>
      <c r="AC8" s="50">
        <f t="shared" ref="AC8:AC46" si="5">D8/J8</f>
        <v>1</v>
      </c>
    </row>
    <row r="9" spans="1:29" s="102" customFormat="1">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1687</v>
      </c>
      <c r="B15" s="58" t="s">
        <v>1774</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1" t="s">
        <v>1688</v>
      </c>
      <c r="Q15" s="1263" t="str">
        <f t="shared" si="6"/>
        <v>商业繁华度</v>
      </c>
      <c r="R15" s="667" t="s">
        <v>14</v>
      </c>
      <c r="S15" s="668">
        <f t="shared" si="0"/>
        <v>100</v>
      </c>
      <c r="T15" s="667" t="s">
        <v>14</v>
      </c>
      <c r="U15" s="668">
        <f t="shared" si="1"/>
        <v>100</v>
      </c>
      <c r="V15" s="667" t="s">
        <v>14</v>
      </c>
      <c r="W15" s="668">
        <f t="shared" si="2"/>
        <v>100</v>
      </c>
      <c r="X15" s="1265"/>
      <c r="Y15" s="3370" t="s">
        <v>1688</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1775</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1776</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2"/>
      <c r="Q22" s="1263"/>
      <c r="R22" s="667"/>
      <c r="S22" s="668"/>
      <c r="T22" s="667"/>
      <c r="U22" s="668"/>
      <c r="V22" s="667"/>
      <c r="W22" s="668"/>
      <c r="X22" s="1265"/>
      <c r="Y22" s="3371"/>
      <c r="Z22" s="1264"/>
      <c r="AA22" s="1264">
        <v>1</v>
      </c>
      <c r="AB22" s="1264">
        <v>1</v>
      </c>
      <c r="AC22" s="1264">
        <v>1</v>
      </c>
    </row>
    <row r="23" spans="1:29" ht="57">
      <c r="A23" s="367"/>
      <c r="B23" s="390" t="s">
        <v>1258</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2"/>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2"/>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2"/>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1779</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52"/>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2"/>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1691</v>
      </c>
      <c r="B32" s="60" t="s">
        <v>1781</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8" t="s">
        <v>1693</v>
      </c>
      <c r="Q32" s="1263" t="str">
        <f t="shared" si="11"/>
        <v>商业类型</v>
      </c>
      <c r="R32" s="667" t="s">
        <v>14</v>
      </c>
      <c r="S32" s="668">
        <f t="shared" si="12"/>
        <v>100</v>
      </c>
      <c r="T32" s="667" t="s">
        <v>14</v>
      </c>
      <c r="U32" s="668">
        <f t="shared" si="13"/>
        <v>100</v>
      </c>
      <c r="V32" s="667" t="s">
        <v>14</v>
      </c>
      <c r="W32" s="668">
        <f t="shared" si="14"/>
        <v>100</v>
      </c>
      <c r="X32" s="1265"/>
      <c r="Y32" s="3373" t="s">
        <v>1693</v>
      </c>
      <c r="Z32" s="1264" t="str">
        <f t="shared" si="15"/>
        <v>商业类型</v>
      </c>
      <c r="AA32" s="1264">
        <f t="shared" si="3"/>
        <v>1</v>
      </c>
      <c r="AB32" s="1264">
        <f t="shared" si="4"/>
        <v>1</v>
      </c>
      <c r="AC32" s="1264">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9"/>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9"/>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9"/>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9"/>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49"/>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1785</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9" t="s">
        <v>1693</v>
      </c>
      <c r="Q38" s="1263" t="str">
        <f t="shared" si="11"/>
        <v>业态</v>
      </c>
      <c r="R38" s="667" t="s">
        <v>14</v>
      </c>
      <c r="S38" s="668">
        <f t="shared" si="12"/>
        <v>100</v>
      </c>
      <c r="T38" s="667" t="s">
        <v>14</v>
      </c>
      <c r="U38" s="668">
        <f t="shared" si="13"/>
        <v>100</v>
      </c>
      <c r="V38" s="667" t="s">
        <v>14</v>
      </c>
      <c r="W38" s="668">
        <f t="shared" si="14"/>
        <v>100</v>
      </c>
      <c r="X38" s="1265"/>
      <c r="Y38" s="3373" t="s">
        <v>1693</v>
      </c>
      <c r="Z38" s="1264" t="str">
        <f t="shared" si="15"/>
        <v>业态</v>
      </c>
      <c r="AA38" s="1264">
        <f t="shared" si="3"/>
        <v>1</v>
      </c>
      <c r="AB38" s="1264">
        <f t="shared" si="4"/>
        <v>1</v>
      </c>
      <c r="AC38" s="1264">
        <f t="shared" si="5"/>
        <v>1</v>
      </c>
    </row>
    <row r="39" spans="1:29" ht="1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9"/>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9"/>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9"/>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1789</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9"/>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1704</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9"/>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49"/>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9"/>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0"/>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1705</v>
      </c>
      <c r="B47" s="417"/>
      <c r="C47" s="1081" t="s">
        <v>0</v>
      </c>
      <c r="D47" s="418"/>
      <c r="E47" s="419"/>
      <c r="F47" s="420"/>
      <c r="G47" s="421"/>
      <c r="H47" s="422"/>
      <c r="I47" s="419"/>
      <c r="J47" s="422"/>
      <c r="K47" s="674"/>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1790</v>
      </c>
      <c r="B48" s="424"/>
      <c r="C48" s="1082" t="e">
        <f>R49</f>
        <v>#DIV/0!</v>
      </c>
      <c r="D48" s="2141" t="s">
        <v>2133</v>
      </c>
      <c r="E48" s="1083" t="e">
        <f>R48</f>
        <v>#DIV/0!</v>
      </c>
      <c r="F48" s="2142"/>
      <c r="G48" s="1082" t="e">
        <f>T48</f>
        <v>#DIV/0!</v>
      </c>
      <c r="H48" s="2142"/>
      <c r="I48" s="1083" t="e">
        <f>V48</f>
        <v>#DIV/0!</v>
      </c>
      <c r="J48" s="2142"/>
      <c r="K48" s="2144">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1795</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1676</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1713</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1678</v>
      </c>
      <c r="B61" s="444"/>
      <c r="C61" s="456" t="s">
        <v>1773</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1716</v>
      </c>
      <c r="B63" s="460" t="s">
        <v>1682</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1685</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1687</v>
      </c>
      <c r="B76" s="460" t="s">
        <v>1717</v>
      </c>
      <c r="C76" s="504" t="s">
        <v>1718</v>
      </c>
      <c r="D76" s="504" t="s">
        <v>1719</v>
      </c>
      <c r="E76" s="504" t="s">
        <v>1720</v>
      </c>
      <c r="F76" s="504" t="s">
        <v>1721</v>
      </c>
      <c r="G76" s="504" t="s">
        <v>1722</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1723</v>
      </c>
      <c r="C78" s="509" t="s">
        <v>1718</v>
      </c>
      <c r="D78" s="509" t="s">
        <v>1719</v>
      </c>
      <c r="E78" s="509" t="s">
        <v>1720</v>
      </c>
      <c r="F78" s="509" t="s">
        <v>1721</v>
      </c>
      <c r="G78" s="509" t="s">
        <v>1722</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1724</v>
      </c>
      <c r="C80" s="509" t="s">
        <v>1718</v>
      </c>
      <c r="D80" s="509" t="s">
        <v>1719</v>
      </c>
      <c r="E80" s="509" t="s">
        <v>1720</v>
      </c>
      <c r="F80" s="509" t="s">
        <v>1721</v>
      </c>
      <c r="G80" s="509" t="s">
        <v>1722</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1776</v>
      </c>
      <c r="C82" s="581" t="s">
        <v>1796</v>
      </c>
      <c r="D82" s="581" t="s">
        <v>1797</v>
      </c>
      <c r="E82" s="581" t="s">
        <v>1798</v>
      </c>
      <c r="F82" s="581" t="s">
        <v>1799</v>
      </c>
      <c r="G82" s="581" t="s">
        <v>1800</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1730</v>
      </c>
      <c r="C84" s="509" t="s">
        <v>1718</v>
      </c>
      <c r="D84" s="509" t="s">
        <v>1719</v>
      </c>
      <c r="E84" s="509" t="s">
        <v>1720</v>
      </c>
      <c r="F84" s="509" t="s">
        <v>1721</v>
      </c>
      <c r="G84" s="509" t="s">
        <v>1722</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1801</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1691</v>
      </c>
      <c r="B100" s="460" t="s">
        <v>1802</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1735</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1737</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1739</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1803</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1804</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1805</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1806</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1741</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309.42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463" t="s">
        <v>1772</v>
      </c>
      <c r="Q4" s="3464"/>
      <c r="R4" s="3467" t="s">
        <v>1768</v>
      </c>
      <c r="S4" s="3468"/>
      <c r="T4" s="3467" t="s">
        <v>1769</v>
      </c>
      <c r="U4" s="3468"/>
      <c r="V4" s="3469" t="s">
        <v>1770</v>
      </c>
      <c r="W4" s="3469"/>
      <c r="X4" s="1809"/>
      <c r="Y4" s="3467" t="s">
        <v>1772</v>
      </c>
      <c r="Z4" s="3468"/>
      <c r="AA4" s="3471" t="s">
        <v>1768</v>
      </c>
      <c r="AB4" s="3471" t="s">
        <v>1769</v>
      </c>
      <c r="AC4" s="3460" t="s">
        <v>1770</v>
      </c>
    </row>
    <row r="5" spans="1:29" ht="15">
      <c r="A5" s="348"/>
      <c r="B5" s="349"/>
      <c r="C5" s="3454" t="s">
        <v>1670</v>
      </c>
      <c r="D5" s="3397"/>
      <c r="E5" s="3455" t="s">
        <v>1671</v>
      </c>
      <c r="F5" s="3456"/>
      <c r="G5" s="3454" t="s">
        <v>1672</v>
      </c>
      <c r="H5" s="3397"/>
      <c r="I5" s="3454" t="s">
        <v>1673</v>
      </c>
      <c r="J5" s="3397"/>
      <c r="K5" s="537"/>
      <c r="L5" s="2486"/>
      <c r="M5" s="2487"/>
      <c r="N5" s="2487"/>
      <c r="O5" s="2487"/>
      <c r="P5" s="3465"/>
      <c r="Q5" s="3385"/>
      <c r="R5" s="3390"/>
      <c r="S5" s="3391"/>
      <c r="T5" s="3390"/>
      <c r="U5" s="3391"/>
      <c r="V5" s="3366"/>
      <c r="W5" s="3366"/>
      <c r="X5" s="1265"/>
      <c r="Y5" s="3390"/>
      <c r="Z5" s="3391"/>
      <c r="AA5" s="3376"/>
      <c r="AB5" s="3376"/>
      <c r="AC5" s="3461"/>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466"/>
      <c r="Q6" s="3387"/>
      <c r="R6" s="3390"/>
      <c r="S6" s="3391"/>
      <c r="T6" s="3392"/>
      <c r="U6" s="3393"/>
      <c r="V6" s="3366"/>
      <c r="W6" s="3366"/>
      <c r="X6" s="1265"/>
      <c r="Y6" s="3392"/>
      <c r="Z6" s="3393"/>
      <c r="AA6" s="3377"/>
      <c r="AB6" s="3377"/>
      <c r="AC6" s="3462"/>
    </row>
    <row r="7" spans="1:29" s="102" customFormat="1" ht="15.75" thickBot="1">
      <c r="A7" s="352" t="s">
        <v>1676</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70"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802" t="e">
        <f>D7/J7</f>
        <v>#DIV/0!</v>
      </c>
    </row>
    <row r="8" spans="1:29" s="102" customFormat="1" ht="15.7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70" t="s">
        <v>1680</v>
      </c>
      <c r="Q8" s="3399"/>
      <c r="R8" s="664" t="s">
        <v>14</v>
      </c>
      <c r="S8" s="665">
        <f t="shared" si="0"/>
        <v>100</v>
      </c>
      <c r="T8" s="664" t="s">
        <v>14</v>
      </c>
      <c r="U8" s="665">
        <f t="shared" si="1"/>
        <v>100</v>
      </c>
      <c r="V8" s="664" t="s">
        <v>14</v>
      </c>
      <c r="W8" s="665">
        <f t="shared" si="2"/>
        <v>100</v>
      </c>
      <c r="X8" s="666"/>
      <c r="Y8" s="3398" t="s">
        <v>1680</v>
      </c>
      <c r="Z8" s="3399"/>
      <c r="AA8" s="50">
        <f t="shared" ref="AA8:AA47" si="3">D8/F8</f>
        <v>1</v>
      </c>
      <c r="AB8" s="50">
        <f t="shared" ref="AB8:AB47" si="4">D8/H8</f>
        <v>1</v>
      </c>
      <c r="AC8" s="802">
        <f t="shared" ref="AC8:AC47" si="5">D8/J8</f>
        <v>1</v>
      </c>
    </row>
    <row r="9" spans="1:29" s="102" customFormat="1">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802">
        <f t="shared" si="5"/>
        <v>1</v>
      </c>
    </row>
    <row r="10" spans="1:29" s="366" customFormat="1" ht="27">
      <c r="A10" s="363"/>
      <c r="B10" s="364" t="s">
        <v>1685</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1687</v>
      </c>
      <c r="B15" s="554" t="s">
        <v>1808</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1" t="s">
        <v>1688</v>
      </c>
      <c r="Q15" s="1263" t="str">
        <f t="shared" si="6"/>
        <v>办公集聚程度</v>
      </c>
      <c r="R15" s="667" t="s">
        <v>14</v>
      </c>
      <c r="S15" s="668">
        <f t="shared" si="0"/>
        <v>100</v>
      </c>
      <c r="T15" s="667" t="s">
        <v>14</v>
      </c>
      <c r="U15" s="668">
        <f t="shared" si="1"/>
        <v>100</v>
      </c>
      <c r="V15" s="667" t="s">
        <v>14</v>
      </c>
      <c r="W15" s="668">
        <f t="shared" si="2"/>
        <v>100</v>
      </c>
      <c r="X15" s="1265"/>
      <c r="Y15" s="3370" t="s">
        <v>1688</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812">
        <v>1</v>
      </c>
    </row>
    <row r="17" spans="1:29" ht="71.25">
      <c r="A17" s="367"/>
      <c r="B17" s="556" t="s">
        <v>1256</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812">
        <v>1</v>
      </c>
    </row>
    <row r="19" spans="1:29" ht="42.75">
      <c r="A19" s="367"/>
      <c r="B19" s="556" t="s">
        <v>1809</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812">
        <v>1</v>
      </c>
    </row>
    <row r="21" spans="1:29" ht="28.5">
      <c r="A21" s="367"/>
      <c r="B21" s="557" t="s">
        <v>1810</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2"/>
      <c r="Q22" s="1263"/>
      <c r="R22" s="667"/>
      <c r="S22" s="668"/>
      <c r="T22" s="667"/>
      <c r="U22" s="668"/>
      <c r="V22" s="667"/>
      <c r="W22" s="668"/>
      <c r="X22" s="1265"/>
      <c r="Y22" s="3371"/>
      <c r="Z22" s="1264"/>
      <c r="AA22" s="1264">
        <v>1</v>
      </c>
      <c r="AB22" s="1264">
        <v>1</v>
      </c>
      <c r="AC22" s="1812">
        <v>1</v>
      </c>
    </row>
    <row r="23" spans="1:29" ht="42.75">
      <c r="A23" s="367"/>
      <c r="B23" s="556" t="s">
        <v>1811</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2"/>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812">
        <v>1</v>
      </c>
    </row>
    <row r="25" spans="1:29" ht="27">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2"/>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2"/>
      <c r="Q26" s="1263"/>
      <c r="R26" s="667"/>
      <c r="S26" s="668"/>
      <c r="T26" s="667"/>
      <c r="U26" s="668"/>
      <c r="V26" s="667"/>
      <c r="W26" s="668"/>
      <c r="X26" s="1265"/>
      <c r="Y26" s="3371"/>
      <c r="Z26" s="1264"/>
      <c r="AA26" s="1264">
        <v>1</v>
      </c>
      <c r="AB26" s="1264">
        <v>1</v>
      </c>
      <c r="AC26" s="1812">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2"/>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2"/>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2"/>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8" t="s">
        <v>1693</v>
      </c>
      <c r="Q33" s="1263" t="str">
        <f t="shared" si="11"/>
        <v>建筑类型</v>
      </c>
      <c r="R33" s="667" t="s">
        <v>14</v>
      </c>
      <c r="S33" s="668">
        <f t="shared" si="12"/>
        <v>100</v>
      </c>
      <c r="T33" s="667" t="s">
        <v>14</v>
      </c>
      <c r="U33" s="668">
        <f t="shared" si="13"/>
        <v>100</v>
      </c>
      <c r="V33" s="667" t="s">
        <v>14</v>
      </c>
      <c r="W33" s="668">
        <f t="shared" si="14"/>
        <v>100</v>
      </c>
      <c r="X33" s="1265"/>
      <c r="Y33" s="3373" t="s">
        <v>1693</v>
      </c>
      <c r="Z33" s="1264" t="str">
        <f t="shared" si="15"/>
        <v>建筑类型</v>
      </c>
      <c r="AA33" s="1264">
        <f t="shared" si="3"/>
        <v>1</v>
      </c>
      <c r="AB33" s="1264">
        <f t="shared" si="4"/>
        <v>1</v>
      </c>
      <c r="AC33" s="1812">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9"/>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9"/>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9"/>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9"/>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49"/>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9" t="s">
        <v>1693</v>
      </c>
      <c r="Q39" s="1263" t="str">
        <f t="shared" si="11"/>
        <v>物业管理</v>
      </c>
      <c r="R39" s="667" t="s">
        <v>14</v>
      </c>
      <c r="S39" s="668">
        <f t="shared" si="12"/>
        <v>100</v>
      </c>
      <c r="T39" s="667" t="s">
        <v>14</v>
      </c>
      <c r="U39" s="668">
        <f t="shared" si="13"/>
        <v>100</v>
      </c>
      <c r="V39" s="667" t="s">
        <v>14</v>
      </c>
      <c r="W39" s="668">
        <f t="shared" si="14"/>
        <v>100</v>
      </c>
      <c r="X39" s="1265"/>
      <c r="Y39" s="3373" t="s">
        <v>1693</v>
      </c>
      <c r="Z39" s="1264" t="str">
        <f t="shared" si="15"/>
        <v>物业管理</v>
      </c>
      <c r="AA39" s="1264">
        <f t="shared" si="3"/>
        <v>1</v>
      </c>
      <c r="AB39" s="1264">
        <f t="shared" si="4"/>
        <v>1</v>
      </c>
      <c r="AC39" s="1812">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9"/>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9"/>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9"/>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9"/>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9"/>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49"/>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9"/>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0"/>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1705</v>
      </c>
      <c r="B48" s="417"/>
      <c r="C48" s="1081" t="s">
        <v>0</v>
      </c>
      <c r="D48" s="418"/>
      <c r="E48" s="419"/>
      <c r="F48" s="420"/>
      <c r="G48" s="421"/>
      <c r="H48" s="422"/>
      <c r="I48" s="419"/>
      <c r="J48" s="422"/>
      <c r="K48" s="674"/>
      <c r="L48" s="2494"/>
      <c r="M48" s="2487"/>
      <c r="N48" s="2487"/>
      <c r="O48" s="2487"/>
      <c r="P48" s="3453" t="str">
        <f>A48</f>
        <v>成交单价（元/平方米）</v>
      </c>
      <c r="Q48" s="3365"/>
      <c r="R48" s="3366">
        <f>E48</f>
        <v>0</v>
      </c>
      <c r="S48" s="3366"/>
      <c r="T48" s="3366">
        <f>G48</f>
        <v>0</v>
      </c>
      <c r="U48" s="3366"/>
      <c r="V48" s="3366">
        <f>I48</f>
        <v>0</v>
      </c>
      <c r="W48" s="3366"/>
      <c r="X48" s="385"/>
      <c r="Y48" s="673"/>
      <c r="Z48" s="385"/>
      <c r="AA48" s="385"/>
      <c r="AB48" s="385"/>
      <c r="AC48" s="555"/>
    </row>
    <row r="49" spans="1:29" ht="15.75" thickBot="1">
      <c r="A49" s="423" t="s">
        <v>1790</v>
      </c>
      <c r="B49" s="424"/>
      <c r="C49" s="1082" t="e">
        <f>R50</f>
        <v>#DIV/0!</v>
      </c>
      <c r="D49" s="2141" t="s">
        <v>2133</v>
      </c>
      <c r="E49" s="1083" t="e">
        <f>R49</f>
        <v>#DIV/0!</v>
      </c>
      <c r="F49" s="2142"/>
      <c r="G49" s="1082" t="e">
        <f>T49</f>
        <v>#DIV/0!</v>
      </c>
      <c r="H49" s="2142"/>
      <c r="I49" s="1083" t="e">
        <f>V49</f>
        <v>#DIV/0!</v>
      </c>
      <c r="J49" s="2142"/>
      <c r="K49" s="2144">
        <f>F49+H49+J49</f>
        <v>0</v>
      </c>
      <c r="L49" s="2494"/>
      <c r="M49" s="2487"/>
      <c r="N49" s="2487"/>
      <c r="O49" s="2487"/>
      <c r="P49" s="3453"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4"/>
      <c r="M50" s="2487"/>
      <c r="N50" s="2487"/>
      <c r="O50" s="2487"/>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1795</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1676</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1713</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1678</v>
      </c>
      <c r="B62" s="444"/>
      <c r="C62" s="456" t="s">
        <v>1773</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1716</v>
      </c>
      <c r="B64" s="460" t="s">
        <v>1682</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1685</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1687</v>
      </c>
      <c r="B77" s="460" t="s">
        <v>1818</v>
      </c>
      <c r="C77" s="504" t="s">
        <v>1718</v>
      </c>
      <c r="D77" s="504" t="s">
        <v>1719</v>
      </c>
      <c r="E77" s="504" t="s">
        <v>1720</v>
      </c>
      <c r="F77" s="504" t="s">
        <v>1721</v>
      </c>
      <c r="G77" s="504" t="s">
        <v>1722</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1723</v>
      </c>
      <c r="C79" s="509" t="s">
        <v>1718</v>
      </c>
      <c r="D79" s="509" t="s">
        <v>1719</v>
      </c>
      <c r="E79" s="509" t="s">
        <v>1720</v>
      </c>
      <c r="F79" s="509" t="s">
        <v>1721</v>
      </c>
      <c r="G79" s="509" t="s">
        <v>1722</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1724</v>
      </c>
      <c r="C81" s="509" t="s">
        <v>1718</v>
      </c>
      <c r="D81" s="509" t="s">
        <v>1719</v>
      </c>
      <c r="E81" s="509" t="s">
        <v>1720</v>
      </c>
      <c r="F81" s="509" t="s">
        <v>1721</v>
      </c>
      <c r="G81" s="509" t="s">
        <v>1722</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1810</v>
      </c>
      <c r="C83" s="581" t="s">
        <v>1796</v>
      </c>
      <c r="D83" s="581" t="s">
        <v>1797</v>
      </c>
      <c r="E83" s="581" t="s">
        <v>1798</v>
      </c>
      <c r="F83" s="581" t="s">
        <v>1799</v>
      </c>
      <c r="G83" s="581" t="s">
        <v>1800</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1819</v>
      </c>
      <c r="C85" s="509" t="s">
        <v>1718</v>
      </c>
      <c r="D85" s="509" t="s">
        <v>1719</v>
      </c>
      <c r="E85" s="509" t="s">
        <v>1720</v>
      </c>
      <c r="F85" s="509" t="s">
        <v>1721</v>
      </c>
      <c r="G85" s="509" t="s">
        <v>1722</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1820</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1691</v>
      </c>
      <c r="B101" s="460" t="s">
        <v>1733</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1735</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1737</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1821</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1738</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1739</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1822</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1805</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1741</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3328</v>
      </c>
      <c r="C1" s="1141" t="s">
        <v>1659</v>
      </c>
      <c r="D1" s="1142"/>
      <c r="E1" s="3131"/>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565"/>
      <c r="B10" s="566" t="s">
        <v>1685</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1687</v>
      </c>
      <c r="B14" s="554" t="s">
        <v>1830</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1"/>
      <c r="Q15" s="1263"/>
      <c r="R15" s="667"/>
      <c r="S15" s="668"/>
      <c r="T15" s="667"/>
      <c r="U15" s="668"/>
      <c r="V15" s="667"/>
      <c r="W15" s="668"/>
      <c r="X15" s="1265"/>
      <c r="Y15" s="3371"/>
      <c r="Z15" s="1264"/>
      <c r="AA15" s="1264">
        <v>1</v>
      </c>
      <c r="AB15" s="1264">
        <v>1</v>
      </c>
      <c r="AC15" s="1264">
        <v>1</v>
      </c>
    </row>
    <row r="16" spans="1:29" ht="42.75">
      <c r="A16" s="348"/>
      <c r="B16" s="556" t="s">
        <v>1809</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1"/>
      <c r="Q17" s="1263"/>
      <c r="R17" s="667"/>
      <c r="S17" s="668"/>
      <c r="T17" s="667"/>
      <c r="U17" s="668"/>
      <c r="V17" s="667"/>
      <c r="W17" s="668"/>
      <c r="X17" s="1265"/>
      <c r="Y17" s="3371"/>
      <c r="Z17" s="1264"/>
      <c r="AA17" s="1264">
        <v>1</v>
      </c>
      <c r="AB17" s="1264">
        <v>1</v>
      </c>
      <c r="AC17" s="1264">
        <v>1</v>
      </c>
    </row>
    <row r="18" spans="1:29" ht="28.5">
      <c r="A18" s="348"/>
      <c r="B18" s="557" t="s">
        <v>1810</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1"/>
      <c r="Q19" s="1263"/>
      <c r="R19" s="667"/>
      <c r="S19" s="668"/>
      <c r="T19" s="667"/>
      <c r="U19" s="668"/>
      <c r="V19" s="667"/>
      <c r="W19" s="668"/>
      <c r="X19" s="1265"/>
      <c r="Y19" s="3371"/>
      <c r="Z19" s="1264"/>
      <c r="AA19" s="1264">
        <v>1</v>
      </c>
      <c r="AB19" s="1264">
        <v>1</v>
      </c>
      <c r="AC19" s="1264">
        <v>1</v>
      </c>
    </row>
    <row r="20" spans="1:29" ht="57">
      <c r="A20" s="348"/>
      <c r="B20" s="556" t="s">
        <v>1831</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1"/>
      <c r="Q21" s="1263"/>
      <c r="R21" s="667"/>
      <c r="S21" s="668"/>
      <c r="T21" s="667"/>
      <c r="U21" s="668"/>
      <c r="V21" s="667"/>
      <c r="W21" s="668"/>
      <c r="X21" s="1265"/>
      <c r="Y21" s="3371"/>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72"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1693</v>
      </c>
      <c r="Q32" s="1263" t="str">
        <f t="shared" si="11"/>
        <v>车位类型</v>
      </c>
      <c r="R32" s="667" t="s">
        <v>14</v>
      </c>
      <c r="S32" s="668">
        <f t="shared" si="12"/>
        <v>100</v>
      </c>
      <c r="T32" s="667" t="s">
        <v>14</v>
      </c>
      <c r="U32" s="668">
        <f t="shared" si="13"/>
        <v>100</v>
      </c>
      <c r="V32" s="667" t="s">
        <v>14</v>
      </c>
      <c r="W32" s="668">
        <f t="shared" si="14"/>
        <v>100</v>
      </c>
      <c r="X32" s="1265"/>
      <c r="Y32" s="3373"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1841</v>
      </c>
      <c r="B37" s="1821" t="s">
        <v>3349</v>
      </c>
      <c r="C37" s="1081" t="s">
        <v>0</v>
      </c>
      <c r="D37" s="418"/>
      <c r="E37" s="419"/>
      <c r="F37" s="420"/>
      <c r="G37" s="421"/>
      <c r="H37" s="422"/>
      <c r="I37" s="419"/>
      <c r="J37" s="422"/>
      <c r="K37" s="545"/>
      <c r="L37" s="2494"/>
      <c r="M37" s="2487"/>
      <c r="N37" s="2487"/>
      <c r="O37" s="2487"/>
      <c r="P37" s="3365" t="str">
        <f>A37</f>
        <v>成交单价</v>
      </c>
      <c r="Q37" s="3365"/>
      <c r="R37" s="3366">
        <f>E37</f>
        <v>0</v>
      </c>
      <c r="S37" s="3366"/>
      <c r="T37" s="3366">
        <f>G37</f>
        <v>0</v>
      </c>
      <c r="U37" s="3366"/>
      <c r="V37" s="3366">
        <f>I37</f>
        <v>0</v>
      </c>
      <c r="W37" s="3366"/>
      <c r="X37" s="385"/>
      <c r="Y37" s="673"/>
      <c r="Z37" s="385"/>
      <c r="AA37" s="385"/>
      <c r="AB37" s="385"/>
      <c r="AC37" s="385"/>
    </row>
    <row r="38" spans="1:29" ht="15.75" thickBot="1">
      <c r="A38" s="423" t="s">
        <v>1842</v>
      </c>
      <c r="B38" s="424" t="str">
        <f>B37</f>
        <v>元/平方米</v>
      </c>
      <c r="C38" s="1082" t="e">
        <f>R39</f>
        <v>#DIV/0!</v>
      </c>
      <c r="D38" s="2141" t="s">
        <v>2133</v>
      </c>
      <c r="E38" s="1083" t="e">
        <f>R38</f>
        <v>#DIV/0!</v>
      </c>
      <c r="F38" s="2142"/>
      <c r="G38" s="1082" t="e">
        <f>T38</f>
        <v>#DIV/0!</v>
      </c>
      <c r="H38" s="2142"/>
      <c r="I38" s="1083" t="e">
        <f>V38</f>
        <v>#DIV/0!</v>
      </c>
      <c r="J38" s="2142"/>
      <c r="K38" s="2144">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4"/>
      <c r="M39" s="2487"/>
      <c r="N39" s="2487"/>
      <c r="O39" s="2487"/>
      <c r="P39" s="3367" t="str">
        <f>A39</f>
        <v>估价对象XX用房的比较价值（楼面单价，元/平方米）</v>
      </c>
      <c r="Q39" s="3368"/>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1847</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1848</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1713</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1678</v>
      </c>
      <c r="B51" s="444"/>
      <c r="C51" s="456" t="s">
        <v>1773</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1716</v>
      </c>
      <c r="B53" s="460" t="s">
        <v>1682</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1685</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1724</v>
      </c>
      <c r="C65" s="509" t="s">
        <v>1718</v>
      </c>
      <c r="D65" s="509" t="s">
        <v>1719</v>
      </c>
      <c r="E65" s="509" t="s">
        <v>1720</v>
      </c>
      <c r="F65" s="509" t="s">
        <v>1721</v>
      </c>
      <c r="G65" s="509" t="s">
        <v>1722</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1810</v>
      </c>
      <c r="C67" s="581" t="s">
        <v>1796</v>
      </c>
      <c r="D67" s="581" t="s">
        <v>1797</v>
      </c>
      <c r="E67" s="581" t="s">
        <v>1798</v>
      </c>
      <c r="F67" s="581" t="s">
        <v>1799</v>
      </c>
      <c r="G67" s="581" t="s">
        <v>1800</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1730</v>
      </c>
      <c r="C69" s="509" t="s">
        <v>1718</v>
      </c>
      <c r="D69" s="509" t="s">
        <v>1719</v>
      </c>
      <c r="E69" s="509" t="s">
        <v>1720</v>
      </c>
      <c r="F69" s="509" t="s">
        <v>1721</v>
      </c>
      <c r="G69" s="509" t="s">
        <v>1722</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1849</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1691</v>
      </c>
      <c r="B79" s="460" t="s">
        <v>1850</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1851</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1737</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1853</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1855</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1856</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3329</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363"/>
      <c r="B10" s="364" t="s">
        <v>1685</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1687</v>
      </c>
      <c r="B14" s="58" t="s">
        <v>1830</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1"/>
      <c r="Q15" s="1263"/>
      <c r="R15" s="667"/>
      <c r="S15" s="668"/>
      <c r="T15" s="667"/>
      <c r="U15" s="668"/>
      <c r="V15" s="667"/>
      <c r="W15" s="668"/>
      <c r="X15" s="1265"/>
      <c r="Y15" s="3371"/>
      <c r="Z15" s="1264"/>
      <c r="AA15" s="1264">
        <v>1</v>
      </c>
      <c r="AB15" s="1264">
        <v>1</v>
      </c>
      <c r="AC15" s="1264">
        <v>1</v>
      </c>
    </row>
    <row r="16" spans="1:29" ht="42.75">
      <c r="A16" s="367"/>
      <c r="B16" s="390" t="s">
        <v>1809</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1"/>
      <c r="Q17" s="1263"/>
      <c r="R17" s="667"/>
      <c r="S17" s="668"/>
      <c r="T17" s="667"/>
      <c r="U17" s="668"/>
      <c r="V17" s="667"/>
      <c r="W17" s="668"/>
      <c r="X17" s="1265"/>
      <c r="Y17" s="3371"/>
      <c r="Z17" s="1264"/>
      <c r="AA17" s="1264">
        <v>1</v>
      </c>
      <c r="AB17" s="1264">
        <v>1</v>
      </c>
      <c r="AC17" s="1264">
        <v>1</v>
      </c>
    </row>
    <row r="18" spans="1:29" ht="28.5">
      <c r="A18" s="367"/>
      <c r="B18" s="586" t="s">
        <v>1810</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1"/>
      <c r="Q19" s="1263"/>
      <c r="R19" s="667"/>
      <c r="S19" s="668"/>
      <c r="T19" s="667"/>
      <c r="U19" s="668"/>
      <c r="V19" s="667"/>
      <c r="W19" s="668"/>
      <c r="X19" s="1265"/>
      <c r="Y19" s="3371"/>
      <c r="Z19" s="1264"/>
      <c r="AA19" s="1264">
        <v>1</v>
      </c>
      <c r="AB19" s="1264">
        <v>1</v>
      </c>
      <c r="AC19" s="1264">
        <v>1</v>
      </c>
    </row>
    <row r="20" spans="1:29" ht="57">
      <c r="A20" s="367"/>
      <c r="B20" s="390" t="s">
        <v>1831</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1"/>
      <c r="Q21" s="1263"/>
      <c r="R21" s="667"/>
      <c r="S21" s="668"/>
      <c r="T21" s="667"/>
      <c r="U21" s="668"/>
      <c r="V21" s="667"/>
      <c r="W21" s="668"/>
      <c r="X21" s="1265"/>
      <c r="Y21" s="3371"/>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72"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1693</v>
      </c>
      <c r="Q32" s="1263">
        <f t="shared" si="11"/>
        <v>111</v>
      </c>
      <c r="R32" s="667" t="s">
        <v>14</v>
      </c>
      <c r="S32" s="668">
        <f t="shared" si="12"/>
        <v>100</v>
      </c>
      <c r="T32" s="667" t="s">
        <v>14</v>
      </c>
      <c r="U32" s="668">
        <f t="shared" si="13"/>
        <v>100</v>
      </c>
      <c r="V32" s="667" t="s">
        <v>14</v>
      </c>
      <c r="W32" s="668">
        <f t="shared" si="14"/>
        <v>100</v>
      </c>
      <c r="X32" s="1265"/>
      <c r="Y32" s="3373"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4"/>
      <c r="M35" s="2487"/>
      <c r="N35" s="2487"/>
      <c r="O35" s="2487"/>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75" thickBot="1">
      <c r="A36" s="423" t="s">
        <v>1790</v>
      </c>
      <c r="B36" s="424"/>
      <c r="C36" s="1082" t="e">
        <f>R37</f>
        <v>#DIV/0!</v>
      </c>
      <c r="D36" s="2141" t="s">
        <v>2133</v>
      </c>
      <c r="E36" s="1083" t="e">
        <f>R36</f>
        <v>#DIV/0!</v>
      </c>
      <c r="F36" s="2142"/>
      <c r="G36" s="1082" t="e">
        <f>T36</f>
        <v>#DIV/0!</v>
      </c>
      <c r="H36" s="2142"/>
      <c r="I36" s="1083" t="e">
        <f>V36</f>
        <v>#DIV/0!</v>
      </c>
      <c r="J36" s="2142"/>
      <c r="K36" s="2144">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4"/>
      <c r="M37" s="2487"/>
      <c r="N37" s="2487"/>
      <c r="O37" s="2487"/>
      <c r="P37" s="3367" t="str">
        <f>A37</f>
        <v>估价对象XX用房的比较价值（楼面单价，元/平方米）</v>
      </c>
      <c r="Q37" s="3368"/>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1795</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1676</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1713</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1678</v>
      </c>
      <c r="B49" s="444"/>
      <c r="C49" s="456" t="s">
        <v>1773</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1716</v>
      </c>
      <c r="B51" s="460" t="s">
        <v>1682</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1685</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1860</v>
      </c>
      <c r="C63" s="509" t="s">
        <v>1718</v>
      </c>
      <c r="D63" s="509" t="s">
        <v>1719</v>
      </c>
      <c r="E63" s="509" t="s">
        <v>1720</v>
      </c>
      <c r="F63" s="509" t="s">
        <v>1721</v>
      </c>
      <c r="G63" s="509" t="s">
        <v>1722</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1810</v>
      </c>
      <c r="C65" s="581" t="s">
        <v>1796</v>
      </c>
      <c r="D65" s="581" t="s">
        <v>1797</v>
      </c>
      <c r="E65" s="581" t="s">
        <v>1798</v>
      </c>
      <c r="F65" s="581" t="s">
        <v>1799</v>
      </c>
      <c r="G65" s="581" t="s">
        <v>1800</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1730</v>
      </c>
      <c r="C67" s="509" t="s">
        <v>1718</v>
      </c>
      <c r="D67" s="509" t="s">
        <v>1719</v>
      </c>
      <c r="E67" s="509" t="s">
        <v>1720</v>
      </c>
      <c r="F67" s="509" t="s">
        <v>1721</v>
      </c>
      <c r="G67" s="509" t="s">
        <v>1722</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1849</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1691</v>
      </c>
      <c r="B77" s="460" t="s">
        <v>1737</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1853</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1861</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1863</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5"/>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0" t="s">
        <v>1688</v>
      </c>
      <c r="Q15" s="1263" t="str">
        <f t="shared" si="6"/>
        <v>居住社区成熟度</v>
      </c>
      <c r="R15" s="667" t="s">
        <v>14</v>
      </c>
      <c r="S15" s="668">
        <f t="shared" si="0"/>
        <v>100</v>
      </c>
      <c r="T15" s="667" t="s">
        <v>14</v>
      </c>
      <c r="U15" s="668">
        <f t="shared" si="1"/>
        <v>100</v>
      </c>
      <c r="V15" s="667" t="s">
        <v>14</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71.25">
      <c r="A17" s="367"/>
      <c r="B17" s="390" t="s">
        <v>1774</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71.25">
      <c r="A19" s="367"/>
      <c r="B19" s="390" t="s">
        <v>1808</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1"/>
      <c r="Q20" s="1263"/>
      <c r="R20" s="667"/>
      <c r="S20" s="668"/>
      <c r="T20" s="667"/>
      <c r="U20" s="668"/>
      <c r="V20" s="667"/>
      <c r="W20" s="668"/>
      <c r="X20" s="1265"/>
      <c r="Y20" s="3371"/>
      <c r="Z20" s="1264"/>
      <c r="AA20" s="1264">
        <v>1</v>
      </c>
      <c r="AB20" s="1264">
        <v>1</v>
      </c>
      <c r="AC20" s="1264">
        <v>1</v>
      </c>
    </row>
    <row r="21" spans="1:29" ht="85.5">
      <c r="A21" s="367"/>
      <c r="B21" s="390" t="s">
        <v>1830</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1"/>
      <c r="Q24" s="1263"/>
      <c r="R24" s="667"/>
      <c r="S24" s="668"/>
      <c r="T24" s="667"/>
      <c r="U24" s="668"/>
      <c r="V24" s="667"/>
      <c r="W24" s="668"/>
      <c r="X24" s="1265"/>
      <c r="Y24" s="3371"/>
      <c r="Z24" s="1264"/>
      <c r="AA24" s="1264"/>
      <c r="AB24" s="1264"/>
      <c r="AC24" s="1264"/>
    </row>
    <row r="25" spans="1:29" ht="57">
      <c r="A25" s="348"/>
      <c r="B25" s="586" t="s">
        <v>1869</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1"/>
      <c r="Q26" s="1263"/>
      <c r="R26" s="667"/>
      <c r="S26" s="668"/>
      <c r="T26" s="667"/>
      <c r="U26" s="668"/>
      <c r="V26" s="667"/>
      <c r="W26" s="668"/>
      <c r="X26" s="1265"/>
      <c r="Y26" s="3371"/>
      <c r="Z26" s="1264"/>
      <c r="AA26" s="1264">
        <v>1</v>
      </c>
      <c r="AB26" s="1264">
        <v>1</v>
      </c>
      <c r="AC26" s="1264">
        <v>1</v>
      </c>
    </row>
    <row r="27" spans="1:29" s="102" customFormat="1" ht="42.75">
      <c r="A27" s="443"/>
      <c r="B27" s="586" t="s">
        <v>1775</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1"/>
      <c r="Q28" s="530"/>
      <c r="R28" s="664"/>
      <c r="S28" s="665"/>
      <c r="T28" s="664"/>
      <c r="U28" s="665"/>
      <c r="V28" s="664"/>
      <c r="W28" s="665"/>
      <c r="X28" s="666"/>
      <c r="Y28" s="3371"/>
      <c r="Z28" s="50"/>
      <c r="AA28" s="1264">
        <v>1</v>
      </c>
      <c r="AB28" s="1264">
        <v>1</v>
      </c>
      <c r="AC28" s="1264">
        <v>1</v>
      </c>
    </row>
    <row r="29" spans="1:29" s="102" customFormat="1" ht="28.5">
      <c r="A29" s="443"/>
      <c r="B29" s="586" t="s">
        <v>1776</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1"/>
      <c r="Q30" s="530"/>
      <c r="R30" s="664"/>
      <c r="S30" s="665"/>
      <c r="T30" s="664"/>
      <c r="U30" s="665"/>
      <c r="V30" s="664"/>
      <c r="W30" s="665"/>
      <c r="X30" s="666"/>
      <c r="Y30" s="3371"/>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1"/>
      <c r="Q33" s="1263"/>
      <c r="R33" s="667"/>
      <c r="S33" s="668"/>
      <c r="T33" s="667"/>
      <c r="U33" s="668"/>
      <c r="V33" s="667"/>
      <c r="W33" s="668"/>
      <c r="X33" s="1265"/>
      <c r="Y33" s="3371"/>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72" t="s">
        <v>1693</v>
      </c>
      <c r="Q36" s="1263">
        <f t="shared" si="8"/>
        <v>111</v>
      </c>
      <c r="R36" s="667" t="s">
        <v>14</v>
      </c>
      <c r="S36" s="668">
        <f t="shared" si="10"/>
        <v>100</v>
      </c>
      <c r="T36" s="667" t="s">
        <v>14</v>
      </c>
      <c r="U36" s="668">
        <f t="shared" si="11"/>
        <v>100</v>
      </c>
      <c r="V36" s="667" t="s">
        <v>14</v>
      </c>
      <c r="W36" s="668">
        <f t="shared" si="12"/>
        <v>100</v>
      </c>
      <c r="X36" s="1265"/>
      <c r="Y36" s="3373"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3" t="s">
        <v>1693</v>
      </c>
      <c r="Q42" s="1263" t="str">
        <f t="shared" si="14"/>
        <v>工程地质条件</v>
      </c>
      <c r="R42" s="667" t="s">
        <v>14</v>
      </c>
      <c r="S42" s="668">
        <f t="shared" si="10"/>
        <v>100</v>
      </c>
      <c r="T42" s="667" t="s">
        <v>14</v>
      </c>
      <c r="U42" s="668">
        <f t="shared" si="11"/>
        <v>100</v>
      </c>
      <c r="V42" s="667" t="s">
        <v>14</v>
      </c>
      <c r="W42" s="668">
        <f t="shared" si="12"/>
        <v>100</v>
      </c>
      <c r="X42" s="1265"/>
      <c r="Y42" s="3373"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4"/>
      <c r="M46" s="2487"/>
      <c r="N46" s="2487"/>
      <c r="O46" s="2487"/>
      <c r="P46" s="3365" t="str">
        <f>A46</f>
        <v>成交单价</v>
      </c>
      <c r="Q46" s="3365"/>
      <c r="R46" s="3366">
        <f>E46</f>
        <v>0</v>
      </c>
      <c r="S46" s="3366"/>
      <c r="T46" s="3366">
        <f>G46</f>
        <v>0</v>
      </c>
      <c r="U46" s="3366"/>
      <c r="V46" s="3366">
        <f>I46</f>
        <v>0</v>
      </c>
      <c r="W46" s="3366"/>
      <c r="X46" s="385"/>
      <c r="Y46" s="673"/>
      <c r="Z46" s="385"/>
      <c r="AA46" s="385"/>
      <c r="AB46" s="385"/>
      <c r="AC46" s="385"/>
    </row>
    <row r="47" spans="1:29" ht="15.75" thickBot="1">
      <c r="A47" s="423" t="s">
        <v>1790</v>
      </c>
      <c r="B47" s="603"/>
      <c r="C47" s="426" t="e">
        <f>R48</f>
        <v>#DIV/0!</v>
      </c>
      <c r="D47" s="2141" t="s">
        <v>2133</v>
      </c>
      <c r="E47" s="426" t="e">
        <f>R47</f>
        <v>#DIV/0!</v>
      </c>
      <c r="F47" s="2142"/>
      <c r="G47" s="425" t="e">
        <f>T47</f>
        <v>#DIV/0!</v>
      </c>
      <c r="H47" s="2142"/>
      <c r="I47" s="426" t="e">
        <f>V47</f>
        <v>#DIV/0!</v>
      </c>
      <c r="J47" s="2142"/>
      <c r="K47" s="2144">
        <f>F47+H47+J47</f>
        <v>0</v>
      </c>
      <c r="L47" s="2494"/>
      <c r="M47" s="2487"/>
      <c r="N47" s="2487"/>
      <c r="O47" s="2487"/>
      <c r="P47" s="3365" t="str">
        <f>A47</f>
        <v>比较价值（元/平方米）</v>
      </c>
      <c r="Q47" s="3365"/>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4"/>
      <c r="M48" s="2487"/>
      <c r="N48" s="2487"/>
      <c r="O48" s="2487"/>
      <c r="P48" s="3367" t="str">
        <f>A48</f>
        <v>估价对象XX用房的比较价值（楼面单价，元/平方米）</v>
      </c>
      <c r="Q48" s="3368"/>
      <c r="R48" s="3474" t="e">
        <f>ROUND(IF(D47="简单平均",AVERAGE(R47:W47),R47*F47+T47*H47+V47*J47),0)</f>
        <v>#DIV/0!</v>
      </c>
      <c r="S48" s="3474"/>
      <c r="T48" s="3474"/>
      <c r="U48" s="3474"/>
      <c r="V48" s="3474"/>
      <c r="W48" s="347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1878</v>
      </c>
      <c r="B55" s="605" t="s">
        <v>1879</v>
      </c>
      <c r="C55" s="1831" t="s">
        <v>1880</v>
      </c>
      <c r="D55" s="1832" t="s">
        <v>1881</v>
      </c>
      <c r="E55" s="606" t="s">
        <v>1882</v>
      </c>
      <c r="F55" s="837" t="s">
        <v>1883</v>
      </c>
      <c r="G55" s="3378" t="s">
        <v>1884</v>
      </c>
      <c r="H55" s="3475"/>
      <c r="I55" s="127" t="s">
        <v>1885</v>
      </c>
      <c r="J55" s="1833">
        <f>项目基本情况!F35</f>
        <v>0</v>
      </c>
      <c r="K55" s="1834" t="s">
        <v>1886</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1887</v>
      </c>
      <c r="B56" s="609" t="e">
        <f>C48</f>
        <v>#DIV/0!</v>
      </c>
      <c r="C56" s="610">
        <v>1</v>
      </c>
      <c r="D56" s="890">
        <v>1</v>
      </c>
      <c r="E56" s="610">
        <f>'数据-汇总表'!E8+'数据-汇总表'!E9</f>
        <v>309.42</v>
      </c>
      <c r="F56" s="833" t="e">
        <f t="shared" ref="F56:F64" si="15">ROUND(B56*E56/10000,0)</f>
        <v>#DIV/0!</v>
      </c>
      <c r="G56" s="3453"/>
      <c r="H56" s="336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1888</v>
      </c>
      <c r="B57" s="210" t="e">
        <f>ROUND($C$48*C57*D57,0)</f>
        <v>#DIV/0!</v>
      </c>
      <c r="C57" s="163">
        <f t="shared" ref="C57:C64" si="16">IF($C$55="北京市系数",I57,J57)</f>
        <v>0</v>
      </c>
      <c r="D57" s="891">
        <v>0.25</v>
      </c>
      <c r="E57" s="614"/>
      <c r="F57" s="833" t="e">
        <f t="shared" si="15"/>
        <v>#DIV/0!</v>
      </c>
      <c r="G57" s="2750" t="s">
        <v>1889</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1890</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1891</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1900</v>
      </c>
      <c r="B65" s="616" t="s">
        <v>22</v>
      </c>
      <c r="C65" s="616" t="s">
        <v>23</v>
      </c>
      <c r="D65" s="616" t="s">
        <v>392</v>
      </c>
      <c r="E65" s="616">
        <f>IF(B46="楼面地价",SUM(E56:E64),'数据-汇总表'!D3)</f>
        <v>309.42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1795</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1901</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1713</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1678</v>
      </c>
      <c r="B72" s="444"/>
      <c r="C72" s="456" t="s">
        <v>1773</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1716</v>
      </c>
      <c r="B74" s="460" t="s">
        <v>1682</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1685</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1687</v>
      </c>
      <c r="B87" s="460" t="s">
        <v>1717</v>
      </c>
      <c r="C87" s="504" t="s">
        <v>1718</v>
      </c>
      <c r="D87" s="504" t="s">
        <v>1719</v>
      </c>
      <c r="E87" s="504" t="s">
        <v>1720</v>
      </c>
      <c r="F87" s="504" t="s">
        <v>1721</v>
      </c>
      <c r="G87" s="504" t="s">
        <v>1722</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1903</v>
      </c>
      <c r="C89" s="509" t="s">
        <v>1718</v>
      </c>
      <c r="D89" s="509" t="s">
        <v>1719</v>
      </c>
      <c r="E89" s="509" t="s">
        <v>1720</v>
      </c>
      <c r="F89" s="509" t="s">
        <v>1721</v>
      </c>
      <c r="G89" s="509" t="s">
        <v>1722</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1818</v>
      </c>
      <c r="C91" s="509" t="s">
        <v>1718</v>
      </c>
      <c r="D91" s="509" t="s">
        <v>1719</v>
      </c>
      <c r="E91" s="509" t="s">
        <v>1720</v>
      </c>
      <c r="F91" s="509" t="s">
        <v>1721</v>
      </c>
      <c r="G91" s="509" t="s">
        <v>1722</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1723</v>
      </c>
      <c r="C93" s="509" t="s">
        <v>1718</v>
      </c>
      <c r="D93" s="509" t="s">
        <v>1719</v>
      </c>
      <c r="E93" s="509" t="s">
        <v>1720</v>
      </c>
      <c r="F93" s="509" t="s">
        <v>1721</v>
      </c>
      <c r="G93" s="509" t="s">
        <v>1722</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1812</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1870</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1911</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1912</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1913</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1914</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476" t="s">
        <v>1916</v>
      </c>
      <c r="D6" s="3477"/>
      <c r="E6" s="3478" t="s">
        <v>1916</v>
      </c>
      <c r="F6" s="3479"/>
      <c r="G6" s="3476" t="s">
        <v>1916</v>
      </c>
      <c r="H6" s="3477"/>
      <c r="I6" s="3476" t="s">
        <v>1916</v>
      </c>
      <c r="J6" s="3477"/>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0" t="s">
        <v>1688</v>
      </c>
      <c r="Q15" s="1263" t="str">
        <f t="shared" si="6"/>
        <v>产业集聚程度</v>
      </c>
      <c r="R15" s="667" t="s">
        <v>14</v>
      </c>
      <c r="S15" s="668">
        <f t="shared" si="0"/>
        <v>100</v>
      </c>
      <c r="T15" s="667" t="s">
        <v>14</v>
      </c>
      <c r="U15" s="668">
        <f t="shared" si="1"/>
        <v>100</v>
      </c>
      <c r="V15" s="667" t="s">
        <v>14</v>
      </c>
      <c r="W15" s="668">
        <f t="shared" si="2"/>
        <v>100</v>
      </c>
      <c r="X15" s="1265"/>
      <c r="Y15" s="3370"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85.5">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1"/>
      <c r="Q20" s="1263"/>
      <c r="R20" s="667"/>
      <c r="S20" s="668"/>
      <c r="T20" s="667"/>
      <c r="U20" s="668"/>
      <c r="V20" s="667"/>
      <c r="W20" s="668"/>
      <c r="X20" s="1265"/>
      <c r="Y20" s="3371"/>
      <c r="Z20" s="1264"/>
      <c r="AA20" s="1264"/>
      <c r="AB20" s="1264"/>
      <c r="AC20" s="1264"/>
    </row>
    <row r="21" spans="1:29" ht="71.25">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s="102" customFormat="1" ht="42.75">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1"/>
      <c r="Q24" s="530"/>
      <c r="R24" s="664"/>
      <c r="S24" s="665"/>
      <c r="T24" s="664"/>
      <c r="U24" s="665"/>
      <c r="V24" s="664"/>
      <c r="W24" s="665"/>
      <c r="X24" s="666"/>
      <c r="Y24" s="3371"/>
      <c r="Z24" s="50"/>
      <c r="AA24" s="50">
        <v>1</v>
      </c>
      <c r="AB24" s="50">
        <v>1</v>
      </c>
      <c r="AC24" s="50">
        <v>1</v>
      </c>
    </row>
    <row r="25" spans="1:29" s="102" customFormat="1" ht="28.5">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1"/>
      <c r="Q26" s="530"/>
      <c r="R26" s="664"/>
      <c r="S26" s="665"/>
      <c r="T26" s="664"/>
      <c r="U26" s="665"/>
      <c r="V26" s="664"/>
      <c r="W26" s="665"/>
      <c r="X26" s="666"/>
      <c r="Y26" s="3371"/>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1"/>
      <c r="Q29" s="1263"/>
      <c r="R29" s="667"/>
      <c r="S29" s="668"/>
      <c r="T29" s="667"/>
      <c r="U29" s="668"/>
      <c r="V29" s="667"/>
      <c r="W29" s="668"/>
      <c r="X29" s="1265"/>
      <c r="Y29" s="3371"/>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72" t="s">
        <v>1693</v>
      </c>
      <c r="Q32" s="1263">
        <f t="shared" si="8"/>
        <v>111</v>
      </c>
      <c r="R32" s="667" t="s">
        <v>14</v>
      </c>
      <c r="S32" s="668">
        <f t="shared" si="10"/>
        <v>100</v>
      </c>
      <c r="T32" s="667" t="s">
        <v>14</v>
      </c>
      <c r="U32" s="668">
        <f t="shared" si="11"/>
        <v>100</v>
      </c>
      <c r="V32" s="667" t="s">
        <v>14</v>
      </c>
      <c r="W32" s="668">
        <f t="shared" si="12"/>
        <v>100</v>
      </c>
      <c r="X32" s="1265"/>
      <c r="Y32" s="3373"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3" t="s">
        <v>1693</v>
      </c>
      <c r="Q37" s="1263" t="str">
        <f t="shared" si="14"/>
        <v>工程地质条件</v>
      </c>
      <c r="R37" s="667" t="s">
        <v>14</v>
      </c>
      <c r="S37" s="668">
        <f t="shared" si="10"/>
        <v>100</v>
      </c>
      <c r="T37" s="667" t="s">
        <v>14</v>
      </c>
      <c r="U37" s="668">
        <f t="shared" si="11"/>
        <v>100</v>
      </c>
      <c r="V37" s="667" t="s">
        <v>14</v>
      </c>
      <c r="W37" s="668">
        <f t="shared" si="12"/>
        <v>100</v>
      </c>
      <c r="X37" s="1265"/>
      <c r="Y37" s="3373"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4"/>
      <c r="M41" s="2487"/>
      <c r="N41" s="2487"/>
      <c r="O41" s="2487"/>
      <c r="P41" s="3365" t="str">
        <f>A41</f>
        <v>成交单价</v>
      </c>
      <c r="Q41" s="3365"/>
      <c r="R41" s="3366">
        <f>E41</f>
        <v>0</v>
      </c>
      <c r="S41" s="3366"/>
      <c r="T41" s="3366">
        <f>G41</f>
        <v>0</v>
      </c>
      <c r="U41" s="3366"/>
      <c r="V41" s="3366">
        <f>I41</f>
        <v>0</v>
      </c>
      <c r="W41" s="3366"/>
      <c r="X41" s="385"/>
      <c r="Y41" s="673"/>
      <c r="Z41" s="385"/>
      <c r="AA41" s="385"/>
      <c r="AB41" s="385"/>
      <c r="AC41" s="385"/>
    </row>
    <row r="42" spans="1:31" ht="15.75" thickBot="1">
      <c r="A42" s="423" t="s">
        <v>1790</v>
      </c>
      <c r="B42" s="603"/>
      <c r="C42" s="426" t="e">
        <f>R43</f>
        <v>#DIV/0!</v>
      </c>
      <c r="D42" s="2141" t="s">
        <v>2133</v>
      </c>
      <c r="E42" s="426" t="e">
        <f>R42</f>
        <v>#DIV/0!</v>
      </c>
      <c r="F42" s="2142"/>
      <c r="G42" s="425" t="e">
        <f>T42</f>
        <v>#DIV/0!</v>
      </c>
      <c r="H42" s="2142"/>
      <c r="I42" s="426" t="e">
        <f>V42</f>
        <v>#DIV/0!</v>
      </c>
      <c r="J42" s="2142"/>
      <c r="K42" s="2144">
        <f>F42+H42+J42</f>
        <v>0</v>
      </c>
      <c r="L42" s="2494"/>
      <c r="M42" s="2487"/>
      <c r="N42" s="2487"/>
      <c r="O42" s="2487"/>
      <c r="P42" s="3365" t="str">
        <f>A42</f>
        <v>比较价值（元/平方米）</v>
      </c>
      <c r="Q42" s="3365"/>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4"/>
      <c r="M43" s="2487"/>
      <c r="N43" s="2487"/>
      <c r="O43" s="2487"/>
      <c r="P43" s="3367" t="str">
        <f>A43</f>
        <v>估价对象XX用房的比较价值（楼面单价，元/平方米）</v>
      </c>
      <c r="Q43" s="3368"/>
      <c r="R43" s="3474" t="e">
        <f>ROUND(IF(D42="简单平均",AVERAGE(R42:W42),R42*F42+T42*H42+V42*J42),0)</f>
        <v>#DIV/0!</v>
      </c>
      <c r="S43" s="3474"/>
      <c r="T43" s="3474"/>
      <c r="U43" s="3474"/>
      <c r="V43" s="3474"/>
      <c r="W43" s="347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1878</v>
      </c>
      <c r="B50" s="605" t="s">
        <v>1879</v>
      </c>
      <c r="C50" s="1831" t="s">
        <v>1880</v>
      </c>
      <c r="D50" s="1832" t="s">
        <v>1881</v>
      </c>
      <c r="E50" s="606" t="s">
        <v>1882</v>
      </c>
      <c r="F50" s="607" t="s">
        <v>1883</v>
      </c>
      <c r="G50" s="3378" t="s">
        <v>1884</v>
      </c>
      <c r="H50" s="3475"/>
      <c r="I50" s="1264" t="s">
        <v>1920</v>
      </c>
      <c r="J50" s="1264">
        <f>项目基本情况!F35</f>
        <v>0</v>
      </c>
      <c r="K50" s="1834" t="s">
        <v>1886</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1887</v>
      </c>
      <c r="B51" s="609" t="e">
        <f>C43</f>
        <v>#DIV/0!</v>
      </c>
      <c r="C51" s="610">
        <v>1</v>
      </c>
      <c r="D51" s="890">
        <v>1</v>
      </c>
      <c r="E51" s="610">
        <f>'数据-汇总表'!E8+'数据-汇总表'!E9</f>
        <v>309.42</v>
      </c>
      <c r="F51" s="611" t="e">
        <f t="shared" ref="F51:F60" si="15">ROUND(B51*E51/10000,0)</f>
        <v>#DIV/0!</v>
      </c>
      <c r="G51" s="3453"/>
      <c r="H51" s="336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1888</v>
      </c>
      <c r="B52" s="210" t="e">
        <f>ROUND($C$43*C52*D52,0)</f>
        <v>#DIV/0!</v>
      </c>
      <c r="C52" s="163">
        <f t="shared" ref="C52:C60" si="16">IF($C$50="北京市系数",I52,J52)</f>
        <v>0</v>
      </c>
      <c r="D52" s="891">
        <v>0.25</v>
      </c>
      <c r="E52" s="614"/>
      <c r="F52" s="611" t="e">
        <f t="shared" si="15"/>
        <v>#DIV/0!</v>
      </c>
      <c r="G52" s="2750" t="s">
        <v>1889</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1890</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1891</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1795</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1901</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1713</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1678</v>
      </c>
      <c r="B68" s="444"/>
      <c r="C68" s="456" t="s">
        <v>1773</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1716</v>
      </c>
      <c r="B70" s="460" t="s">
        <v>1682</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1685</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1687</v>
      </c>
      <c r="B83" s="460" t="s">
        <v>1826</v>
      </c>
      <c r="C83" s="504" t="s">
        <v>1718</v>
      </c>
      <c r="D83" s="504" t="s">
        <v>1719</v>
      </c>
      <c r="E83" s="504" t="s">
        <v>1720</v>
      </c>
      <c r="F83" s="504" t="s">
        <v>1721</v>
      </c>
      <c r="G83" s="504" t="s">
        <v>1722</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1723</v>
      </c>
      <c r="C85" s="509" t="s">
        <v>1718</v>
      </c>
      <c r="D85" s="509" t="s">
        <v>1719</v>
      </c>
      <c r="E85" s="509" t="s">
        <v>1720</v>
      </c>
      <c r="F85" s="509" t="s">
        <v>1721</v>
      </c>
      <c r="G85" s="509" t="s">
        <v>1722</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1812</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1870</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1911</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1913</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1914</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7" sqref="U27"/>
    </sheetView>
  </sheetViews>
  <sheetFormatPr defaultColWidth="9" defaultRowHeight="12.75"/>
  <cols>
    <col min="1" max="1" width="11.5" style="122" customWidth="1"/>
    <col min="2" max="2" width="9.25" style="24" customWidth="1"/>
    <col min="3" max="3" width="10.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83" t="s">
        <v>2081</v>
      </c>
      <c r="D1" s="3484"/>
      <c r="E1" s="3484"/>
      <c r="F1" s="3484"/>
      <c r="G1" s="3484"/>
      <c r="H1" s="3484"/>
      <c r="I1" s="3484"/>
      <c r="J1" s="3484"/>
      <c r="K1" s="3484"/>
      <c r="L1" s="3484"/>
      <c r="M1" s="3484"/>
      <c r="N1" s="3484"/>
      <c r="O1" s="3484"/>
      <c r="P1" s="3484"/>
      <c r="Q1" s="3484"/>
      <c r="R1" s="3484"/>
      <c r="S1" s="3485"/>
      <c r="T1" s="929" t="s">
        <v>2082</v>
      </c>
    </row>
    <row r="2" spans="1:45" s="625" customFormat="1" ht="38.25">
      <c r="A2" s="930"/>
      <c r="B2" s="622" t="s">
        <v>2083</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'比较法-工业'!C92</f>
        <v>100</v>
      </c>
      <c r="D4" s="935">
        <f>'比较法-工业'!D92</f>
        <v>99</v>
      </c>
      <c r="E4" s="935">
        <f>'比较法-工业'!E92</f>
        <v>98</v>
      </c>
      <c r="F4" s="935">
        <f>'比较法-工业'!F92</f>
        <v>97</v>
      </c>
      <c r="G4" s="935">
        <f>'比较法-工业'!G92</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3473</v>
      </c>
      <c r="C5" s="940" t="str">
        <f>'比较法-工业'!C108</f>
        <v>超高层高</v>
      </c>
      <c r="D5" s="940" t="str">
        <f>'比较法-工业'!D108</f>
        <v>标准层高</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5" thickBot="1">
      <c r="A20" s="632" t="s">
        <v>2092</v>
      </c>
      <c r="B20" s="286">
        <f ca="1">IF(D20="——",S22,S22-F20)</f>
        <v>1790</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75">
      <c r="A21" s="632" t="s">
        <v>2094</v>
      </c>
      <c r="B21" s="286">
        <f ca="1">ROUND(B20*10000/B22,0)</f>
        <v>14302</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1251.5800000000002</v>
      </c>
      <c r="C22" s="3480" t="s">
        <v>27</v>
      </c>
      <c r="D22" s="3481"/>
      <c r="E22" s="3481"/>
      <c r="F22" s="3481"/>
      <c r="G22" s="3481"/>
      <c r="H22" s="3481"/>
      <c r="I22" s="3481"/>
      <c r="J22" s="3481"/>
      <c r="K22" s="3481"/>
      <c r="L22" s="3481"/>
      <c r="M22" s="3481"/>
      <c r="N22" s="3481"/>
      <c r="O22" s="3481"/>
      <c r="P22" s="3481"/>
      <c r="Q22" s="3482"/>
      <c r="R22" s="21">
        <f ca="1">ROUND(S22*10000/B22,0)</f>
        <v>14302</v>
      </c>
      <c r="S22" s="21">
        <f ca="1">SUM(S24:S10000)</f>
        <v>1790</v>
      </c>
      <c r="T22" s="684">
        <v>1350</v>
      </c>
    </row>
    <row r="23" spans="1:45" s="9" customFormat="1" ht="24">
      <c r="A23" s="8" t="s">
        <v>2096</v>
      </c>
      <c r="B23" s="8" t="s">
        <v>2097</v>
      </c>
      <c r="C23" s="8" t="s">
        <v>2098</v>
      </c>
      <c r="D23" s="8" t="str">
        <f>B5</f>
        <v>层高</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'数据-汇总表'!F19</f>
        <v>309.42</v>
      </c>
      <c r="C24" s="2570">
        <v>1</v>
      </c>
      <c r="D24" s="2571" t="s">
        <v>3456</v>
      </c>
      <c r="E24" s="2570">
        <v>1</v>
      </c>
      <c r="F24" s="2571"/>
      <c r="G24" s="2570">
        <v>1</v>
      </c>
      <c r="H24" s="2571"/>
      <c r="I24" s="2570">
        <v>1</v>
      </c>
      <c r="J24" s="2571"/>
      <c r="K24" s="2570">
        <v>1</v>
      </c>
      <c r="L24" s="2571"/>
      <c r="M24" s="2570">
        <v>1</v>
      </c>
      <c r="N24" s="2571"/>
      <c r="O24" s="2570">
        <v>1</v>
      </c>
      <c r="P24" s="2571"/>
      <c r="Q24" s="2570">
        <v>1</v>
      </c>
      <c r="R24" s="633">
        <f ca="1">结果表!G20</f>
        <v>8527</v>
      </c>
      <c r="S24" s="634">
        <f t="shared" ref="S24:S54" ca="1" si="11">ROUND(R24*B24/10000,0)</f>
        <v>264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201</v>
      </c>
      <c r="B25" s="52">
        <v>309.42</v>
      </c>
      <c r="C25" s="21">
        <f>IF(B25="",1,(LOOKUP(B25,$3:$3,$4:$4)-LOOKUP($B$24,$3:$3,$4:$4)+100)/100)</f>
        <v>1</v>
      </c>
      <c r="D25" s="635" t="s">
        <v>3457</v>
      </c>
      <c r="E25" s="21">
        <f>(SUMIF($5:$5,D25,$6:$6)-SUMIF($5:$5,$D$24,$6:$6)+100)/100</f>
        <v>1.9</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16201</v>
      </c>
      <c r="S25" s="308">
        <f t="shared" ca="1" si="11"/>
        <v>501</v>
      </c>
      <c r="T25" s="684">
        <v>8842</v>
      </c>
    </row>
    <row r="26" spans="1:45">
      <c r="A26" s="142">
        <v>202</v>
      </c>
      <c r="B26" s="52">
        <v>320.33</v>
      </c>
      <c r="C26" s="21">
        <f t="shared" ref="C26:C89" si="12">IF(B26="",1,(LOOKUP(B26,$3:$3,$4:$4)-LOOKUP($B$24,$3:$3,$4:$4)+100)/100)</f>
        <v>1</v>
      </c>
      <c r="D26" s="635" t="s">
        <v>3457</v>
      </c>
      <c r="E26" s="21">
        <f t="shared" ref="E26:E89" si="13">(SUMIF($5:$5,D26,$6:$6)-SUMIF($5:$5,$D$24,$6:$6)+100)/100</f>
        <v>1.9</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16201</v>
      </c>
      <c r="S26" s="308">
        <f t="shared" ca="1" si="11"/>
        <v>519</v>
      </c>
    </row>
    <row r="27" spans="1:45">
      <c r="A27" s="142">
        <v>203</v>
      </c>
      <c r="B27" s="52">
        <v>312.41000000000003</v>
      </c>
      <c r="C27" s="21">
        <f t="shared" si="12"/>
        <v>1</v>
      </c>
      <c r="D27" s="635" t="s">
        <v>3457</v>
      </c>
      <c r="E27" s="21">
        <f t="shared" si="13"/>
        <v>1.9</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16201</v>
      </c>
      <c r="S27" s="308">
        <f t="shared" ca="1" si="11"/>
        <v>506</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905</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914</v>
      </c>
      <c r="C4" s="3184"/>
      <c r="D4" s="3184"/>
      <c r="E4" s="1391"/>
    </row>
    <row r="5" spans="1:5" ht="16.5" thickTop="1">
      <c r="B5" s="3182" t="s">
        <v>906</v>
      </c>
      <c r="C5" s="1392" t="s">
        <v>907</v>
      </c>
      <c r="D5" s="797">
        <f ca="1">结果表!H101</f>
        <v>264</v>
      </c>
    </row>
    <row r="6" spans="1:5" ht="15.75">
      <c r="B6" s="3182"/>
      <c r="C6" s="1392" t="s">
        <v>908</v>
      </c>
      <c r="D6" s="797" t="str">
        <f ca="1">NUMBERSTRING(INT(D5*10000),2)&amp;"元整"</f>
        <v>贰佰陆拾肆万元整</v>
      </c>
    </row>
    <row r="7" spans="1:5" ht="15.75">
      <c r="B7" s="3187"/>
      <c r="C7" s="1393" t="s">
        <v>909</v>
      </c>
      <c r="D7" s="798">
        <f ca="1">结果表!H102</f>
        <v>8527</v>
      </c>
    </row>
    <row r="8" spans="1:5" ht="15.75">
      <c r="B8" s="3188" t="str">
        <f>结果表!E103</f>
        <v>2.估价师知悉的法定优先受偿款</v>
      </c>
      <c r="C8" s="1394" t="s">
        <v>910</v>
      </c>
      <c r="D8" s="798">
        <f>结果表!H103</f>
        <v>0</v>
      </c>
    </row>
    <row r="9" spans="1:5" ht="15.75">
      <c r="B9" s="3190"/>
      <c r="C9" s="1392" t="s">
        <v>908</v>
      </c>
      <c r="D9" s="797" t="str">
        <f>NUMBERSTRING(INT(D8*10000),2)&amp;"元整"</f>
        <v>零元整</v>
      </c>
    </row>
    <row r="10" spans="1:5" ht="15">
      <c r="B10" s="1395" t="s">
        <v>913</v>
      </c>
      <c r="C10" s="1396" t="s">
        <v>911</v>
      </c>
      <c r="D10" s="799">
        <f>结果表!H104</f>
        <v>0</v>
      </c>
    </row>
    <row r="11" spans="1:5" ht="15">
      <c r="B11" s="1395" t="s">
        <v>915</v>
      </c>
      <c r="C11" s="1396" t="s">
        <v>916</v>
      </c>
      <c r="D11" s="799">
        <f>结果表!H105</f>
        <v>0</v>
      </c>
    </row>
    <row r="12" spans="1:5" ht="15">
      <c r="B12" s="1395" t="s">
        <v>917</v>
      </c>
      <c r="C12" s="1396" t="s">
        <v>916</v>
      </c>
      <c r="D12" s="799">
        <f>结果表!H106</f>
        <v>0</v>
      </c>
    </row>
    <row r="13" spans="1:5" ht="15.75">
      <c r="B13" s="3181" t="str">
        <f>结果表!E107</f>
        <v>3.房地产抵押价值</v>
      </c>
      <c r="C13" s="1397" t="s">
        <v>907</v>
      </c>
      <c r="D13" s="800">
        <f ca="1">结果表!H107</f>
        <v>264</v>
      </c>
    </row>
    <row r="14" spans="1:5" ht="15.75">
      <c r="B14" s="3182"/>
      <c r="C14" s="1392" t="s">
        <v>908</v>
      </c>
      <c r="D14" s="797" t="str">
        <f ca="1">NUMBERSTRING(INT(D13*10000),2)&amp;"元整"</f>
        <v>贰佰陆拾肆万元整</v>
      </c>
    </row>
    <row r="15" spans="1:5" ht="15">
      <c r="B15" s="3187"/>
      <c r="C15" s="1393" t="s">
        <v>918</v>
      </c>
      <c r="D15" s="806">
        <f ca="1">结果表!H108</f>
        <v>8527</v>
      </c>
    </row>
    <row r="16" spans="1:5" ht="15">
      <c r="B16" s="3188" t="str">
        <f>结果表!E109</f>
        <v>——</v>
      </c>
      <c r="C16" s="1397" t="s">
        <v>919</v>
      </c>
      <c r="D16" s="1398" t="str">
        <f>结果表!H109</f>
        <v>——</v>
      </c>
    </row>
    <row r="17" spans="1:5" ht="15.75">
      <c r="B17" s="3189"/>
      <c r="C17" s="1392" t="s">
        <v>920</v>
      </c>
      <c r="D17" s="797" t="e">
        <f>NUMBERSTRING(INT(D16*10000),2)&amp;"元整"</f>
        <v>#VALUE!</v>
      </c>
    </row>
    <row r="18" spans="1:5" ht="15">
      <c r="B18" s="3190"/>
      <c r="C18" s="1393" t="s">
        <v>909</v>
      </c>
      <c r="D18" s="806" t="str">
        <f>结果表!H110</f>
        <v>——</v>
      </c>
    </row>
    <row r="19" spans="1:5" ht="15.75">
      <c r="B19" s="3181" t="str">
        <f>结果表!E111</f>
        <v>——</v>
      </c>
      <c r="C19" s="1397" t="s">
        <v>907</v>
      </c>
      <c r="D19" s="798" t="str">
        <f>结果表!H111</f>
        <v>——</v>
      </c>
    </row>
    <row r="20" spans="1:5" ht="15.75">
      <c r="B20" s="3182"/>
      <c r="C20" s="1392" t="s">
        <v>920</v>
      </c>
      <c r="D20" s="797" t="e">
        <f>NUMBERSTRING(INT(D19*10000),2)&amp;"元整"</f>
        <v>#VALUE!</v>
      </c>
    </row>
    <row r="21" spans="1:5" ht="15.75" thickBot="1">
      <c r="B21" s="3183"/>
      <c r="C21" s="1399" t="s">
        <v>918</v>
      </c>
      <c r="D21" s="807" t="str">
        <f>结果表!H112</f>
        <v>——</v>
      </c>
    </row>
    <row r="22" spans="1:5" ht="15" thickTop="1">
      <c r="B22" s="1400" t="s">
        <v>921</v>
      </c>
    </row>
    <row r="24" spans="1:5" ht="18.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4"/>
      <c r="G1" s="2544"/>
      <c r="H1" s="2544"/>
      <c r="I1" s="2544"/>
      <c r="J1" s="2544"/>
      <c r="K1" s="2544"/>
      <c r="L1" s="2544"/>
      <c r="M1" s="2544"/>
      <c r="N1" s="2544"/>
      <c r="O1" s="2544"/>
      <c r="P1" s="2544"/>
    </row>
    <row r="2" spans="1:16" ht="15.75">
      <c r="A2" s="1984" t="s">
        <v>2070</v>
      </c>
      <c r="B2" s="2388">
        <f ca="1">SUMIF(B6:B13,"&lt;&gt;#ref!",B6:B13)</f>
        <v>22</v>
      </c>
      <c r="C2" s="1984" t="s">
        <v>2071</v>
      </c>
      <c r="D2" s="1984" t="s">
        <v>2072</v>
      </c>
      <c r="E2" s="2398">
        <f ca="1">SUMIF(E6:E13,"&lt;&gt;#ref!",E6:E13)</f>
        <v>309.42</v>
      </c>
      <c r="F2" s="2544"/>
      <c r="G2" s="2544"/>
      <c r="H2" s="2544"/>
      <c r="I2" s="2544"/>
      <c r="J2" s="2544"/>
      <c r="K2" s="2544"/>
      <c r="L2" s="2544"/>
      <c r="M2" s="2544"/>
      <c r="N2" s="2544"/>
      <c r="O2" s="2544"/>
      <c r="P2" s="2544"/>
    </row>
    <row r="3" spans="1:16" ht="15.75">
      <c r="A3" s="1984" t="s">
        <v>2073</v>
      </c>
      <c r="B3" s="2388">
        <f ca="1">ROUND(B2*10000/E2,0)</f>
        <v>711</v>
      </c>
      <c r="C3" s="1984" t="s">
        <v>2079</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2074</v>
      </c>
      <c r="B5" s="2396" t="s">
        <v>2075</v>
      </c>
      <c r="C5" s="1985"/>
      <c r="D5" s="2544"/>
      <c r="E5" s="2397" t="s">
        <v>2076</v>
      </c>
      <c r="F5" s="2544"/>
      <c r="G5" s="2544"/>
      <c r="H5" s="2544"/>
      <c r="I5" s="2544"/>
      <c r="J5" s="2544"/>
      <c r="K5" s="2544"/>
      <c r="L5" s="2544"/>
      <c r="M5" s="2544"/>
      <c r="N5" s="2544"/>
      <c r="O5" s="2544"/>
      <c r="P5" s="2544"/>
    </row>
    <row r="6" spans="1:16" ht="15.75">
      <c r="A6" s="2395" t="s">
        <v>2077</v>
      </c>
      <c r="B6" s="2388">
        <f ca="1">SUMIF(INDIRECT("'"&amp;A6&amp;"'"&amp;"!A:A"),"总价",INDIRECT("'"&amp;A6&amp;"'"&amp;"!B:B"))</f>
        <v>22</v>
      </c>
      <c r="C6" s="1984" t="s">
        <v>2071</v>
      </c>
      <c r="D6" s="2544"/>
      <c r="E6" s="2398">
        <f ca="1">SUMIF(INDIRECT("'"&amp;A6&amp;"'"&amp;"!C:C"),"建筑面积",INDIRECT("'"&amp;A6&amp;"'"&amp;"!D:D"))</f>
        <v>309.42</v>
      </c>
      <c r="F6" s="2544"/>
      <c r="G6" s="2544"/>
      <c r="H6" s="2544"/>
      <c r="I6" s="2544"/>
      <c r="J6" s="2544"/>
      <c r="K6" s="2544"/>
      <c r="L6" s="2544"/>
      <c r="M6" s="2544"/>
      <c r="N6" s="2544"/>
      <c r="O6" s="2544"/>
      <c r="P6" s="2544"/>
    </row>
    <row r="7" spans="1:16" ht="15.75">
      <c r="A7" s="2395"/>
      <c r="B7" s="2388" t="e">
        <f ca="1">SUMIF(INDIRECT("'"&amp;A7&amp;"'"&amp;"!A:A"),"总价",INDIRECT("'"&amp;A7&amp;"'"&amp;"!B:B"))</f>
        <v>#REF!</v>
      </c>
      <c r="C7" s="1984" t="s">
        <v>2071</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2071</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2071</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2071</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2071</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2071</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2071</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5" t="s">
        <v>2602</v>
      </c>
      <c r="B20" s="3490" t="s">
        <v>2623</v>
      </c>
      <c r="C20" s="2842" t="s">
        <v>2434</v>
      </c>
      <c r="D20" s="2843"/>
      <c r="E20" s="2844">
        <v>1</v>
      </c>
      <c r="F20" s="2845" t="s">
        <v>2435</v>
      </c>
      <c r="G20" s="2845"/>
    </row>
    <row r="21" spans="1:13" ht="19.5" customHeight="1">
      <c r="A21" s="3496"/>
      <c r="B21" s="3489"/>
      <c r="C21" s="2846" t="s">
        <v>2436</v>
      </c>
      <c r="D21" s="2847"/>
      <c r="E21" s="2848">
        <v>1</v>
      </c>
      <c r="F21" s="2845" t="s">
        <v>2437</v>
      </c>
      <c r="G21" s="2845"/>
    </row>
    <row r="22" spans="1:13" ht="19.5" customHeight="1">
      <c r="A22" s="3496"/>
      <c r="B22" s="3489"/>
      <c r="C22" s="2846" t="s">
        <v>2438</v>
      </c>
      <c r="D22" s="2847"/>
      <c r="E22" s="2848">
        <v>0.9</v>
      </c>
      <c r="F22" s="2845" t="s">
        <v>2439</v>
      </c>
      <c r="G22" s="2845"/>
    </row>
    <row r="23" spans="1:13" ht="19.5" customHeight="1">
      <c r="A23" s="3496"/>
      <c r="B23" s="3489"/>
      <c r="C23" s="2846" t="s">
        <v>2440</v>
      </c>
      <c r="D23" s="2847"/>
      <c r="E23" s="2848">
        <v>0.9</v>
      </c>
      <c r="F23" s="2845" t="s">
        <v>2441</v>
      </c>
      <c r="G23" s="2845"/>
    </row>
    <row r="24" spans="1:13" ht="19.5" customHeight="1">
      <c r="A24" s="3496"/>
      <c r="B24" s="3489"/>
      <c r="C24" s="2846" t="s">
        <v>2442</v>
      </c>
      <c r="D24" s="2847"/>
      <c r="E24" s="2848">
        <v>0.8</v>
      </c>
      <c r="F24" s="2845" t="s">
        <v>2443</v>
      </c>
      <c r="G24" s="2845"/>
    </row>
    <row r="25" spans="1:13" ht="19.5" customHeight="1" thickBot="1">
      <c r="A25" s="3497"/>
      <c r="B25" s="349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2" t="s">
        <v>2626</v>
      </c>
      <c r="B27" s="3490" t="s">
        <v>2607</v>
      </c>
      <c r="C27" s="2842" t="s">
        <v>2447</v>
      </c>
      <c r="D27" s="2843"/>
      <c r="E27" s="2844">
        <v>1</v>
      </c>
      <c r="F27" s="2845" t="s">
        <v>2448</v>
      </c>
      <c r="G27" s="2845"/>
    </row>
    <row r="28" spans="1:13" ht="19.5" customHeight="1">
      <c r="A28" s="3493"/>
      <c r="B28" s="3489"/>
      <c r="C28" s="2846" t="s">
        <v>2449</v>
      </c>
      <c r="D28" s="2847"/>
      <c r="E28" s="2848">
        <v>1</v>
      </c>
      <c r="F28" s="2845" t="s">
        <v>2450</v>
      </c>
      <c r="G28" s="2845"/>
    </row>
    <row r="29" spans="1:13" ht="19.5" customHeight="1">
      <c r="A29" s="3493"/>
      <c r="B29" s="3489"/>
      <c r="C29" s="2846" t="s">
        <v>2451</v>
      </c>
      <c r="D29" s="2847"/>
      <c r="E29" s="2848">
        <v>0.8</v>
      </c>
      <c r="F29" s="2845" t="s">
        <v>2452</v>
      </c>
      <c r="G29" s="2845"/>
    </row>
    <row r="30" spans="1:13" ht="19.5" customHeight="1">
      <c r="A30" s="3493"/>
      <c r="B30" s="3489"/>
      <c r="C30" s="2846" t="s">
        <v>2453</v>
      </c>
      <c r="D30" s="2847"/>
      <c r="E30" s="2848">
        <v>0.8</v>
      </c>
      <c r="F30" s="2845" t="s">
        <v>2454</v>
      </c>
      <c r="G30" s="2845"/>
    </row>
    <row r="31" spans="1:13" ht="19.5" customHeight="1">
      <c r="A31" s="3493"/>
      <c r="B31" s="3489"/>
      <c r="C31" s="2846" t="s">
        <v>2455</v>
      </c>
      <c r="D31" s="2847"/>
      <c r="E31" s="2848">
        <v>0.8</v>
      </c>
      <c r="F31" s="2845" t="s">
        <v>2456</v>
      </c>
      <c r="G31" s="2845"/>
    </row>
    <row r="32" spans="1:13" ht="19.5" customHeight="1">
      <c r="A32" s="3493"/>
      <c r="B32" s="3489"/>
      <c r="C32" s="2846" t="s">
        <v>2457</v>
      </c>
      <c r="D32" s="2847"/>
      <c r="E32" s="2848">
        <v>0.7</v>
      </c>
      <c r="F32" s="2845" t="s">
        <v>2458</v>
      </c>
      <c r="G32" s="2845"/>
    </row>
    <row r="33" spans="1:7" ht="19.5" customHeight="1">
      <c r="A33" s="3493"/>
      <c r="B33" s="3489"/>
      <c r="C33" s="2846" t="s">
        <v>2459</v>
      </c>
      <c r="D33" s="2847"/>
      <c r="E33" s="2848">
        <v>0.8</v>
      </c>
      <c r="F33" s="2845" t="s">
        <v>2460</v>
      </c>
      <c r="G33" s="2845"/>
    </row>
    <row r="34" spans="1:7" ht="19.5" customHeight="1">
      <c r="A34" s="3493"/>
      <c r="B34" s="3489"/>
      <c r="C34" s="2846" t="s">
        <v>2461</v>
      </c>
      <c r="D34" s="2847"/>
      <c r="E34" s="2848">
        <v>0.6</v>
      </c>
      <c r="F34" s="2845" t="s">
        <v>2462</v>
      </c>
      <c r="G34" s="2845"/>
    </row>
    <row r="35" spans="1:7" ht="19.5" customHeight="1">
      <c r="A35" s="3493"/>
      <c r="B35" s="3489"/>
      <c r="C35" s="2846" t="s">
        <v>2463</v>
      </c>
      <c r="D35" s="2847"/>
      <c r="E35" s="2848">
        <v>0.2</v>
      </c>
      <c r="F35" s="2845" t="s">
        <v>2464</v>
      </c>
      <c r="G35" s="2845"/>
    </row>
    <row r="36" spans="1:7" ht="19.5" customHeight="1">
      <c r="A36" s="3493"/>
      <c r="B36" s="3489"/>
      <c r="C36" s="2846" t="s">
        <v>2465</v>
      </c>
      <c r="D36" s="2847"/>
      <c r="E36" s="2848">
        <v>0.2</v>
      </c>
      <c r="F36" s="2845" t="s">
        <v>2466</v>
      </c>
      <c r="G36" s="2845"/>
    </row>
    <row r="37" spans="1:7" ht="19.5" customHeight="1">
      <c r="A37" s="3493"/>
      <c r="B37" s="3487" t="s">
        <v>2627</v>
      </c>
      <c r="C37" s="2846" t="s">
        <v>2467</v>
      </c>
      <c r="D37" s="2847"/>
      <c r="E37" s="2848">
        <v>0.6</v>
      </c>
      <c r="F37" s="2845" t="s">
        <v>2468</v>
      </c>
      <c r="G37" s="2845"/>
    </row>
    <row r="38" spans="1:7" ht="19.5" customHeight="1">
      <c r="A38" s="3493"/>
      <c r="B38" s="3489"/>
      <c r="C38" s="2846" t="s">
        <v>2469</v>
      </c>
      <c r="D38" s="2847"/>
      <c r="E38" s="2848">
        <v>0.6</v>
      </c>
      <c r="F38" s="2845" t="s">
        <v>2470</v>
      </c>
      <c r="G38" s="2845"/>
    </row>
    <row r="39" spans="1:7" ht="19.5" customHeight="1" thickBot="1">
      <c r="A39" s="3494"/>
      <c r="B39" s="349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5" t="s">
        <v>2605</v>
      </c>
      <c r="B41" s="3490" t="s">
        <v>2629</v>
      </c>
      <c r="C41" s="2842" t="s">
        <v>2474</v>
      </c>
      <c r="D41" s="2843"/>
      <c r="E41" s="2844">
        <v>1</v>
      </c>
      <c r="F41" s="2845" t="s">
        <v>2475</v>
      </c>
      <c r="G41" s="2845"/>
    </row>
    <row r="42" spans="1:7" ht="19.5" customHeight="1">
      <c r="A42" s="3496"/>
      <c r="B42" s="3489"/>
      <c r="C42" s="2846" t="s">
        <v>2476</v>
      </c>
      <c r="D42" s="2847"/>
      <c r="E42" s="2848">
        <v>1</v>
      </c>
      <c r="F42" s="2845" t="s">
        <v>2477</v>
      </c>
      <c r="G42" s="2845"/>
    </row>
    <row r="43" spans="1:7" ht="19.5" customHeight="1">
      <c r="A43" s="3496"/>
      <c r="B43" s="3488"/>
      <c r="C43" s="2846" t="s">
        <v>2478</v>
      </c>
      <c r="D43" s="2847"/>
      <c r="E43" s="2848">
        <v>1.5</v>
      </c>
      <c r="F43" s="2845" t="s">
        <v>2479</v>
      </c>
      <c r="G43" s="2845"/>
    </row>
    <row r="44" spans="1:7" ht="19.5" customHeight="1">
      <c r="A44" s="3496"/>
      <c r="B44" s="2857" t="s">
        <v>2630</v>
      </c>
      <c r="C44" s="2846" t="s">
        <v>2631</v>
      </c>
      <c r="D44" s="2847"/>
      <c r="E44" s="2848">
        <v>2</v>
      </c>
      <c r="F44" s="2845" t="s">
        <v>2480</v>
      </c>
      <c r="G44" s="2845"/>
    </row>
    <row r="45" spans="1:7" ht="19.5" customHeight="1">
      <c r="A45" s="3496"/>
      <c r="B45" s="3487" t="s">
        <v>2632</v>
      </c>
      <c r="C45" s="2846" t="s">
        <v>2481</v>
      </c>
      <c r="D45" s="2847"/>
      <c r="E45" s="2848">
        <v>1</v>
      </c>
      <c r="F45" s="2845" t="s">
        <v>2482</v>
      </c>
      <c r="G45" s="2845"/>
    </row>
    <row r="46" spans="1:7" ht="19.5" customHeight="1">
      <c r="A46" s="3496"/>
      <c r="B46" s="3489"/>
      <c r="C46" s="2846" t="s">
        <v>2483</v>
      </c>
      <c r="D46" s="2847"/>
      <c r="E46" s="2848">
        <v>1</v>
      </c>
      <c r="F46" s="2845" t="s">
        <v>2484</v>
      </c>
      <c r="G46" s="2845"/>
    </row>
    <row r="47" spans="1:7" ht="19.5" customHeight="1">
      <c r="A47" s="3496"/>
      <c r="B47" s="3489"/>
      <c r="C47" s="2846" t="s">
        <v>2485</v>
      </c>
      <c r="D47" s="2847"/>
      <c r="E47" s="2848">
        <v>1</v>
      </c>
      <c r="F47" s="2845" t="s">
        <v>2486</v>
      </c>
      <c r="G47" s="2845"/>
    </row>
    <row r="48" spans="1:7" ht="19.5" customHeight="1">
      <c r="A48" s="3496"/>
      <c r="B48" s="3489"/>
      <c r="C48" s="2846" t="s">
        <v>2487</v>
      </c>
      <c r="D48" s="2847"/>
      <c r="E48" s="2848">
        <v>1</v>
      </c>
      <c r="F48" s="2845" t="s">
        <v>2488</v>
      </c>
      <c r="G48" s="2845"/>
    </row>
    <row r="49" spans="1:7" ht="19.5" customHeight="1">
      <c r="A49" s="3496"/>
      <c r="B49" s="3489"/>
      <c r="C49" s="2846" t="s">
        <v>2489</v>
      </c>
      <c r="D49" s="2847"/>
      <c r="E49" s="2848">
        <v>1</v>
      </c>
      <c r="F49" s="2845" t="s">
        <v>2490</v>
      </c>
      <c r="G49" s="2845"/>
    </row>
    <row r="50" spans="1:7" ht="19.5" customHeight="1">
      <c r="A50" s="3496"/>
      <c r="B50" s="3489"/>
      <c r="C50" s="2846" t="s">
        <v>2491</v>
      </c>
      <c r="D50" s="2847"/>
      <c r="E50" s="2848">
        <v>1</v>
      </c>
      <c r="F50" s="2845" t="s">
        <v>2492</v>
      </c>
      <c r="G50" s="2845"/>
    </row>
    <row r="51" spans="1:7" ht="19.5" customHeight="1" thickBot="1">
      <c r="A51" s="3497"/>
      <c r="B51" s="349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7" t="s">
        <v>2646</v>
      </c>
      <c r="C73" s="2831" t="s">
        <v>2647</v>
      </c>
      <c r="D73" s="2831" t="s">
        <v>2648</v>
      </c>
      <c r="E73" s="2857">
        <v>0.2</v>
      </c>
      <c r="F73" s="2857">
        <v>25</v>
      </c>
    </row>
    <row r="74" spans="1:7" ht="24">
      <c r="A74" s="2857">
        <v>2</v>
      </c>
      <c r="B74" s="3489"/>
      <c r="C74" s="2831" t="s">
        <v>2649</v>
      </c>
      <c r="D74" s="2831" t="s">
        <v>2650</v>
      </c>
      <c r="E74" s="2857">
        <v>0.2</v>
      </c>
      <c r="F74" s="2857">
        <v>25</v>
      </c>
    </row>
    <row r="75" spans="1:7" ht="24">
      <c r="A75" s="2857">
        <v>3</v>
      </c>
      <c r="B75" s="3489"/>
      <c r="C75" s="2831" t="s">
        <v>2651</v>
      </c>
      <c r="D75" s="2831" t="s">
        <v>2652</v>
      </c>
      <c r="E75" s="2857">
        <v>0.2</v>
      </c>
      <c r="F75" s="2857">
        <v>25</v>
      </c>
    </row>
    <row r="76" spans="1:7" ht="13.5">
      <c r="A76" s="2857">
        <v>4</v>
      </c>
      <c r="B76" s="3489"/>
      <c r="C76" s="2831" t="s">
        <v>2653</v>
      </c>
      <c r="D76" s="2831" t="s">
        <v>2654</v>
      </c>
      <c r="E76" s="2857">
        <v>0.15</v>
      </c>
      <c r="F76" s="2857">
        <v>20</v>
      </c>
    </row>
    <row r="77" spans="1:7" ht="24">
      <c r="A77" s="2857">
        <v>5</v>
      </c>
      <c r="B77" s="3489"/>
      <c r="C77" s="2831" t="s">
        <v>2655</v>
      </c>
      <c r="D77" s="2831" t="s">
        <v>2656</v>
      </c>
      <c r="E77" s="2857">
        <v>0.15</v>
      </c>
      <c r="F77" s="2857">
        <v>20</v>
      </c>
    </row>
    <row r="78" spans="1:7" ht="24">
      <c r="A78" s="2857">
        <v>6</v>
      </c>
      <c r="B78" s="3489"/>
      <c r="C78" s="2831" t="s">
        <v>2657</v>
      </c>
      <c r="D78" s="2831" t="s">
        <v>2658</v>
      </c>
      <c r="E78" s="2857">
        <v>0.15</v>
      </c>
      <c r="F78" s="2857">
        <v>20</v>
      </c>
    </row>
    <row r="79" spans="1:7" ht="24">
      <c r="A79" s="2857">
        <v>7</v>
      </c>
      <c r="B79" s="3489"/>
      <c r="C79" s="2831" t="s">
        <v>2659</v>
      </c>
      <c r="D79" s="2831" t="s">
        <v>2660</v>
      </c>
      <c r="E79" s="2857">
        <v>0.15</v>
      </c>
      <c r="F79" s="2857">
        <v>20</v>
      </c>
    </row>
    <row r="80" spans="1:7" ht="24">
      <c r="A80" s="2857">
        <v>8</v>
      </c>
      <c r="B80" s="3489"/>
      <c r="C80" s="2831" t="s">
        <v>2661</v>
      </c>
      <c r="D80" s="2831" t="s">
        <v>2662</v>
      </c>
      <c r="E80" s="2857">
        <v>0.1</v>
      </c>
      <c r="F80" s="2857">
        <v>15</v>
      </c>
    </row>
    <row r="81" spans="1:6" ht="24">
      <c r="A81" s="2857">
        <v>9</v>
      </c>
      <c r="B81" s="3489"/>
      <c r="C81" s="2831" t="s">
        <v>2663</v>
      </c>
      <c r="D81" s="2831" t="s">
        <v>2664</v>
      </c>
      <c r="E81" s="2857">
        <v>0.1</v>
      </c>
      <c r="F81" s="2857">
        <v>15</v>
      </c>
    </row>
    <row r="82" spans="1:6" ht="24">
      <c r="A82" s="2857">
        <v>10</v>
      </c>
      <c r="B82" s="3489"/>
      <c r="C82" s="2831" t="s">
        <v>2665</v>
      </c>
      <c r="D82" s="2831" t="s">
        <v>2666</v>
      </c>
      <c r="E82" s="2857">
        <v>0.1</v>
      </c>
      <c r="F82" s="2857">
        <v>15</v>
      </c>
    </row>
    <row r="83" spans="1:6" ht="24">
      <c r="A83" s="2857">
        <v>11</v>
      </c>
      <c r="B83" s="3489"/>
      <c r="C83" s="2831" t="s">
        <v>2667</v>
      </c>
      <c r="D83" s="2831" t="s">
        <v>2668</v>
      </c>
      <c r="E83" s="2857">
        <v>0.1</v>
      </c>
      <c r="F83" s="2857">
        <v>15</v>
      </c>
    </row>
    <row r="84" spans="1:6" ht="24">
      <c r="A84" s="2857">
        <v>12</v>
      </c>
      <c r="B84" s="3489"/>
      <c r="C84" s="2831" t="s">
        <v>2669</v>
      </c>
      <c r="D84" s="2831" t="s">
        <v>2670</v>
      </c>
      <c r="E84" s="2857">
        <v>0.1</v>
      </c>
      <c r="F84" s="2857">
        <v>15</v>
      </c>
    </row>
    <row r="85" spans="1:6" ht="13.5">
      <c r="A85" s="2857">
        <v>13</v>
      </c>
      <c r="B85" s="3489"/>
      <c r="C85" s="2831" t="s">
        <v>2671</v>
      </c>
      <c r="D85" s="2831" t="s">
        <v>2672</v>
      </c>
      <c r="E85" s="2857">
        <v>0.1</v>
      </c>
      <c r="F85" s="2857">
        <v>15</v>
      </c>
    </row>
    <row r="86" spans="1:6" ht="13.5">
      <c r="A86" s="2857">
        <v>14</v>
      </c>
      <c r="B86" s="3489"/>
      <c r="C86" s="2831" t="s">
        <v>2673</v>
      </c>
      <c r="D86" s="2831" t="s">
        <v>2674</v>
      </c>
      <c r="E86" s="2857">
        <v>0.1</v>
      </c>
      <c r="F86" s="2857">
        <v>15</v>
      </c>
    </row>
    <row r="87" spans="1:6" ht="13.5">
      <c r="A87" s="2857">
        <v>15</v>
      </c>
      <c r="B87" s="3489"/>
      <c r="C87" s="2831" t="s">
        <v>2675</v>
      </c>
      <c r="D87" s="2831" t="s">
        <v>2676</v>
      </c>
      <c r="E87" s="2857">
        <v>0.1</v>
      </c>
      <c r="F87" s="2857">
        <v>15</v>
      </c>
    </row>
    <row r="88" spans="1:6" ht="24">
      <c r="A88" s="2857">
        <v>16</v>
      </c>
      <c r="B88" s="3489"/>
      <c r="C88" s="2831" t="s">
        <v>2677</v>
      </c>
      <c r="D88" s="2831" t="s">
        <v>2678</v>
      </c>
      <c r="E88" s="2857">
        <v>0.1</v>
      </c>
      <c r="F88" s="2857">
        <v>15</v>
      </c>
    </row>
    <row r="89" spans="1:6" ht="24">
      <c r="A89" s="2857">
        <v>17</v>
      </c>
      <c r="B89" s="3488"/>
      <c r="C89" s="2831" t="s">
        <v>2679</v>
      </c>
      <c r="D89" s="2831" t="s">
        <v>2680</v>
      </c>
      <c r="E89" s="2857">
        <v>0.1</v>
      </c>
      <c r="F89" s="2857">
        <v>15</v>
      </c>
    </row>
    <row r="90" spans="1:6" ht="13.5">
      <c r="A90" s="2857">
        <v>18</v>
      </c>
      <c r="B90" s="3487" t="s">
        <v>2681</v>
      </c>
      <c r="C90" s="2831" t="s">
        <v>2682</v>
      </c>
      <c r="D90" s="2831" t="s">
        <v>2683</v>
      </c>
      <c r="E90" s="2857">
        <v>0.2</v>
      </c>
      <c r="F90" s="2857">
        <v>25</v>
      </c>
    </row>
    <row r="91" spans="1:6" ht="24">
      <c r="A91" s="2857">
        <v>19</v>
      </c>
      <c r="B91" s="3489"/>
      <c r="C91" s="2831" t="s">
        <v>2684</v>
      </c>
      <c r="D91" s="2831" t="s">
        <v>2685</v>
      </c>
      <c r="E91" s="2857">
        <v>0.2</v>
      </c>
      <c r="F91" s="2857">
        <v>25</v>
      </c>
    </row>
    <row r="92" spans="1:6" ht="13.5">
      <c r="A92" s="2857">
        <v>20</v>
      </c>
      <c r="B92" s="3489"/>
      <c r="C92" s="2831" t="s">
        <v>2686</v>
      </c>
      <c r="D92" s="2831" t="s">
        <v>2687</v>
      </c>
      <c r="E92" s="2857">
        <v>0.15</v>
      </c>
      <c r="F92" s="2857">
        <v>20</v>
      </c>
    </row>
    <row r="93" spans="1:6" ht="13.5">
      <c r="A93" s="2857">
        <v>21</v>
      </c>
      <c r="B93" s="3489"/>
      <c r="C93" s="2831" t="s">
        <v>2688</v>
      </c>
      <c r="D93" s="2831" t="s">
        <v>2689</v>
      </c>
      <c r="E93" s="2857">
        <v>0.15</v>
      </c>
      <c r="F93" s="2857">
        <v>20</v>
      </c>
    </row>
    <row r="94" spans="1:6" ht="13.5">
      <c r="A94" s="2857">
        <v>22</v>
      </c>
      <c r="B94" s="3489"/>
      <c r="C94" s="2831" t="s">
        <v>2690</v>
      </c>
      <c r="D94" s="2831" t="s">
        <v>2691</v>
      </c>
      <c r="E94" s="2857">
        <v>0.15</v>
      </c>
      <c r="F94" s="2857">
        <v>20</v>
      </c>
    </row>
    <row r="95" spans="1:6" ht="36">
      <c r="A95" s="2857">
        <v>23</v>
      </c>
      <c r="B95" s="3489"/>
      <c r="C95" s="2831" t="s">
        <v>2692</v>
      </c>
      <c r="D95" s="2831" t="s">
        <v>2693</v>
      </c>
      <c r="E95" s="2857">
        <v>0.15</v>
      </c>
      <c r="F95" s="2857">
        <v>20</v>
      </c>
    </row>
    <row r="96" spans="1:6" ht="13.5">
      <c r="A96" s="2857">
        <v>24</v>
      </c>
      <c r="B96" s="3489"/>
      <c r="C96" s="2831" t="s">
        <v>2694</v>
      </c>
      <c r="D96" s="2831" t="s">
        <v>2695</v>
      </c>
      <c r="E96" s="2857">
        <v>0.1</v>
      </c>
      <c r="F96" s="2857">
        <v>15</v>
      </c>
    </row>
    <row r="97" spans="1:6" ht="13.5">
      <c r="A97" s="2857">
        <v>25</v>
      </c>
      <c r="B97" s="3489"/>
      <c r="C97" s="2831" t="s">
        <v>2696</v>
      </c>
      <c r="D97" s="2831" t="s">
        <v>2697</v>
      </c>
      <c r="E97" s="2857">
        <v>0.1</v>
      </c>
      <c r="F97" s="2857">
        <v>15</v>
      </c>
    </row>
    <row r="98" spans="1:6" ht="24">
      <c r="A98" s="2857">
        <v>26</v>
      </c>
      <c r="B98" s="3489"/>
      <c r="C98" s="2831" t="s">
        <v>2698</v>
      </c>
      <c r="D98" s="2831" t="s">
        <v>2699</v>
      </c>
      <c r="E98" s="2857">
        <v>0.1</v>
      </c>
      <c r="F98" s="2857">
        <v>15</v>
      </c>
    </row>
    <row r="99" spans="1:6" ht="24">
      <c r="A99" s="2857">
        <v>27</v>
      </c>
      <c r="B99" s="3489"/>
      <c r="C99" s="2831" t="s">
        <v>2700</v>
      </c>
      <c r="D99" s="2831" t="s">
        <v>2701</v>
      </c>
      <c r="E99" s="2857">
        <v>0.1</v>
      </c>
      <c r="F99" s="2857">
        <v>15</v>
      </c>
    </row>
    <row r="100" spans="1:6" ht="13.5">
      <c r="A100" s="2857">
        <v>28</v>
      </c>
      <c r="B100" s="3489"/>
      <c r="C100" s="2831" t="s">
        <v>2702</v>
      </c>
      <c r="D100" s="2831" t="s">
        <v>2703</v>
      </c>
      <c r="E100" s="2857">
        <v>0.1</v>
      </c>
      <c r="F100" s="2857">
        <v>15</v>
      </c>
    </row>
    <row r="101" spans="1:6" ht="13.5">
      <c r="A101" s="2857">
        <v>29</v>
      </c>
      <c r="B101" s="3489"/>
      <c r="C101" s="2831" t="s">
        <v>2704</v>
      </c>
      <c r="D101" s="2831" t="s">
        <v>2705</v>
      </c>
      <c r="E101" s="2857">
        <v>0.1</v>
      </c>
      <c r="F101" s="2857">
        <v>15</v>
      </c>
    </row>
    <row r="102" spans="1:6" ht="13.5">
      <c r="A102" s="2857">
        <v>30</v>
      </c>
      <c r="B102" s="3489"/>
      <c r="C102" s="2831" t="s">
        <v>2706</v>
      </c>
      <c r="D102" s="2831" t="s">
        <v>2707</v>
      </c>
      <c r="E102" s="2857">
        <v>0.1</v>
      </c>
      <c r="F102" s="2857">
        <v>15</v>
      </c>
    </row>
    <row r="103" spans="1:6" ht="24">
      <c r="A103" s="2857">
        <v>31</v>
      </c>
      <c r="B103" s="3489"/>
      <c r="C103" s="2831" t="s">
        <v>2708</v>
      </c>
      <c r="D103" s="2831" t="s">
        <v>2709</v>
      </c>
      <c r="E103" s="2857">
        <v>0.1</v>
      </c>
      <c r="F103" s="2857">
        <v>15</v>
      </c>
    </row>
    <row r="104" spans="1:6" ht="24">
      <c r="A104" s="2857">
        <v>32</v>
      </c>
      <c r="B104" s="3489"/>
      <c r="C104" s="2831" t="s">
        <v>2710</v>
      </c>
      <c r="D104" s="2831" t="s">
        <v>2711</v>
      </c>
      <c r="E104" s="2857">
        <v>0.1</v>
      </c>
      <c r="F104" s="2857">
        <v>15</v>
      </c>
    </row>
    <row r="105" spans="1:6" ht="24">
      <c r="A105" s="2857">
        <v>33</v>
      </c>
      <c r="B105" s="3489"/>
      <c r="C105" s="2831" t="s">
        <v>2712</v>
      </c>
      <c r="D105" s="2831" t="s">
        <v>2713</v>
      </c>
      <c r="E105" s="2857">
        <v>0.1</v>
      </c>
      <c r="F105" s="2857">
        <v>15</v>
      </c>
    </row>
    <row r="106" spans="1:6" ht="24">
      <c r="A106" s="2857">
        <v>34</v>
      </c>
      <c r="B106" s="3488"/>
      <c r="C106" s="2831" t="s">
        <v>2714</v>
      </c>
      <c r="D106" s="2831" t="s">
        <v>2715</v>
      </c>
      <c r="E106" s="2857">
        <v>0.1</v>
      </c>
      <c r="F106" s="2857">
        <v>15</v>
      </c>
    </row>
    <row r="107" spans="1:6" ht="24">
      <c r="A107" s="2857">
        <v>35</v>
      </c>
      <c r="B107" s="3487" t="s">
        <v>2716</v>
      </c>
      <c r="C107" s="2857" t="s">
        <v>2717</v>
      </c>
      <c r="D107" s="2831" t="s">
        <v>2718</v>
      </c>
      <c r="E107" s="2857">
        <v>0.15</v>
      </c>
      <c r="F107" s="2857">
        <v>20</v>
      </c>
    </row>
    <row r="108" spans="1:6" ht="13.5">
      <c r="A108" s="2857">
        <v>36</v>
      </c>
      <c r="B108" s="3489"/>
      <c r="C108" s="2857" t="s">
        <v>2719</v>
      </c>
      <c r="D108" s="2831" t="s">
        <v>2720</v>
      </c>
      <c r="E108" s="2857">
        <v>0.15</v>
      </c>
      <c r="F108" s="2857">
        <v>20</v>
      </c>
    </row>
    <row r="109" spans="1:6" ht="13.5">
      <c r="A109" s="2857">
        <v>37</v>
      </c>
      <c r="B109" s="3489"/>
      <c r="C109" s="2857" t="s">
        <v>2721</v>
      </c>
      <c r="D109" s="2831" t="s">
        <v>2722</v>
      </c>
      <c r="E109" s="2857">
        <v>0.15</v>
      </c>
      <c r="F109" s="2857">
        <v>20</v>
      </c>
    </row>
    <row r="110" spans="1:6" ht="13.5">
      <c r="A110" s="2857">
        <v>38</v>
      </c>
      <c r="B110" s="3489"/>
      <c r="C110" s="2857" t="s">
        <v>2723</v>
      </c>
      <c r="D110" s="2831" t="s">
        <v>2724</v>
      </c>
      <c r="E110" s="2857">
        <v>0.1</v>
      </c>
      <c r="F110" s="2857">
        <v>15</v>
      </c>
    </row>
    <row r="111" spans="1:6" ht="24">
      <c r="A111" s="2857">
        <v>39</v>
      </c>
      <c r="B111" s="3489"/>
      <c r="C111" s="2857" t="s">
        <v>2725</v>
      </c>
      <c r="D111" s="2831" t="s">
        <v>2726</v>
      </c>
      <c r="E111" s="2857">
        <v>0.1</v>
      </c>
      <c r="F111" s="2857">
        <v>15</v>
      </c>
    </row>
    <row r="112" spans="1:6" ht="24">
      <c r="A112" s="2857">
        <v>40</v>
      </c>
      <c r="B112" s="3488"/>
      <c r="C112" s="2857" t="s">
        <v>2727</v>
      </c>
      <c r="D112" s="2831" t="s">
        <v>2728</v>
      </c>
      <c r="E112" s="2857">
        <v>0.1</v>
      </c>
      <c r="F112" s="2857">
        <v>15</v>
      </c>
    </row>
    <row r="113" spans="1:6" ht="13.5">
      <c r="A113" s="2857">
        <v>41</v>
      </c>
      <c r="B113" s="3486" t="s">
        <v>2729</v>
      </c>
      <c r="C113" s="2857" t="s">
        <v>2730</v>
      </c>
      <c r="D113" s="2831" t="s">
        <v>2731</v>
      </c>
      <c r="E113" s="2857">
        <v>0.1</v>
      </c>
      <c r="F113" s="2857">
        <v>15</v>
      </c>
    </row>
    <row r="114" spans="1:6" ht="13.5">
      <c r="A114" s="2857">
        <v>42</v>
      </c>
      <c r="B114" s="3486"/>
      <c r="C114" s="2857" t="s">
        <v>2732</v>
      </c>
      <c r="D114" s="2831" t="s">
        <v>2733</v>
      </c>
      <c r="E114" s="2857">
        <v>0.1</v>
      </c>
      <c r="F114" s="2857">
        <v>15</v>
      </c>
    </row>
    <row r="115" spans="1:6" ht="24">
      <c r="A115" s="2857">
        <v>43</v>
      </c>
      <c r="B115" s="3486"/>
      <c r="C115" s="2857" t="s">
        <v>2734</v>
      </c>
      <c r="D115" s="2831" t="s">
        <v>2735</v>
      </c>
      <c r="E115" s="2857">
        <v>0.1</v>
      </c>
      <c r="F115" s="2857">
        <v>15</v>
      </c>
    </row>
    <row r="116" spans="1:6" ht="13.5">
      <c r="A116" s="2857">
        <v>44</v>
      </c>
      <c r="B116" s="3487" t="s">
        <v>2736</v>
      </c>
      <c r="C116" s="2857" t="s">
        <v>2737</v>
      </c>
      <c r="D116" s="2831" t="s">
        <v>2738</v>
      </c>
      <c r="E116" s="2857">
        <v>0.1</v>
      </c>
      <c r="F116" s="2857">
        <v>15</v>
      </c>
    </row>
    <row r="117" spans="1:6" ht="24">
      <c r="A117" s="2857">
        <v>45</v>
      </c>
      <c r="B117" s="3488"/>
      <c r="C117" s="2831" t="s">
        <v>2739</v>
      </c>
      <c r="D117" s="2831" t="s">
        <v>2740</v>
      </c>
      <c r="E117" s="2857">
        <v>0.1</v>
      </c>
      <c r="F117" s="2857">
        <v>15</v>
      </c>
    </row>
    <row r="118" spans="1:6" ht="24">
      <c r="A118" s="2857">
        <v>46</v>
      </c>
      <c r="B118" s="3487" t="s">
        <v>2741</v>
      </c>
      <c r="C118" s="2857" t="s">
        <v>2742</v>
      </c>
      <c r="D118" s="2831" t="s">
        <v>2743</v>
      </c>
      <c r="E118" s="2857">
        <v>0.1</v>
      </c>
      <c r="F118" s="2857">
        <v>15</v>
      </c>
    </row>
    <row r="119" spans="1:6" ht="24">
      <c r="A119" s="2857">
        <v>47</v>
      </c>
      <c r="B119" s="3488"/>
      <c r="C119" s="2857" t="s">
        <v>2744</v>
      </c>
      <c r="D119" s="2831" t="s">
        <v>2745</v>
      </c>
      <c r="E119" s="2857">
        <v>0.1</v>
      </c>
      <c r="F119" s="2857">
        <v>15</v>
      </c>
    </row>
    <row r="120" spans="1:6" ht="13.5">
      <c r="A120" s="2857">
        <v>48</v>
      </c>
      <c r="B120" s="3487" t="s">
        <v>2746</v>
      </c>
      <c r="C120" s="2857" t="s">
        <v>2747</v>
      </c>
      <c r="D120" s="2831" t="s">
        <v>2748</v>
      </c>
      <c r="E120" s="2857">
        <v>0.1</v>
      </c>
      <c r="F120" s="2857">
        <v>15</v>
      </c>
    </row>
    <row r="121" spans="1:6" ht="13.5">
      <c r="A121" s="2857">
        <v>49</v>
      </c>
      <c r="B121" s="3488"/>
      <c r="C121" s="2857" t="s">
        <v>2749</v>
      </c>
      <c r="D121" s="2831" t="s">
        <v>2750</v>
      </c>
      <c r="E121" s="2857">
        <v>0.1</v>
      </c>
      <c r="F121" s="2857">
        <v>15</v>
      </c>
    </row>
    <row r="122" spans="1:6" ht="24">
      <c r="A122" s="2857">
        <v>50</v>
      </c>
      <c r="B122" s="3486" t="s">
        <v>2751</v>
      </c>
      <c r="C122" s="2857" t="s">
        <v>2752</v>
      </c>
      <c r="D122" s="2831" t="s">
        <v>2753</v>
      </c>
      <c r="E122" s="2857">
        <v>0.1</v>
      </c>
      <c r="F122" s="2857">
        <v>15</v>
      </c>
    </row>
    <row r="123" spans="1:6" ht="24">
      <c r="A123" s="2857">
        <v>51</v>
      </c>
      <c r="B123" s="3486"/>
      <c r="C123" s="2857" t="s">
        <v>2754</v>
      </c>
      <c r="D123" s="2831" t="s">
        <v>2755</v>
      </c>
      <c r="E123" s="2857">
        <v>0.1</v>
      </c>
      <c r="F123" s="2857">
        <v>15</v>
      </c>
    </row>
    <row r="124" spans="1:6" ht="24">
      <c r="A124" s="2857">
        <v>52</v>
      </c>
      <c r="B124" s="3486" t="s">
        <v>2756</v>
      </c>
      <c r="C124" s="2857" t="s">
        <v>2757</v>
      </c>
      <c r="D124" s="2831" t="s">
        <v>2758</v>
      </c>
      <c r="E124" s="2857">
        <v>0.1</v>
      </c>
      <c r="F124" s="2857">
        <v>15</v>
      </c>
    </row>
    <row r="125" spans="1:6" ht="24">
      <c r="A125" s="2857">
        <v>53</v>
      </c>
      <c r="B125" s="3486"/>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86" t="s">
        <v>2764</v>
      </c>
      <c r="C127" s="2857" t="s">
        <v>2765</v>
      </c>
      <c r="D127" s="2831" t="s">
        <v>2766</v>
      </c>
      <c r="E127" s="2857">
        <v>0.1</v>
      </c>
      <c r="F127" s="2857">
        <v>15</v>
      </c>
    </row>
    <row r="128" spans="1:6" ht="13.5">
      <c r="A128" s="2857">
        <v>56</v>
      </c>
      <c r="B128" s="3486"/>
      <c r="C128" s="2857" t="s">
        <v>2767</v>
      </c>
      <c r="D128" s="2831" t="s">
        <v>2768</v>
      </c>
      <c r="E128" s="2857">
        <v>0.1</v>
      </c>
      <c r="F128" s="2857">
        <v>15</v>
      </c>
    </row>
    <row r="129" spans="1:6" ht="24">
      <c r="A129" s="2857">
        <v>57</v>
      </c>
      <c r="B129" s="3486"/>
      <c r="C129" s="2857" t="s">
        <v>2769</v>
      </c>
      <c r="D129" s="2831" t="s">
        <v>2770</v>
      </c>
      <c r="E129" s="2857">
        <v>0.1</v>
      </c>
      <c r="F129" s="2857">
        <v>15</v>
      </c>
    </row>
    <row r="130" spans="1:6" ht="24">
      <c r="A130" s="2857">
        <v>58</v>
      </c>
      <c r="B130" s="3486" t="s">
        <v>2771</v>
      </c>
      <c r="C130" s="2857" t="s">
        <v>2772</v>
      </c>
      <c r="D130" s="2831" t="s">
        <v>2773</v>
      </c>
      <c r="E130" s="2857">
        <v>0.1</v>
      </c>
      <c r="F130" s="2857">
        <v>15</v>
      </c>
    </row>
    <row r="131" spans="1:6" ht="13.5">
      <c r="A131" s="2857">
        <v>59</v>
      </c>
      <c r="B131" s="3486"/>
      <c r="C131" s="2857" t="s">
        <v>2774</v>
      </c>
      <c r="D131" s="2831" t="s">
        <v>2775</v>
      </c>
      <c r="E131" s="2857">
        <v>0.1</v>
      </c>
      <c r="F131" s="2857">
        <v>15</v>
      </c>
    </row>
    <row r="132" spans="1:6" ht="13.5">
      <c r="A132" s="2857">
        <v>60</v>
      </c>
      <c r="B132" s="3487" t="s">
        <v>2776</v>
      </c>
      <c r="C132" s="2857" t="s">
        <v>2777</v>
      </c>
      <c r="D132" s="2831" t="s">
        <v>2778</v>
      </c>
      <c r="E132" s="2857">
        <v>0.1</v>
      </c>
      <c r="F132" s="2857">
        <v>15</v>
      </c>
    </row>
    <row r="133" spans="1:6" ht="13.5">
      <c r="A133" s="2857">
        <v>61</v>
      </c>
      <c r="B133" s="3488"/>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86" t="s">
        <v>2784</v>
      </c>
      <c r="C135" s="2857" t="s">
        <v>2785</v>
      </c>
      <c r="D135" s="2831" t="s">
        <v>2786</v>
      </c>
      <c r="E135" s="2857">
        <v>0.1</v>
      </c>
      <c r="F135" s="2857">
        <v>15</v>
      </c>
    </row>
    <row r="136" spans="1:6" ht="13.5">
      <c r="A136" s="2857">
        <v>64</v>
      </c>
      <c r="B136" s="3486"/>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1.2302</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1.1198999999999999</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26826</v>
      </c>
      <c r="C2" s="2" t="s">
        <v>106</v>
      </c>
      <c r="D2" s="191"/>
      <c r="E2" s="191"/>
      <c r="F2" s="191"/>
      <c r="G2" s="191"/>
    </row>
    <row r="3" spans="1:7" s="192" customFormat="1" ht="18" customHeight="1" thickBot="1">
      <c r="A3" s="195" t="s">
        <v>58</v>
      </c>
      <c r="B3" s="196">
        <f ca="1">ROUND(B2*10000/'数据-汇总表'!E3,0)</f>
        <v>866977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309.42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309.42</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309.42</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14</v>
      </c>
      <c r="D45" s="227">
        <f>C47</f>
        <v>2E-3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173</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152</v>
      </c>
      <c r="D51" s="224"/>
      <c r="E51" s="224"/>
      <c r="F51" s="256"/>
      <c r="G51" s="226" t="s">
        <v>37</v>
      </c>
    </row>
    <row r="52" spans="1:7" s="200" customFormat="1" ht="16.5" thickBot="1">
      <c r="A52" s="257" t="s">
        <v>38</v>
      </c>
      <c r="B52" s="258"/>
      <c r="C52" s="259">
        <f ca="1">C31+C51</f>
        <v>26826</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3176</v>
      </c>
      <c r="B1" s="3498"/>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9" t="s">
        <v>3227</v>
      </c>
      <c r="B1" s="3499"/>
      <c r="C1" s="3499"/>
      <c r="D1" s="3499"/>
      <c r="E1" s="3499"/>
      <c r="F1" s="3500"/>
    </row>
    <row r="2" spans="1:6">
      <c r="A2" s="3002" t="s">
        <v>3228</v>
      </c>
    </row>
    <row r="3" spans="1:6">
      <c r="A3" s="3002" t="s">
        <v>3229</v>
      </c>
      <c r="F3" s="3003" t="s">
        <v>3230</v>
      </c>
    </row>
    <row r="4" spans="1:6">
      <c r="A4" s="3004" t="s">
        <v>669</v>
      </c>
      <c r="B4" s="3004" t="s">
        <v>670</v>
      </c>
      <c r="C4" s="3004" t="s">
        <v>21</v>
      </c>
      <c r="D4" s="3004" t="s">
        <v>671</v>
      </c>
      <c r="E4" s="3004" t="s">
        <v>3</v>
      </c>
      <c r="F4" s="3004" t="s">
        <v>3231</v>
      </c>
    </row>
    <row r="5" spans="1:6">
      <c r="A5" s="3005" t="s">
        <v>672</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45786</v>
      </c>
      <c r="B1" s="2929" t="s">
        <v>3373</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670</v>
      </c>
      <c r="AH2" t="s">
        <v>21</v>
      </c>
      <c r="AI2" t="s">
        <v>3401</v>
      </c>
      <c r="AJ2" t="s">
        <v>3</v>
      </c>
      <c r="AK2" t="s">
        <v>3402</v>
      </c>
      <c r="AM2" t="s">
        <v>3400</v>
      </c>
      <c r="AN2" t="s">
        <v>670</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501" t="s">
        <v>2822</v>
      </c>
      <c r="S29" s="3502"/>
      <c r="T29" s="3502"/>
      <c r="U29" s="3502"/>
      <c r="V29" s="3502"/>
      <c r="W29" s="3502"/>
      <c r="X29" s="2896"/>
      <c r="Y29" s="3501" t="s">
        <v>2823</v>
      </c>
      <c r="Z29" s="3502"/>
      <c r="AA29" s="3502"/>
      <c r="AB29" s="3502"/>
      <c r="AC29" s="3502"/>
      <c r="AD29" s="3502"/>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670</v>
      </c>
      <c r="AH30" t="s">
        <v>21</v>
      </c>
      <c r="AI30" t="s">
        <v>3401</v>
      </c>
      <c r="AJ30"/>
      <c r="AK30" t="s">
        <v>3402</v>
      </c>
      <c r="AN30" t="s">
        <v>670</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2106</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2834</v>
      </c>
      <c r="B1" s="3514"/>
      <c r="C1" s="3514"/>
      <c r="D1" s="3514"/>
      <c r="E1" s="3514"/>
      <c r="F1" s="3514"/>
      <c r="G1" s="3515"/>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2"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3"/>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925</v>
      </c>
      <c r="B2" s="3199" t="s">
        <v>926</v>
      </c>
      <c r="C2" s="3199" t="s">
        <v>927</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922</v>
      </c>
      <c r="E3" s="801" t="s">
        <v>928</v>
      </c>
      <c r="F3" s="801" t="s">
        <v>922</v>
      </c>
      <c r="G3" s="801" t="s">
        <v>923</v>
      </c>
      <c r="H3" s="801" t="s">
        <v>922</v>
      </c>
      <c r="I3" s="801" t="s">
        <v>923</v>
      </c>
    </row>
    <row r="4" spans="1:9" ht="60">
      <c r="A4" s="1403" t="str">
        <f>项目基本情况!S2</f>
        <v>北京市大兴区马朱路长子营段16号院17号楼1层101、2层201、202、203工业用房房地产</v>
      </c>
      <c r="B4" s="801">
        <f>项目基本情况!C17</f>
        <v>309.42</v>
      </c>
      <c r="C4" s="801">
        <f>项目基本情况!C18</f>
        <v>0</v>
      </c>
      <c r="D4" s="801">
        <f ca="1">结果表!D118</f>
        <v>-39</v>
      </c>
      <c r="E4" s="801">
        <f ca="1">结果表!E118</f>
        <v>-1245</v>
      </c>
      <c r="F4" s="801">
        <f ca="1">结果表!F118</f>
        <v>302</v>
      </c>
      <c r="G4" s="801">
        <f ca="1">结果表!G118</f>
        <v>9772</v>
      </c>
      <c r="H4" s="801">
        <f ca="1">结果表!H118</f>
        <v>264</v>
      </c>
      <c r="I4" s="801">
        <f ca="1">结果表!I118</f>
        <v>8527</v>
      </c>
    </row>
    <row r="5" spans="1:9" ht="30" customHeight="1">
      <c r="A5" s="3194" t="s">
        <v>924</v>
      </c>
      <c r="B5" s="3194"/>
      <c r="C5" s="3194"/>
      <c r="D5" s="3194" t="e">
        <f ca="1">结果表!D119</f>
        <v>#NUM!</v>
      </c>
      <c r="E5" s="3194"/>
      <c r="F5" s="3194" t="str">
        <f ca="1">结果表!F119</f>
        <v>叁佰零贰万元整</v>
      </c>
      <c r="G5" s="3194"/>
      <c r="H5" s="3194" t="str">
        <f ca="1">结果表!H119</f>
        <v>贰佰陆拾肆万元整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924</v>
      </c>
      <c r="B7" s="3194"/>
      <c r="C7" s="3194"/>
      <c r="D7" s="3195" t="str">
        <f>结果表!D121</f>
        <v>零元整</v>
      </c>
      <c r="E7" s="3196"/>
      <c r="F7" s="3196"/>
      <c r="G7" s="3196"/>
      <c r="H7" s="3196"/>
      <c r="I7" s="3197"/>
    </row>
    <row r="8" spans="1:9" ht="15.75">
      <c r="A8" s="3193" t="str">
        <f>结果表!A122</f>
        <v>房地产抵押价值</v>
      </c>
      <c r="B8" s="3193"/>
      <c r="C8" s="3193"/>
      <c r="D8" s="3193">
        <f ca="1">结果表!D122</f>
        <v>264</v>
      </c>
      <c r="E8" s="3193"/>
      <c r="F8" s="3193"/>
      <c r="G8" s="3193"/>
      <c r="H8" s="3193"/>
      <c r="I8" s="3193"/>
    </row>
    <row r="9" spans="1:9" ht="15">
      <c r="A9" s="3194" t="s">
        <v>924</v>
      </c>
      <c r="B9" s="3194"/>
      <c r="C9" s="3194"/>
      <c r="D9" s="3194" t="str">
        <f ca="1">结果表!D123</f>
        <v>贰佰陆拾肆万元整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924</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924</v>
      </c>
      <c r="B13" s="3191"/>
      <c r="C13" s="3191"/>
      <c r="D13" s="3191" t="e">
        <f>结果表!D127</f>
        <v>#VALUE!</v>
      </c>
      <c r="E13" s="3191"/>
      <c r="F13" s="3191"/>
      <c r="G13" s="3191"/>
      <c r="H13" s="3191"/>
      <c r="I13" s="3191"/>
    </row>
    <row r="14" spans="1:9" ht="15" thickTop="1">
      <c r="A14" s="3192" t="s">
        <v>929</v>
      </c>
      <c r="B14" s="3192"/>
      <c r="C14" s="3192"/>
      <c r="D14" s="3192"/>
      <c r="E14" s="3192"/>
      <c r="F14" s="3192"/>
      <c r="G14" s="3192"/>
      <c r="H14" s="3192"/>
      <c r="I14" s="3192"/>
    </row>
    <row r="16" spans="1:9" ht="18.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946</v>
      </c>
      <c r="B1" s="3206"/>
      <c r="C1" s="3206"/>
      <c r="D1" s="3206"/>
    </row>
    <row r="2" spans="1:4" ht="18">
      <c r="A2" s="3207" t="s">
        <v>930</v>
      </c>
      <c r="B2" s="3207"/>
      <c r="C2" s="3207"/>
      <c r="D2" s="3207"/>
    </row>
    <row r="3" spans="1:4" ht="18.75">
      <c r="A3" s="1407" t="s">
        <v>931</v>
      </c>
      <c r="B3" s="1407" t="s">
        <v>932</v>
      </c>
      <c r="C3" s="1407" t="s">
        <v>933</v>
      </c>
      <c r="D3" s="1407" t="s">
        <v>934</v>
      </c>
    </row>
    <row r="4" spans="1:4" ht="56.25" customHeight="1">
      <c r="A4" s="1408" t="str">
        <f>项目基本情况!B4</f>
        <v>郑燚</v>
      </c>
      <c r="B4" s="1409">
        <f ca="1">项目基本情况!C4</f>
        <v>1120070131</v>
      </c>
      <c r="C4" s="1410"/>
      <c r="D4" s="1411" t="s">
        <v>935</v>
      </c>
    </row>
    <row r="5" spans="1:4" ht="56.25" customHeight="1">
      <c r="A5" s="1408">
        <f>项目基本情况!D4</f>
        <v>0</v>
      </c>
      <c r="B5" s="1409">
        <f>项目基本情况!E4</f>
        <v>0</v>
      </c>
      <c r="C5" s="1412"/>
      <c r="D5" s="1411" t="s">
        <v>935</v>
      </c>
    </row>
    <row r="6" spans="1:4" ht="18">
      <c r="A6" s="3207" t="s">
        <v>936</v>
      </c>
      <c r="B6" s="3207"/>
      <c r="C6" s="3207"/>
      <c r="D6" s="3207"/>
    </row>
    <row r="7" spans="1:4" ht="18.75">
      <c r="A7" s="1407" t="s">
        <v>931</v>
      </c>
      <c r="B7" s="1409" t="s">
        <v>937</v>
      </c>
      <c r="C7" s="1407" t="s">
        <v>933</v>
      </c>
      <c r="D7" s="1407" t="s">
        <v>934</v>
      </c>
    </row>
    <row r="8" spans="1:4" ht="56.25" customHeight="1">
      <c r="A8" s="1413" t="s">
        <v>390</v>
      </c>
      <c r="B8" s="1413" t="s">
        <v>0</v>
      </c>
      <c r="C8" s="1410"/>
      <c r="D8" s="1411" t="s">
        <v>935</v>
      </c>
    </row>
    <row r="10" spans="1:4" ht="18.75">
      <c r="A10" s="1414" t="s">
        <v>938</v>
      </c>
    </row>
    <row r="11" spans="1:4" ht="30" customHeight="1">
      <c r="A11" s="3208" t="s">
        <v>939</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940</v>
      </c>
      <c r="B16" s="3202"/>
      <c r="C16" s="3202"/>
      <c r="D16" s="3202"/>
    </row>
    <row r="17" spans="1:4" ht="144" customHeight="1">
      <c r="A17" s="3202" t="s">
        <v>941</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942</v>
      </c>
      <c r="B22" s="3204"/>
      <c r="C22" s="3204"/>
      <c r="D22" s="3204"/>
    </row>
    <row r="23" spans="1:4">
      <c r="A23" s="1415"/>
      <c r="B23" s="459"/>
      <c r="C23" s="459"/>
      <c r="D23" s="459"/>
    </row>
    <row r="24" spans="1:4">
      <c r="A24" s="1415"/>
      <c r="B24" s="459"/>
      <c r="C24" s="459"/>
      <c r="D24" s="459"/>
    </row>
    <row r="25" spans="1:4" ht="18.75">
      <c r="A25" s="1416" t="s">
        <v>943</v>
      </c>
    </row>
    <row r="26" spans="1:4" ht="18">
      <c r="A26" s="1387"/>
    </row>
    <row r="27" spans="1:4" ht="18.75">
      <c r="A27" s="1387" t="s">
        <v>944</v>
      </c>
    </row>
    <row r="30" spans="1:4" ht="18.75">
      <c r="D30" s="1416" t="s">
        <v>945</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3.5">
      <c r="A15" s="3214" t="s">
        <v>953</v>
      </c>
      <c r="B15" s="3209" t="s">
        <v>109</v>
      </c>
      <c r="C15" s="3210"/>
    </row>
    <row r="16" spans="1:7" ht="13.5">
      <c r="A16" s="3215"/>
      <c r="B16" s="3209" t="s">
        <v>42</v>
      </c>
      <c r="C16" s="3210"/>
    </row>
    <row r="17" spans="1:3" ht="13.5">
      <c r="A17" s="3215"/>
      <c r="B17" s="3212" t="s">
        <v>954</v>
      </c>
      <c r="C17" s="1429" t="s">
        <v>953</v>
      </c>
    </row>
    <row r="18" spans="1:3" ht="13.5">
      <c r="A18" s="3215"/>
      <c r="B18" s="3212"/>
      <c r="C18" s="1429" t="s">
        <v>955</v>
      </c>
    </row>
    <row r="19" spans="1:3" ht="13.5">
      <c r="A19" s="3215"/>
      <c r="B19" s="3212"/>
      <c r="C19" s="1429" t="s">
        <v>956</v>
      </c>
    </row>
    <row r="20" spans="1:3" ht="13.5">
      <c r="A20" s="3216"/>
      <c r="B20" s="3211" t="s">
        <v>957</v>
      </c>
      <c r="C20" s="3210"/>
    </row>
    <row r="21" spans="1:3" ht="13.5">
      <c r="A21" s="1430" t="s">
        <v>958</v>
      </c>
      <c r="B21" s="1431"/>
      <c r="C21" s="1432"/>
    </row>
    <row r="22" spans="1:3" ht="13.5">
      <c r="A22" s="3213" t="s">
        <v>959</v>
      </c>
      <c r="B22" s="3211" t="s">
        <v>960</v>
      </c>
      <c r="C22" s="3210"/>
    </row>
    <row r="23" spans="1:3" ht="13.5">
      <c r="A23" s="3213"/>
      <c r="B23" s="3211" t="s">
        <v>961</v>
      </c>
      <c r="C23" s="3210"/>
    </row>
    <row r="24" spans="1:3" ht="13.5">
      <c r="A24" s="3213"/>
      <c r="B24" s="3211" t="s">
        <v>962</v>
      </c>
      <c r="C24" s="3210"/>
    </row>
    <row r="25" spans="1:3" ht="13.5">
      <c r="A25" s="3213"/>
      <c r="B25" s="3212" t="s">
        <v>963</v>
      </c>
      <c r="C25" s="1429" t="s">
        <v>964</v>
      </c>
    </row>
    <row r="26" spans="1:3" ht="13.5">
      <c r="A26" s="3213"/>
      <c r="B26" s="3212"/>
      <c r="C26" s="1429" t="s">
        <v>965</v>
      </c>
    </row>
    <row r="27" spans="1:3" ht="13.5">
      <c r="A27" s="3213"/>
      <c r="B27" s="3212"/>
      <c r="C27" s="1429" t="s">
        <v>966</v>
      </c>
    </row>
    <row r="28" spans="1:3" ht="13.5">
      <c r="A28" s="3213"/>
      <c r="B28" s="3212"/>
      <c r="C28" s="1429" t="s">
        <v>967</v>
      </c>
    </row>
    <row r="29" spans="1:3" ht="13.5">
      <c r="A29" s="3213"/>
      <c r="B29" s="3212"/>
      <c r="C29" s="1429" t="s">
        <v>968</v>
      </c>
    </row>
    <row r="30" spans="1:3" ht="13.5">
      <c r="A30" s="3213"/>
      <c r="B30" s="3212"/>
      <c r="C30" s="1429" t="s">
        <v>969</v>
      </c>
    </row>
    <row r="31" spans="1:3" ht="13.5">
      <c r="A31" s="3213"/>
      <c r="B31" s="3212"/>
      <c r="C31" s="1429" t="s">
        <v>970</v>
      </c>
    </row>
    <row r="32" spans="1:3" ht="13.5">
      <c r="A32" s="3213"/>
      <c r="B32" s="3212"/>
      <c r="C32" s="1429" t="s">
        <v>971</v>
      </c>
    </row>
    <row r="33" spans="1:3" ht="13.5">
      <c r="A33" s="3213"/>
      <c r="B33" s="3212"/>
      <c r="C33" s="1429" t="s">
        <v>972</v>
      </c>
    </row>
    <row r="34" spans="1:3">
      <c r="A34" s="1433" t="s">
        <v>49</v>
      </c>
    </row>
    <row r="37" spans="1:3">
      <c r="A37" s="1433" t="s">
        <v>973</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2134</v>
      </c>
      <c r="B2" s="2157">
        <f ca="1">TODAY()</f>
        <v>45790</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f ca="1">IF(C4&lt;B2,"已过期",1119970066)</f>
        <v>1119970066</v>
      </c>
      <c r="C4" s="2162">
        <v>45937</v>
      </c>
      <c r="D4" s="2163" t="str">
        <f ca="1">A4&amp;"（注册号："&amp;B4&amp;"）"</f>
        <v>梁津（注册号：1119970066）</v>
      </c>
      <c r="E4" s="2164" t="s">
        <v>2143</v>
      </c>
      <c r="F4" s="1219">
        <f ca="1">IF(G4&lt;B2,"已过期",96010014)</f>
        <v>96010014</v>
      </c>
      <c r="G4" s="2165">
        <v>47118</v>
      </c>
      <c r="H4" s="2166" t="str">
        <f ca="1">E4&amp;"（注册号："&amp;F4&amp;"）"</f>
        <v>梁津（注册号：96010014）</v>
      </c>
    </row>
    <row r="5" spans="1:8" ht="24" customHeight="1">
      <c r="A5" s="1219" t="s">
        <v>2144</v>
      </c>
      <c r="B5" s="1219">
        <f ca="1">IF(C5&lt;B2,"已过期",1119970111)</f>
        <v>1119970111</v>
      </c>
      <c r="C5" s="2162">
        <v>45937</v>
      </c>
      <c r="D5" s="2163" t="str">
        <f t="shared" ref="D5:D15" ca="1" si="0">A5&amp;"（注册号："&amp;B5&amp;"）"</f>
        <v>叶凌（注册号：1119970111）</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f ca="1">IF(C7&lt;B2,"已过期",1120000080)</f>
        <v>1120000080</v>
      </c>
      <c r="C7" s="2162">
        <v>45937</v>
      </c>
      <c r="D7" s="2163" t="str">
        <f t="shared" ca="1" si="0"/>
        <v>欧红伟（注册号：1120000080）</v>
      </c>
      <c r="E7" s="2164" t="s">
        <v>2146</v>
      </c>
      <c r="F7" s="1219">
        <f ca="1">IF(G7&lt;B2,"已过期",2000110082)</f>
        <v>2000110082</v>
      </c>
      <c r="G7" s="2165">
        <v>46387</v>
      </c>
      <c r="H7" s="2166" t="str">
        <f t="shared" ca="1" si="1"/>
        <v>欧红伟（注册号：2000110082）</v>
      </c>
    </row>
    <row r="8" spans="1:8" ht="24" customHeight="1">
      <c r="A8" s="1219" t="s">
        <v>2147</v>
      </c>
      <c r="B8" s="1219">
        <f ca="1">IF(C8&lt;B2,"已过期",1419970001)</f>
        <v>1419970001</v>
      </c>
      <c r="C8" s="2162">
        <v>45937</v>
      </c>
      <c r="D8" s="2163" t="str">
        <f t="shared" ca="1" si="0"/>
        <v>吴薇（注册号：1419970001）</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f ca="1">IF(C11&lt;B2,"已过期",1120070131)</f>
        <v>1120070131</v>
      </c>
      <c r="C11" s="2162">
        <v>45937</v>
      </c>
      <c r="D11" s="2163" t="str">
        <f t="shared" ca="1" si="0"/>
        <v>郑燚（注册号：1120070131）</v>
      </c>
      <c r="E11" s="2164" t="s">
        <v>2150</v>
      </c>
      <c r="F11" s="1219">
        <f ca="1">IF(G11&lt;B2,"已过期",2014110011)</f>
        <v>2014110011</v>
      </c>
      <c r="G11" s="2165">
        <v>49302</v>
      </c>
      <c r="H11" s="2166" t="str">
        <f t="shared" ca="1" si="1"/>
        <v>郑燚（注册号：2014110011）</v>
      </c>
    </row>
    <row r="12" spans="1:8" ht="24" customHeight="1">
      <c r="A12" s="1219" t="s">
        <v>2151</v>
      </c>
      <c r="B12" s="1219">
        <f ca="1">IF(C12&lt;B2,"已过期",1120040230)</f>
        <v>1120040230</v>
      </c>
      <c r="C12" s="2167">
        <v>45937</v>
      </c>
      <c r="D12" s="2163" t="str">
        <f t="shared" ca="1" si="0"/>
        <v>苏海（注册号：1120040230）</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2155</v>
      </c>
      <c r="B17" s="3217"/>
      <c r="C17" s="3217"/>
      <c r="D17" s="3217"/>
      <c r="E17" s="3217"/>
      <c r="F17" s="3217"/>
      <c r="G17" s="3217"/>
      <c r="H17" s="3217"/>
    </row>
    <row r="18" spans="1:8" ht="24" customHeight="1">
      <c r="A18" s="3218" t="s">
        <v>2156</v>
      </c>
      <c r="B18" s="3218"/>
      <c r="C18" s="3218"/>
      <c r="D18" s="2160"/>
      <c r="E18" s="3219" t="s">
        <v>2157</v>
      </c>
      <c r="F18" s="3218"/>
      <c r="G18" s="3218"/>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市调</vt:lpstr>
      <vt:lpstr>中指成交</vt:lpstr>
      <vt:lpstr>Sheet3</vt:lpstr>
      <vt:lpstr>租赁合同</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2025-05-13T02:15:30Z</dcterms:modified>
</cp:coreProperties>
</file>